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EstaPasta_de_trabalho" defaultThemeVersion="124226"/>
  <bookViews>
    <workbookView xWindow="11985" yWindow="-15" windowWidth="12030" windowHeight="10275" tabRatio="871" firstSheet="2" activeTab="2"/>
  </bookViews>
  <sheets>
    <sheet name="QUANT" sheetId="44" r:id="rId1"/>
    <sheet name="SINAPI JULHO 2018" sheetId="39" r:id="rId2"/>
    <sheet name="1-RESUMO" sheetId="48" r:id="rId3"/>
    <sheet name="2-ORÇAMENTO" sheetId="41" r:id="rId4"/>
    <sheet name="3-CRONOGRAMA" sheetId="33" r:id="rId5"/>
    <sheet name="4-BDI" sheetId="45" r:id="rId6"/>
    <sheet name="5-COMP. PROPRIA" sheetId="43" r:id="rId7"/>
  </sheets>
  <externalReferences>
    <externalReference r:id="rId8"/>
    <externalReference r:id="rId9"/>
  </externalReferences>
  <definedNames>
    <definedName name="_xlnm.Print_Area" localSheetId="2">'1-RESUMO'!$B$2:$E$39</definedName>
    <definedName name="_xlnm.Print_Area" localSheetId="3">'2-ORÇAMENTO'!$B$2:$K$839</definedName>
    <definedName name="_xlnm.Print_Area" localSheetId="4">'3-CRONOGRAMA'!$B$2:$K$70</definedName>
    <definedName name="_xlnm.Print_Area" localSheetId="5">'4-BDI'!$B$2:$D$49</definedName>
    <definedName name="_xlnm.Print_Area" localSheetId="6">'5-COMP. PROPRIA'!$B$2:$L$398</definedName>
    <definedName name="_xlnm.Print_Area" localSheetId="0">QUANT!$B$2:$N$2300</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'2-ORÇAMENTO'!$9:$9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H393" i="43"/>
  <c r="I393" s="1"/>
  <c r="H394"/>
  <c r="I394" s="1"/>
  <c r="H395"/>
  <c r="I395" s="1"/>
  <c r="H392"/>
  <c r="I392" s="1"/>
  <c r="H388"/>
  <c r="I388"/>
  <c r="H387"/>
  <c r="I387"/>
  <c r="I385" s="1"/>
  <c r="H383"/>
  <c r="I383" s="1"/>
  <c r="H382"/>
  <c r="I382" s="1"/>
  <c r="I380" s="1"/>
  <c r="H809" i="41" s="1"/>
  <c r="H376" i="43"/>
  <c r="I376"/>
  <c r="H377"/>
  <c r="I377"/>
  <c r="H378"/>
  <c r="I378" s="1"/>
  <c r="H375"/>
  <c r="I375"/>
  <c r="H372"/>
  <c r="I372" s="1"/>
  <c r="H371"/>
  <c r="I371" s="1"/>
  <c r="H366"/>
  <c r="I366" s="1"/>
  <c r="H367"/>
  <c r="I367" s="1"/>
  <c r="H365"/>
  <c r="I365" s="1"/>
  <c r="I364" s="1"/>
  <c r="H789" i="41" s="1"/>
  <c r="H361" i="43"/>
  <c r="I361"/>
  <c r="H362"/>
  <c r="I362"/>
  <c r="H360"/>
  <c r="I360"/>
  <c r="I359" s="1"/>
  <c r="H337"/>
  <c r="I337" s="1"/>
  <c r="H338"/>
  <c r="I338" s="1"/>
  <c r="H339"/>
  <c r="I339" s="1"/>
  <c r="H340"/>
  <c r="I340" s="1"/>
  <c r="H341"/>
  <c r="I341" s="1"/>
  <c r="H342"/>
  <c r="I342" s="1"/>
  <c r="H343"/>
  <c r="I343" s="1"/>
  <c r="H344"/>
  <c r="I344" s="1"/>
  <c r="H345"/>
  <c r="I345" s="1"/>
  <c r="H346"/>
  <c r="I346" s="1"/>
  <c r="H347"/>
  <c r="I347" s="1"/>
  <c r="H348"/>
  <c r="I348" s="1"/>
  <c r="H349"/>
  <c r="I349" s="1"/>
  <c r="H350"/>
  <c r="I350" s="1"/>
  <c r="H351"/>
  <c r="I351" s="1"/>
  <c r="H352"/>
  <c r="I352" s="1"/>
  <c r="H353"/>
  <c r="I353" s="1"/>
  <c r="H354"/>
  <c r="I354" s="1"/>
  <c r="H355"/>
  <c r="I355" s="1"/>
  <c r="H356"/>
  <c r="I356" s="1"/>
  <c r="H357"/>
  <c r="I357" s="1"/>
  <c r="H336"/>
  <c r="I336" s="1"/>
  <c r="I335" s="1"/>
  <c r="H327"/>
  <c r="H328"/>
  <c r="I328"/>
  <c r="H329"/>
  <c r="I329"/>
  <c r="H330"/>
  <c r="I330"/>
  <c r="H331"/>
  <c r="I331"/>
  <c r="H326"/>
  <c r="H323"/>
  <c r="I323" s="1"/>
  <c r="H322"/>
  <c r="I322" s="1"/>
  <c r="H321"/>
  <c r="I321" s="1"/>
  <c r="H319"/>
  <c r="I319" s="1"/>
  <c r="H313"/>
  <c r="I313" s="1"/>
  <c r="H314"/>
  <c r="I314" s="1"/>
  <c r="H315"/>
  <c r="I315" s="1"/>
  <c r="H316"/>
  <c r="I316" s="1"/>
  <c r="H312"/>
  <c r="I312" s="1"/>
  <c r="H304"/>
  <c r="I304"/>
  <c r="H305"/>
  <c r="I305"/>
  <c r="H306"/>
  <c r="I306"/>
  <c r="H307"/>
  <c r="I307"/>
  <c r="H308"/>
  <c r="I308"/>
  <c r="H309"/>
  <c r="I309"/>
  <c r="H303"/>
  <c r="I303"/>
  <c r="I302" s="1"/>
  <c r="H293"/>
  <c r="I293" s="1"/>
  <c r="H294"/>
  <c r="H295"/>
  <c r="I295"/>
  <c r="H296"/>
  <c r="I296"/>
  <c r="H297"/>
  <c r="I297"/>
  <c r="H298"/>
  <c r="I298"/>
  <c r="H292"/>
  <c r="I292"/>
  <c r="H284"/>
  <c r="I284"/>
  <c r="H285"/>
  <c r="I285"/>
  <c r="H286"/>
  <c r="I286"/>
  <c r="H287"/>
  <c r="I287"/>
  <c r="H283"/>
  <c r="I283"/>
  <c r="I282" s="1"/>
  <c r="H273"/>
  <c r="I273" s="1"/>
  <c r="H274"/>
  <c r="I274" s="1"/>
  <c r="H275"/>
  <c r="I275" s="1"/>
  <c r="H276"/>
  <c r="I276" s="1"/>
  <c r="H277"/>
  <c r="I277" s="1"/>
  <c r="H278"/>
  <c r="I278" s="1"/>
  <c r="H272"/>
  <c r="I272" s="1"/>
  <c r="I263"/>
  <c r="I264"/>
  <c r="H266"/>
  <c r="I266" s="1"/>
  <c r="H267"/>
  <c r="I267" s="1"/>
  <c r="H265"/>
  <c r="I265" s="1"/>
  <c r="H242"/>
  <c r="I242" s="1"/>
  <c r="H243"/>
  <c r="I243" s="1"/>
  <c r="H244"/>
  <c r="I244" s="1"/>
  <c r="H245"/>
  <c r="I245" s="1"/>
  <c r="H246"/>
  <c r="I246" s="1"/>
  <c r="H247"/>
  <c r="I247" s="1"/>
  <c r="H248"/>
  <c r="I248" s="1"/>
  <c r="H249"/>
  <c r="I249" s="1"/>
  <c r="H250"/>
  <c r="I250" s="1"/>
  <c r="H251"/>
  <c r="I251" s="1"/>
  <c r="H252"/>
  <c r="I252" s="1"/>
  <c r="H253"/>
  <c r="I253" s="1"/>
  <c r="H254"/>
  <c r="I254" s="1"/>
  <c r="H255"/>
  <c r="I255" s="1"/>
  <c r="H256"/>
  <c r="I256" s="1"/>
  <c r="H257"/>
  <c r="I257" s="1"/>
  <c r="H258"/>
  <c r="I258" s="1"/>
  <c r="H259"/>
  <c r="I259" s="1"/>
  <c r="H260"/>
  <c r="I260" s="1"/>
  <c r="H261"/>
  <c r="I261" s="1"/>
  <c r="H262"/>
  <c r="I262" s="1"/>
  <c r="H241"/>
  <c r="I241" s="1"/>
  <c r="H237"/>
  <c r="I237" s="1"/>
  <c r="H238"/>
  <c r="I238" s="1"/>
  <c r="H236"/>
  <c r="I236" s="1"/>
  <c r="H230"/>
  <c r="I230" s="1"/>
  <c r="H231"/>
  <c r="I231" s="1"/>
  <c r="H229"/>
  <c r="I229" s="1"/>
  <c r="H225"/>
  <c r="I225" s="1"/>
  <c r="H226"/>
  <c r="I226" s="1"/>
  <c r="H224"/>
  <c r="I224" s="1"/>
  <c r="H218"/>
  <c r="I218" s="1"/>
  <c r="H219"/>
  <c r="I219" s="1"/>
  <c r="H217"/>
  <c r="I217" s="1"/>
  <c r="H213"/>
  <c r="I213" s="1"/>
  <c r="H214"/>
  <c r="I214" s="1"/>
  <c r="H212"/>
  <c r="I212" s="1"/>
  <c r="I211" s="1"/>
  <c r="H199"/>
  <c r="I199" s="1"/>
  <c r="H200"/>
  <c r="H201"/>
  <c r="H202"/>
  <c r="I202" s="1"/>
  <c r="H203"/>
  <c r="H204"/>
  <c r="H205"/>
  <c r="I205" s="1"/>
  <c r="H206"/>
  <c r="H207"/>
  <c r="H198"/>
  <c r="I198" s="1"/>
  <c r="H193"/>
  <c r="I193" s="1"/>
  <c r="H194"/>
  <c r="I194" s="1"/>
  <c r="H195"/>
  <c r="I195" s="1"/>
  <c r="H192"/>
  <c r="I192" s="1"/>
  <c r="H187"/>
  <c r="I187" s="1"/>
  <c r="H188"/>
  <c r="I188" s="1"/>
  <c r="H189"/>
  <c r="I189" s="1"/>
  <c r="H186"/>
  <c r="I186" s="1"/>
  <c r="H180"/>
  <c r="H181"/>
  <c r="I181"/>
  <c r="H179"/>
  <c r="H168"/>
  <c r="I168" s="1"/>
  <c r="H169"/>
  <c r="I169" s="1"/>
  <c r="H170"/>
  <c r="I170" s="1"/>
  <c r="H171"/>
  <c r="I171" s="1"/>
  <c r="H172"/>
  <c r="I172" s="1"/>
  <c r="H173"/>
  <c r="I173" s="1"/>
  <c r="H174"/>
  <c r="I174" s="1"/>
  <c r="H175"/>
  <c r="I175" s="1"/>
  <c r="H167"/>
  <c r="I167" s="1"/>
  <c r="H166"/>
  <c r="I166" s="1"/>
  <c r="H161"/>
  <c r="I161" s="1"/>
  <c r="H162"/>
  <c r="I162" s="1"/>
  <c r="H163"/>
  <c r="I163" s="1"/>
  <c r="H160"/>
  <c r="I160" s="1"/>
  <c r="I159" s="1"/>
  <c r="H157"/>
  <c r="I157" s="1"/>
  <c r="H156"/>
  <c r="I156" s="1"/>
  <c r="H154"/>
  <c r="I154" s="1"/>
  <c r="H149"/>
  <c r="I149" s="1"/>
  <c r="H150"/>
  <c r="I150" s="1"/>
  <c r="H151"/>
  <c r="I151" s="1"/>
  <c r="H148"/>
  <c r="I148" s="1"/>
  <c r="H143"/>
  <c r="I143" s="1"/>
  <c r="H142"/>
  <c r="I142" s="1"/>
  <c r="H141"/>
  <c r="I141" s="1"/>
  <c r="H129"/>
  <c r="I129" s="1"/>
  <c r="H130"/>
  <c r="I130" s="1"/>
  <c r="H131"/>
  <c r="I131" s="1"/>
  <c r="H132"/>
  <c r="I132" s="1"/>
  <c r="H133"/>
  <c r="I133" s="1"/>
  <c r="H134"/>
  <c r="I134" s="1"/>
  <c r="H128"/>
  <c r="I128" s="1"/>
  <c r="H118"/>
  <c r="I118" s="1"/>
  <c r="H119"/>
  <c r="I119" s="1"/>
  <c r="H120"/>
  <c r="I120" s="1"/>
  <c r="H121"/>
  <c r="I121" s="1"/>
  <c r="H122"/>
  <c r="I122" s="1"/>
  <c r="H117"/>
  <c r="I117" s="1"/>
  <c r="H113"/>
  <c r="I113" s="1"/>
  <c r="H114"/>
  <c r="I114" s="1"/>
  <c r="H112"/>
  <c r="I112" s="1"/>
  <c r="H104"/>
  <c r="I104" s="1"/>
  <c r="H105"/>
  <c r="I105" s="1"/>
  <c r="H106"/>
  <c r="I106" s="1"/>
  <c r="H107"/>
  <c r="I107" s="1"/>
  <c r="H103"/>
  <c r="H99"/>
  <c r="I99"/>
  <c r="H100"/>
  <c r="I100"/>
  <c r="H98"/>
  <c r="I98"/>
  <c r="H73"/>
  <c r="I73"/>
  <c r="H74"/>
  <c r="I74"/>
  <c r="H75"/>
  <c r="I75"/>
  <c r="H76"/>
  <c r="I76"/>
  <c r="H77"/>
  <c r="I77"/>
  <c r="H78"/>
  <c r="I78"/>
  <c r="H79"/>
  <c r="I79"/>
  <c r="H80"/>
  <c r="I80"/>
  <c r="H81"/>
  <c r="I81"/>
  <c r="H82"/>
  <c r="I82"/>
  <c r="H83"/>
  <c r="I83"/>
  <c r="H84"/>
  <c r="I84"/>
  <c r="H85"/>
  <c r="I85"/>
  <c r="H86"/>
  <c r="I86"/>
  <c r="H87"/>
  <c r="I87"/>
  <c r="H88"/>
  <c r="I88"/>
  <c r="H89"/>
  <c r="I89"/>
  <c r="H90"/>
  <c r="I90"/>
  <c r="H91"/>
  <c r="I91"/>
  <c r="H92"/>
  <c r="I92"/>
  <c r="H93"/>
  <c r="I93"/>
  <c r="H72"/>
  <c r="I72"/>
  <c r="H61"/>
  <c r="I61"/>
  <c r="H62"/>
  <c r="I62"/>
  <c r="H63"/>
  <c r="I63"/>
  <c r="H64"/>
  <c r="I64"/>
  <c r="H65"/>
  <c r="I65"/>
  <c r="H66"/>
  <c r="I66"/>
  <c r="H67"/>
  <c r="I67"/>
  <c r="H68"/>
  <c r="I68"/>
  <c r="H69"/>
  <c r="I69"/>
  <c r="H60"/>
  <c r="I60"/>
  <c r="H54"/>
  <c r="I54"/>
  <c r="H55"/>
  <c r="I55"/>
  <c r="H53"/>
  <c r="I53"/>
  <c r="H48"/>
  <c r="I48"/>
  <c r="H47"/>
  <c r="I47"/>
  <c r="H44"/>
  <c r="I44"/>
  <c r="H43"/>
  <c r="I43"/>
  <c r="H37"/>
  <c r="I37"/>
  <c r="H19"/>
  <c r="I19"/>
  <c r="H20"/>
  <c r="I20"/>
  <c r="H21"/>
  <c r="I21"/>
  <c r="H22"/>
  <c r="I22"/>
  <c r="H23"/>
  <c r="I23"/>
  <c r="H24"/>
  <c r="I24"/>
  <c r="H25"/>
  <c r="I25"/>
  <c r="H26"/>
  <c r="I26"/>
  <c r="H27"/>
  <c r="I27"/>
  <c r="H28"/>
  <c r="I28"/>
  <c r="H29"/>
  <c r="I29"/>
  <c r="H30"/>
  <c r="I30"/>
  <c r="H31"/>
  <c r="I31"/>
  <c r="H32"/>
  <c r="I32"/>
  <c r="H18"/>
  <c r="I18"/>
  <c r="H15"/>
  <c r="E393"/>
  <c r="F393"/>
  <c r="E394"/>
  <c r="F394"/>
  <c r="E395"/>
  <c r="F395"/>
  <c r="F392"/>
  <c r="E392"/>
  <c r="E388"/>
  <c r="F388"/>
  <c r="F387"/>
  <c r="E387"/>
  <c r="E383"/>
  <c r="F383"/>
  <c r="F382"/>
  <c r="E382"/>
  <c r="E376"/>
  <c r="F376"/>
  <c r="E377"/>
  <c r="F377"/>
  <c r="E378"/>
  <c r="F378"/>
  <c r="F375"/>
  <c r="E375"/>
  <c r="E372"/>
  <c r="F372"/>
  <c r="F371"/>
  <c r="E371"/>
  <c r="E366"/>
  <c r="F366"/>
  <c r="E367"/>
  <c r="F367"/>
  <c r="F365"/>
  <c r="E365"/>
  <c r="E360"/>
  <c r="E361"/>
  <c r="F361"/>
  <c r="E362"/>
  <c r="F362"/>
  <c r="F360"/>
  <c r="E337"/>
  <c r="F337"/>
  <c r="E338"/>
  <c r="F338"/>
  <c r="E339"/>
  <c r="F339"/>
  <c r="E340"/>
  <c r="F340"/>
  <c r="E341"/>
  <c r="F341"/>
  <c r="E342"/>
  <c r="F342"/>
  <c r="E343"/>
  <c r="F343"/>
  <c r="E344"/>
  <c r="F344"/>
  <c r="E345"/>
  <c r="F345"/>
  <c r="E346"/>
  <c r="F346"/>
  <c r="E347"/>
  <c r="F347"/>
  <c r="E348"/>
  <c r="F348"/>
  <c r="E349"/>
  <c r="F349"/>
  <c r="E350"/>
  <c r="F350"/>
  <c r="E351"/>
  <c r="F351"/>
  <c r="E352"/>
  <c r="F352"/>
  <c r="E353"/>
  <c r="F353"/>
  <c r="E354"/>
  <c r="F354"/>
  <c r="E355"/>
  <c r="F355"/>
  <c r="E356"/>
  <c r="F356"/>
  <c r="E357"/>
  <c r="F357"/>
  <c r="F336"/>
  <c r="E336"/>
  <c r="E327"/>
  <c r="F327"/>
  <c r="E328"/>
  <c r="F328"/>
  <c r="E329"/>
  <c r="F329"/>
  <c r="E330"/>
  <c r="F330"/>
  <c r="E331"/>
  <c r="F331"/>
  <c r="F326"/>
  <c r="E326"/>
  <c r="E322"/>
  <c r="F322"/>
  <c r="E323"/>
  <c r="F323"/>
  <c r="F321"/>
  <c r="E321"/>
  <c r="F319"/>
  <c r="E319"/>
  <c r="E313"/>
  <c r="F313"/>
  <c r="E314"/>
  <c r="F314"/>
  <c r="E315"/>
  <c r="F315"/>
  <c r="E316"/>
  <c r="F316"/>
  <c r="F312"/>
  <c r="E312"/>
  <c r="E304"/>
  <c r="F304"/>
  <c r="E305"/>
  <c r="F305"/>
  <c r="E306"/>
  <c r="F306"/>
  <c r="E307"/>
  <c r="F307"/>
  <c r="E308"/>
  <c r="F308"/>
  <c r="E309"/>
  <c r="F309"/>
  <c r="F303"/>
  <c r="E303"/>
  <c r="E293"/>
  <c r="F293"/>
  <c r="E294"/>
  <c r="F294"/>
  <c r="E295"/>
  <c r="F295"/>
  <c r="E296"/>
  <c r="F296"/>
  <c r="E297"/>
  <c r="F297"/>
  <c r="E298"/>
  <c r="F298"/>
  <c r="F292"/>
  <c r="E292"/>
  <c r="E284"/>
  <c r="F284"/>
  <c r="E285"/>
  <c r="F285"/>
  <c r="E286"/>
  <c r="F286"/>
  <c r="E287"/>
  <c r="F287"/>
  <c r="F283"/>
  <c r="E283"/>
  <c r="E273"/>
  <c r="F273"/>
  <c r="E274"/>
  <c r="F274"/>
  <c r="E275"/>
  <c r="F275"/>
  <c r="E276"/>
  <c r="F276"/>
  <c r="E277"/>
  <c r="F277"/>
  <c r="E278"/>
  <c r="F278"/>
  <c r="F272"/>
  <c r="E272"/>
  <c r="E266"/>
  <c r="F266"/>
  <c r="E267"/>
  <c r="F267"/>
  <c r="F265"/>
  <c r="E265"/>
  <c r="E242"/>
  <c r="F242"/>
  <c r="E243"/>
  <c r="F243"/>
  <c r="E244"/>
  <c r="F244"/>
  <c r="E245"/>
  <c r="F245"/>
  <c r="E246"/>
  <c r="F246"/>
  <c r="E247"/>
  <c r="F247"/>
  <c r="E248"/>
  <c r="F248"/>
  <c r="E249"/>
  <c r="F249"/>
  <c r="E250"/>
  <c r="F250"/>
  <c r="E251"/>
  <c r="F251"/>
  <c r="E252"/>
  <c r="F252"/>
  <c r="E253"/>
  <c r="F253"/>
  <c r="E254"/>
  <c r="F254"/>
  <c r="E255"/>
  <c r="F255"/>
  <c r="E256"/>
  <c r="F256"/>
  <c r="E257"/>
  <c r="F257"/>
  <c r="E258"/>
  <c r="F258"/>
  <c r="E259"/>
  <c r="F259"/>
  <c r="E260"/>
  <c r="F260"/>
  <c r="E261"/>
  <c r="F261"/>
  <c r="E262"/>
  <c r="F262"/>
  <c r="F241"/>
  <c r="E241"/>
  <c r="E237"/>
  <c r="F237"/>
  <c r="E238"/>
  <c r="F238"/>
  <c r="F236"/>
  <c r="E236"/>
  <c r="E230"/>
  <c r="F230"/>
  <c r="E231"/>
  <c r="F231"/>
  <c r="F229"/>
  <c r="E229"/>
  <c r="E225"/>
  <c r="F225"/>
  <c r="E226"/>
  <c r="F226"/>
  <c r="F224"/>
  <c r="E224"/>
  <c r="E218"/>
  <c r="F218"/>
  <c r="E219"/>
  <c r="F219"/>
  <c r="F217"/>
  <c r="E217"/>
  <c r="E213"/>
  <c r="F213"/>
  <c r="E214"/>
  <c r="F214"/>
  <c r="F212"/>
  <c r="E212"/>
  <c r="E199"/>
  <c r="F199"/>
  <c r="E200"/>
  <c r="F200"/>
  <c r="E201"/>
  <c r="F201"/>
  <c r="E202"/>
  <c r="F202"/>
  <c r="E203"/>
  <c r="F203"/>
  <c r="E204"/>
  <c r="F204"/>
  <c r="E205"/>
  <c r="F205"/>
  <c r="E206"/>
  <c r="F206"/>
  <c r="E207"/>
  <c r="F207"/>
  <c r="F198"/>
  <c r="E198"/>
  <c r="E193"/>
  <c r="F193"/>
  <c r="E194"/>
  <c r="F194"/>
  <c r="E195"/>
  <c r="F195"/>
  <c r="F192"/>
  <c r="E192"/>
  <c r="E187"/>
  <c r="F187"/>
  <c r="E188"/>
  <c r="F188"/>
  <c r="E189"/>
  <c r="F189"/>
  <c r="F186"/>
  <c r="E186"/>
  <c r="E180"/>
  <c r="F180"/>
  <c r="E181"/>
  <c r="F181"/>
  <c r="F179"/>
  <c r="E179"/>
  <c r="E167"/>
  <c r="F167"/>
  <c r="E168"/>
  <c r="F168"/>
  <c r="E169"/>
  <c r="F169"/>
  <c r="E170"/>
  <c r="F170"/>
  <c r="E171"/>
  <c r="F171"/>
  <c r="E172"/>
  <c r="F172"/>
  <c r="E173"/>
  <c r="F173"/>
  <c r="E174"/>
  <c r="F174"/>
  <c r="E175"/>
  <c r="F175"/>
  <c r="F166"/>
  <c r="E166"/>
  <c r="E161"/>
  <c r="F161"/>
  <c r="E162"/>
  <c r="F162"/>
  <c r="E163"/>
  <c r="F163"/>
  <c r="F160"/>
  <c r="E160"/>
  <c r="E155"/>
  <c r="F155"/>
  <c r="E156"/>
  <c r="F156"/>
  <c r="E157"/>
  <c r="F157"/>
  <c r="F154"/>
  <c r="E154"/>
  <c r="E149"/>
  <c r="F149"/>
  <c r="E150"/>
  <c r="F150"/>
  <c r="E151"/>
  <c r="F151"/>
  <c r="F148"/>
  <c r="E148"/>
  <c r="E142"/>
  <c r="F142"/>
  <c r="E143"/>
  <c r="F143"/>
  <c r="F141"/>
  <c r="E141"/>
  <c r="E129"/>
  <c r="F129"/>
  <c r="E130"/>
  <c r="F130"/>
  <c r="E131"/>
  <c r="F131"/>
  <c r="E132"/>
  <c r="F132"/>
  <c r="E133"/>
  <c r="F133"/>
  <c r="E134"/>
  <c r="F134"/>
  <c r="F128"/>
  <c r="E128"/>
  <c r="E118"/>
  <c r="F118"/>
  <c r="E119"/>
  <c r="F119"/>
  <c r="E120"/>
  <c r="F120"/>
  <c r="E121"/>
  <c r="F121"/>
  <c r="E122"/>
  <c r="F122"/>
  <c r="F117"/>
  <c r="E117"/>
  <c r="E113"/>
  <c r="F113"/>
  <c r="E114"/>
  <c r="F114"/>
  <c r="F112"/>
  <c r="E112"/>
  <c r="E104"/>
  <c r="F104"/>
  <c r="E105"/>
  <c r="F105"/>
  <c r="E106"/>
  <c r="F106"/>
  <c r="E107"/>
  <c r="F107"/>
  <c r="F103"/>
  <c r="E103"/>
  <c r="E99"/>
  <c r="F99"/>
  <c r="E100"/>
  <c r="F100"/>
  <c r="F98"/>
  <c r="E98"/>
  <c r="E73"/>
  <c r="F73"/>
  <c r="E74"/>
  <c r="F74"/>
  <c r="E75"/>
  <c r="F75"/>
  <c r="E76"/>
  <c r="F76"/>
  <c r="E77"/>
  <c r="F77"/>
  <c r="E78"/>
  <c r="F78"/>
  <c r="E79"/>
  <c r="F79"/>
  <c r="E80"/>
  <c r="F80"/>
  <c r="E81"/>
  <c r="F81"/>
  <c r="E82"/>
  <c r="F82"/>
  <c r="E83"/>
  <c r="F83"/>
  <c r="E84"/>
  <c r="F84"/>
  <c r="E85"/>
  <c r="F85"/>
  <c r="E86"/>
  <c r="F86"/>
  <c r="E87"/>
  <c r="F87"/>
  <c r="E88"/>
  <c r="F88"/>
  <c r="E89"/>
  <c r="F89"/>
  <c r="E90"/>
  <c r="F90"/>
  <c r="E91"/>
  <c r="F91"/>
  <c r="E92"/>
  <c r="F92"/>
  <c r="E93"/>
  <c r="F93"/>
  <c r="F72"/>
  <c r="E72"/>
  <c r="E61"/>
  <c r="F61"/>
  <c r="E62"/>
  <c r="F62"/>
  <c r="E63"/>
  <c r="F63"/>
  <c r="E64"/>
  <c r="F64"/>
  <c r="E65"/>
  <c r="F65"/>
  <c r="E66"/>
  <c r="F66"/>
  <c r="E67"/>
  <c r="F67"/>
  <c r="E68"/>
  <c r="F68"/>
  <c r="E69"/>
  <c r="F69"/>
  <c r="F60"/>
  <c r="E60"/>
  <c r="E54"/>
  <c r="F54"/>
  <c r="E55"/>
  <c r="F55"/>
  <c r="F53"/>
  <c r="E53"/>
  <c r="F48"/>
  <c r="E48"/>
  <c r="F47"/>
  <c r="E47"/>
  <c r="F44"/>
  <c r="E44"/>
  <c r="F43"/>
  <c r="E43"/>
  <c r="F37"/>
  <c r="E37"/>
  <c r="E19"/>
  <c r="F19"/>
  <c r="E20"/>
  <c r="F20"/>
  <c r="E21"/>
  <c r="F21"/>
  <c r="E22"/>
  <c r="F22"/>
  <c r="E23"/>
  <c r="F23"/>
  <c r="E24"/>
  <c r="F24"/>
  <c r="E25"/>
  <c r="F25"/>
  <c r="E26"/>
  <c r="F26"/>
  <c r="E27"/>
  <c r="F27"/>
  <c r="E28"/>
  <c r="F28"/>
  <c r="E29"/>
  <c r="F29"/>
  <c r="E30"/>
  <c r="F30"/>
  <c r="E31"/>
  <c r="F31"/>
  <c r="E32"/>
  <c r="F32"/>
  <c r="F18"/>
  <c r="E18"/>
  <c r="F15"/>
  <c r="E15"/>
  <c r="K12" i="33"/>
  <c r="G744" i="41"/>
  <c r="D744"/>
  <c r="C2103" i="44"/>
  <c r="E2103"/>
  <c r="G327" i="43"/>
  <c r="G326"/>
  <c r="I326" s="1"/>
  <c r="I325" s="1"/>
  <c r="B34" i="48"/>
  <c r="B33"/>
  <c r="B32"/>
  <c r="B31"/>
  <c r="B30"/>
  <c r="B29"/>
  <c r="B28"/>
  <c r="B27"/>
  <c r="B26"/>
  <c r="B25"/>
  <c r="B24"/>
  <c r="B23"/>
  <c r="B22"/>
  <c r="B21"/>
  <c r="B20"/>
  <c r="B19"/>
  <c r="B18"/>
  <c r="B17"/>
  <c r="B16"/>
  <c r="B15"/>
  <c r="B14"/>
  <c r="B13"/>
  <c r="B11"/>
  <c r="B12"/>
  <c r="B63" i="33"/>
  <c r="B61"/>
  <c r="B59"/>
  <c r="B57"/>
  <c r="B55"/>
  <c r="B53"/>
  <c r="B51"/>
  <c r="B49"/>
  <c r="B47"/>
  <c r="B45"/>
  <c r="B37"/>
  <c r="B35"/>
  <c r="B33"/>
  <c r="B31"/>
  <c r="B29"/>
  <c r="B27"/>
  <c r="B25"/>
  <c r="B23"/>
  <c r="B21"/>
  <c r="B17"/>
  <c r="B19"/>
  <c r="B15"/>
  <c r="B13"/>
  <c r="B11"/>
  <c r="G761" i="41"/>
  <c r="D761"/>
  <c r="G179" i="43"/>
  <c r="G180"/>
  <c r="I180" s="1"/>
  <c r="I177" s="1"/>
  <c r="C2139" i="44"/>
  <c r="E2139"/>
  <c r="I178" i="43"/>
  <c r="G760" i="41"/>
  <c r="G759"/>
  <c r="G757"/>
  <c r="G756"/>
  <c r="G755"/>
  <c r="D755"/>
  <c r="D756"/>
  <c r="D757"/>
  <c r="D758"/>
  <c r="D759"/>
  <c r="D760"/>
  <c r="C760"/>
  <c r="E760"/>
  <c r="C759"/>
  <c r="E759" s="1"/>
  <c r="F759"/>
  <c r="C758"/>
  <c r="E758"/>
  <c r="C756"/>
  <c r="E756"/>
  <c r="H759"/>
  <c r="E2137" i="44"/>
  <c r="E2135"/>
  <c r="K2133"/>
  <c r="G758" i="41"/>
  <c r="C2131" i="44"/>
  <c r="C757" i="41" s="1"/>
  <c r="H757" s="1"/>
  <c r="I757" s="1"/>
  <c r="K757" s="1"/>
  <c r="E2131" i="44"/>
  <c r="E2133"/>
  <c r="E2129"/>
  <c r="C2127"/>
  <c r="C755" i="41" s="1"/>
  <c r="F755" s="1"/>
  <c r="E2127" i="44"/>
  <c r="I240" i="43"/>
  <c r="I165"/>
  <c r="I42"/>
  <c r="I235"/>
  <c r="I369"/>
  <c r="I147"/>
  <c r="I191"/>
  <c r="I111"/>
  <c r="I97"/>
  <c r="I59"/>
  <c r="I52"/>
  <c r="I17"/>
  <c r="I46"/>
  <c r="I116"/>
  <c r="I71"/>
  <c r="I327"/>
  <c r="I179"/>
  <c r="C744" i="41"/>
  <c r="E744" s="1"/>
  <c r="C761"/>
  <c r="F761"/>
  <c r="J759"/>
  <c r="F758"/>
  <c r="F760"/>
  <c r="H758"/>
  <c r="D23" i="45"/>
  <c r="D27"/>
  <c r="D29"/>
  <c r="E29"/>
  <c r="I758" i="41"/>
  <c r="F756"/>
  <c r="H760"/>
  <c r="I760"/>
  <c r="I759"/>
  <c r="H756"/>
  <c r="I756" s="1"/>
  <c r="K756"/>
  <c r="G754"/>
  <c r="G753"/>
  <c r="J753" s="1"/>
  <c r="G752"/>
  <c r="G751"/>
  <c r="G750"/>
  <c r="G749"/>
  <c r="K749" s="1"/>
  <c r="G748"/>
  <c r="G747"/>
  <c r="D747"/>
  <c r="D748"/>
  <c r="D749"/>
  <c r="D750"/>
  <c r="D751"/>
  <c r="D752"/>
  <c r="D753"/>
  <c r="D754"/>
  <c r="C754"/>
  <c r="F754"/>
  <c r="C753"/>
  <c r="F753" s="1"/>
  <c r="E753"/>
  <c r="C752"/>
  <c r="H752"/>
  <c r="I752" s="1"/>
  <c r="K752" s="1"/>
  <c r="C751"/>
  <c r="F751" s="1"/>
  <c r="C750"/>
  <c r="F750" s="1"/>
  <c r="C749"/>
  <c r="C748"/>
  <c r="C747"/>
  <c r="H750"/>
  <c r="I750" s="1"/>
  <c r="K750" s="1"/>
  <c r="E2125" i="44"/>
  <c r="E2123"/>
  <c r="E2121"/>
  <c r="E2119"/>
  <c r="E2117"/>
  <c r="E2115"/>
  <c r="E2113"/>
  <c r="E2111"/>
  <c r="H755" i="41"/>
  <c r="I755" s="1"/>
  <c r="E761"/>
  <c r="J758"/>
  <c r="J756"/>
  <c r="F752"/>
  <c r="H754"/>
  <c r="I754" s="1"/>
  <c r="E754"/>
  <c r="J752"/>
  <c r="E747"/>
  <c r="J750"/>
  <c r="E750"/>
  <c r="H753"/>
  <c r="I753" s="1"/>
  <c r="K753"/>
  <c r="E752"/>
  <c r="H749"/>
  <c r="I749" s="1"/>
  <c r="H155" i="43"/>
  <c r="I155" s="1"/>
  <c r="I153" s="1"/>
  <c r="I38"/>
  <c r="I36"/>
  <c r="D119" i="41"/>
  <c r="D120"/>
  <c r="D121"/>
  <c r="C120"/>
  <c r="E410" i="44"/>
  <c r="H577"/>
  <c r="K577"/>
  <c r="K80"/>
  <c r="K78"/>
  <c r="E2091"/>
  <c r="I320" i="43"/>
  <c r="G828" i="41"/>
  <c r="D828"/>
  <c r="C2293" i="44"/>
  <c r="C827" i="41" s="1"/>
  <c r="F827"/>
  <c r="C2295" i="44"/>
  <c r="C828" i="41"/>
  <c r="F828" s="1"/>
  <c r="E746"/>
  <c r="E830"/>
  <c r="D831"/>
  <c r="C831"/>
  <c r="D827"/>
  <c r="G827"/>
  <c r="E826"/>
  <c r="C61" i="33" s="1"/>
  <c r="K2299" i="44"/>
  <c r="G831" i="41"/>
  <c r="E2299" i="44"/>
  <c r="D764" i="41"/>
  <c r="D765"/>
  <c r="D766"/>
  <c r="D767"/>
  <c r="D768"/>
  <c r="D769"/>
  <c r="D770"/>
  <c r="D771"/>
  <c r="D772"/>
  <c r="D773"/>
  <c r="D774"/>
  <c r="D775"/>
  <c r="D776"/>
  <c r="D777"/>
  <c r="D778"/>
  <c r="D779"/>
  <c r="D780"/>
  <c r="D781"/>
  <c r="D782"/>
  <c r="D783"/>
  <c r="D784"/>
  <c r="D785"/>
  <c r="D786"/>
  <c r="D787"/>
  <c r="D788"/>
  <c r="D789"/>
  <c r="D790"/>
  <c r="D791"/>
  <c r="D792"/>
  <c r="D793"/>
  <c r="D794"/>
  <c r="D795"/>
  <c r="D796"/>
  <c r="D797"/>
  <c r="D798"/>
  <c r="D799"/>
  <c r="D800"/>
  <c r="D801"/>
  <c r="D802"/>
  <c r="D803"/>
  <c r="D804"/>
  <c r="D805"/>
  <c r="D806"/>
  <c r="D807"/>
  <c r="D808"/>
  <c r="D809"/>
  <c r="D810"/>
  <c r="D811"/>
  <c r="D812"/>
  <c r="D813"/>
  <c r="D814"/>
  <c r="D815"/>
  <c r="D816"/>
  <c r="D817"/>
  <c r="D818"/>
  <c r="D819"/>
  <c r="D820"/>
  <c r="D821"/>
  <c r="D822"/>
  <c r="D823"/>
  <c r="D824"/>
  <c r="G824"/>
  <c r="G823"/>
  <c r="G818"/>
  <c r="G819"/>
  <c r="G820"/>
  <c r="G821"/>
  <c r="G822"/>
  <c r="G817"/>
  <c r="G816"/>
  <c r="G815"/>
  <c r="G814"/>
  <c r="G813"/>
  <c r="G812"/>
  <c r="G811"/>
  <c r="G810"/>
  <c r="G809"/>
  <c r="G808"/>
  <c r="G807"/>
  <c r="G806"/>
  <c r="G805"/>
  <c r="G804"/>
  <c r="G803"/>
  <c r="G802"/>
  <c r="G801"/>
  <c r="G800"/>
  <c r="G799"/>
  <c r="G797"/>
  <c r="G798"/>
  <c r="G792"/>
  <c r="G793"/>
  <c r="G794"/>
  <c r="G795"/>
  <c r="J795" s="1"/>
  <c r="G796"/>
  <c r="G791"/>
  <c r="G790"/>
  <c r="G789"/>
  <c r="G783"/>
  <c r="G784"/>
  <c r="G785"/>
  <c r="G786"/>
  <c r="G787"/>
  <c r="G788"/>
  <c r="G782"/>
  <c r="G781"/>
  <c r="G780"/>
  <c r="G779"/>
  <c r="G778"/>
  <c r="G777"/>
  <c r="G776"/>
  <c r="G775"/>
  <c r="G774"/>
  <c r="G773"/>
  <c r="G772"/>
  <c r="G771"/>
  <c r="G770"/>
  <c r="G769"/>
  <c r="G768"/>
  <c r="G767"/>
  <c r="G766"/>
  <c r="G765"/>
  <c r="G764"/>
  <c r="C813"/>
  <c r="C824"/>
  <c r="C823"/>
  <c r="C822"/>
  <c r="F822" s="1"/>
  <c r="C821"/>
  <c r="C820"/>
  <c r="H820" s="1"/>
  <c r="C819"/>
  <c r="C818"/>
  <c r="F818" s="1"/>
  <c r="C817"/>
  <c r="C816"/>
  <c r="F816"/>
  <c r="C815"/>
  <c r="E815"/>
  <c r="C814"/>
  <c r="F814"/>
  <c r="C812"/>
  <c r="H812"/>
  <c r="J812" s="1"/>
  <c r="C811"/>
  <c r="H811"/>
  <c r="I811" s="1"/>
  <c r="C810"/>
  <c r="F810"/>
  <c r="C809"/>
  <c r="C808"/>
  <c r="E808" s="1"/>
  <c r="C807"/>
  <c r="C806"/>
  <c r="C805"/>
  <c r="F805" s="1"/>
  <c r="C804"/>
  <c r="E804" s="1"/>
  <c r="C803"/>
  <c r="C802"/>
  <c r="F802" s="1"/>
  <c r="C801"/>
  <c r="C800"/>
  <c r="C799"/>
  <c r="C798"/>
  <c r="E798" s="1"/>
  <c r="C797"/>
  <c r="C796"/>
  <c r="C795"/>
  <c r="H795" s="1"/>
  <c r="I795"/>
  <c r="C794"/>
  <c r="E794"/>
  <c r="C793"/>
  <c r="F793"/>
  <c r="C792"/>
  <c r="F792"/>
  <c r="C791"/>
  <c r="H791"/>
  <c r="I791" s="1"/>
  <c r="C790"/>
  <c r="E790"/>
  <c r="C789"/>
  <c r="F789"/>
  <c r="C788"/>
  <c r="F788"/>
  <c r="C787"/>
  <c r="H787"/>
  <c r="I787" s="1"/>
  <c r="C786"/>
  <c r="F786"/>
  <c r="C785"/>
  <c r="F785"/>
  <c r="C784"/>
  <c r="H784"/>
  <c r="I784" s="1"/>
  <c r="C783"/>
  <c r="C782"/>
  <c r="E782" s="1"/>
  <c r="C781"/>
  <c r="C780"/>
  <c r="C779"/>
  <c r="H779" s="1"/>
  <c r="C778"/>
  <c r="C777"/>
  <c r="F777" s="1"/>
  <c r="C776"/>
  <c r="C775"/>
  <c r="C774"/>
  <c r="C773"/>
  <c r="F773" s="1"/>
  <c r="C772"/>
  <c r="C771"/>
  <c r="E771"/>
  <c r="C770"/>
  <c r="F770"/>
  <c r="C769"/>
  <c r="F769"/>
  <c r="C768"/>
  <c r="F768"/>
  <c r="C767"/>
  <c r="H767"/>
  <c r="I767" s="1"/>
  <c r="C766"/>
  <c r="F766"/>
  <c r="C765"/>
  <c r="F765"/>
  <c r="F809"/>
  <c r="C764"/>
  <c r="H764"/>
  <c r="I764" s="1"/>
  <c r="K764" s="1"/>
  <c r="E763"/>
  <c r="C59" i="33" s="1"/>
  <c r="E2287" i="44"/>
  <c r="E2286"/>
  <c r="E2281"/>
  <c r="E2282"/>
  <c r="E2280"/>
  <c r="E2279"/>
  <c r="E2278"/>
  <c r="E2277"/>
  <c r="E2273"/>
  <c r="E2269"/>
  <c r="E2268"/>
  <c r="E2263"/>
  <c r="E2259"/>
  <c r="E2254"/>
  <c r="E2250"/>
  <c r="E2249"/>
  <c r="E2245"/>
  <c r="E2244"/>
  <c r="E2240"/>
  <c r="E2234"/>
  <c r="E2235"/>
  <c r="E2233"/>
  <c r="E2232"/>
  <c r="E2228"/>
  <c r="E2227"/>
  <c r="E2222"/>
  <c r="E2218"/>
  <c r="E2217"/>
  <c r="E2216"/>
  <c r="E2215"/>
  <c r="E2214"/>
  <c r="E2213"/>
  <c r="E2212"/>
  <c r="E2211"/>
  <c r="E2206"/>
  <c r="E2202"/>
  <c r="E2193"/>
  <c r="E2194"/>
  <c r="E2195"/>
  <c r="E2196"/>
  <c r="E2197"/>
  <c r="E2192"/>
  <c r="E2191"/>
  <c r="E2186"/>
  <c r="E2179"/>
  <c r="E2180"/>
  <c r="E2181"/>
  <c r="E2178"/>
  <c r="E2170"/>
  <c r="E2171"/>
  <c r="E2172"/>
  <c r="E2173"/>
  <c r="E2174"/>
  <c r="E2169"/>
  <c r="E2164"/>
  <c r="E2160"/>
  <c r="E2156"/>
  <c r="E2152"/>
  <c r="E2147"/>
  <c r="E2148"/>
  <c r="C63" i="33"/>
  <c r="C34" i="48"/>
  <c r="C32"/>
  <c r="C33"/>
  <c r="K755" i="41"/>
  <c r="J754"/>
  <c r="K754"/>
  <c r="J749"/>
  <c r="E2293" i="44"/>
  <c r="E792" i="41"/>
  <c r="E824"/>
  <c r="F815"/>
  <c r="F820"/>
  <c r="E786"/>
  <c r="E806"/>
  <c r="H792"/>
  <c r="I792"/>
  <c r="K792" s="1"/>
  <c r="E788"/>
  <c r="F808"/>
  <c r="H788"/>
  <c r="J788"/>
  <c r="F800"/>
  <c r="E820"/>
  <c r="F812"/>
  <c r="F784"/>
  <c r="H768"/>
  <c r="J768"/>
  <c r="E816"/>
  <c r="E812"/>
  <c r="H776"/>
  <c r="I776" s="1"/>
  <c r="K776" s="1"/>
  <c r="E819"/>
  <c r="F811"/>
  <c r="E784"/>
  <c r="E766"/>
  <c r="H816"/>
  <c r="I816"/>
  <c r="K816" s="1"/>
  <c r="E811"/>
  <c r="E810"/>
  <c r="E770"/>
  <c r="E2295" i="44"/>
  <c r="E828" i="41"/>
  <c r="E787"/>
  <c r="E827"/>
  <c r="E768"/>
  <c r="H808"/>
  <c r="E779"/>
  <c r="H771"/>
  <c r="I771" s="1"/>
  <c r="F804"/>
  <c r="E795"/>
  <c r="K795"/>
  <c r="E813"/>
  <c r="F817"/>
  <c r="E807"/>
  <c r="H804"/>
  <c r="E802"/>
  <c r="F798"/>
  <c r="F794"/>
  <c r="H794"/>
  <c r="J811"/>
  <c r="K811"/>
  <c r="H822"/>
  <c r="I822" s="1"/>
  <c r="K822" s="1"/>
  <c r="I809"/>
  <c r="H801"/>
  <c r="I801" s="1"/>
  <c r="K801" s="1"/>
  <c r="F795"/>
  <c r="H814"/>
  <c r="I814"/>
  <c r="K814" s="1"/>
  <c r="I812"/>
  <c r="K812" s="1"/>
  <c r="H805"/>
  <c r="I805" s="1"/>
  <c r="K805" s="1"/>
  <c r="E818"/>
  <c r="H815"/>
  <c r="I815" s="1"/>
  <c r="E814"/>
  <c r="H810"/>
  <c r="I810" s="1"/>
  <c r="E809"/>
  <c r="H798"/>
  <c r="I798" s="1"/>
  <c r="H818"/>
  <c r="E822"/>
  <c r="E805"/>
  <c r="F787"/>
  <c r="F779"/>
  <c r="F771"/>
  <c r="E767"/>
  <c r="E791"/>
  <c r="F790"/>
  <c r="F774"/>
  <c r="F791"/>
  <c r="F783"/>
  <c r="F767"/>
  <c r="K791"/>
  <c r="J787"/>
  <c r="K787"/>
  <c r="I779"/>
  <c r="J767"/>
  <c r="K767"/>
  <c r="I789"/>
  <c r="H777"/>
  <c r="I777" s="1"/>
  <c r="K777" s="1"/>
  <c r="H769"/>
  <c r="I769"/>
  <c r="H765"/>
  <c r="I765" s="1"/>
  <c r="K765" s="1"/>
  <c r="H786"/>
  <c r="I786" s="1"/>
  <c r="E785"/>
  <c r="E777"/>
  <c r="E773"/>
  <c r="H766"/>
  <c r="E765"/>
  <c r="H793"/>
  <c r="I793" s="1"/>
  <c r="K793" s="1"/>
  <c r="H785"/>
  <c r="I785"/>
  <c r="K785" s="1"/>
  <c r="H773"/>
  <c r="I773" s="1"/>
  <c r="K773" s="1"/>
  <c r="E793"/>
  <c r="H790"/>
  <c r="E789"/>
  <c r="H782"/>
  <c r="H770"/>
  <c r="E769"/>
  <c r="J764"/>
  <c r="F764"/>
  <c r="E764"/>
  <c r="I768"/>
  <c r="K768" s="1"/>
  <c r="J776"/>
  <c r="I788"/>
  <c r="K788"/>
  <c r="J792"/>
  <c r="J816"/>
  <c r="K771"/>
  <c r="K810"/>
  <c r="K815"/>
  <c r="J814"/>
  <c r="J793"/>
  <c r="J785"/>
  <c r="J777"/>
  <c r="I790"/>
  <c r="K790" s="1"/>
  <c r="J790"/>
  <c r="J786"/>
  <c r="J769"/>
  <c r="G743"/>
  <c r="J743" s="1"/>
  <c r="G742"/>
  <c r="G741"/>
  <c r="G740"/>
  <c r="G739"/>
  <c r="G738"/>
  <c r="G737"/>
  <c r="G736"/>
  <c r="G735"/>
  <c r="G734"/>
  <c r="G733"/>
  <c r="G732"/>
  <c r="G730"/>
  <c r="G729"/>
  <c r="K729" s="1"/>
  <c r="G728"/>
  <c r="D728"/>
  <c r="D729"/>
  <c r="D730"/>
  <c r="D731"/>
  <c r="D732"/>
  <c r="D733"/>
  <c r="D734"/>
  <c r="D735"/>
  <c r="D736"/>
  <c r="D737"/>
  <c r="D738"/>
  <c r="D739"/>
  <c r="D740"/>
  <c r="D741"/>
  <c r="D742"/>
  <c r="D743"/>
  <c r="C743"/>
  <c r="F743" s="1"/>
  <c r="C742"/>
  <c r="H742" s="1"/>
  <c r="C740"/>
  <c r="C739"/>
  <c r="H739" s="1"/>
  <c r="J739" s="1"/>
  <c r="F739"/>
  <c r="C738"/>
  <c r="F738"/>
  <c r="C737"/>
  <c r="E737" s="1"/>
  <c r="F737"/>
  <c r="C736"/>
  <c r="C735"/>
  <c r="F735" s="1"/>
  <c r="C734"/>
  <c r="C733"/>
  <c r="F733" s="1"/>
  <c r="C732"/>
  <c r="H732" s="1"/>
  <c r="I732" s="1"/>
  <c r="C730"/>
  <c r="F730" s="1"/>
  <c r="C729"/>
  <c r="F729" s="1"/>
  <c r="F736"/>
  <c r="F740"/>
  <c r="C728"/>
  <c r="E2099" i="44"/>
  <c r="E2095"/>
  <c r="E2089"/>
  <c r="E2085"/>
  <c r="E2084"/>
  <c r="E2079"/>
  <c r="E2080"/>
  <c r="E2078"/>
  <c r="E2073"/>
  <c r="E2074"/>
  <c r="E2072"/>
  <c r="E2063"/>
  <c r="E2064"/>
  <c r="E2062"/>
  <c r="H743" i="41"/>
  <c r="I743" s="1"/>
  <c r="K743" s="1"/>
  <c r="C741"/>
  <c r="H729"/>
  <c r="I729" s="1"/>
  <c r="F734"/>
  <c r="E743"/>
  <c r="E739"/>
  <c r="E738"/>
  <c r="H735"/>
  <c r="E735"/>
  <c r="H736"/>
  <c r="I736" s="1"/>
  <c r="K736" s="1"/>
  <c r="H733"/>
  <c r="H737"/>
  <c r="I737" s="1"/>
  <c r="K737" s="1"/>
  <c r="E736"/>
  <c r="E733"/>
  <c r="E729"/>
  <c r="K2068" i="44"/>
  <c r="G731" i="41"/>
  <c r="C2068" i="44"/>
  <c r="C731" i="41"/>
  <c r="E741"/>
  <c r="J737"/>
  <c r="E2068" i="44"/>
  <c r="E728" i="41"/>
  <c r="E727"/>
  <c r="E726"/>
  <c r="D706"/>
  <c r="D707"/>
  <c r="C707"/>
  <c r="F707"/>
  <c r="C706"/>
  <c r="E705"/>
  <c r="K2020" i="44"/>
  <c r="K2018"/>
  <c r="K2022"/>
  <c r="G707" i="41"/>
  <c r="E2022" i="44"/>
  <c r="E2018"/>
  <c r="G721" i="41"/>
  <c r="D721"/>
  <c r="D722"/>
  <c r="D723"/>
  <c r="D724"/>
  <c r="C724"/>
  <c r="F724" s="1"/>
  <c r="C723"/>
  <c r="C722"/>
  <c r="C721"/>
  <c r="E720"/>
  <c r="K2050" i="44"/>
  <c r="K2052"/>
  <c r="K2054"/>
  <c r="G724" i="41"/>
  <c r="E2054" i="44"/>
  <c r="E2052"/>
  <c r="E2050"/>
  <c r="E2048"/>
  <c r="D716" i="41"/>
  <c r="D717"/>
  <c r="D718"/>
  <c r="C718"/>
  <c r="E718"/>
  <c r="C717"/>
  <c r="F717"/>
  <c r="C716"/>
  <c r="F716"/>
  <c r="E715"/>
  <c r="K2040" i="44"/>
  <c r="G716" i="41"/>
  <c r="E2044" i="44"/>
  <c r="E2042"/>
  <c r="E2040"/>
  <c r="D714" i="41"/>
  <c r="C714"/>
  <c r="F714"/>
  <c r="E2036" i="44"/>
  <c r="B2012"/>
  <c r="B2014"/>
  <c r="K2032"/>
  <c r="G712" i="41"/>
  <c r="K2030" i="44"/>
  <c r="G711" i="41"/>
  <c r="K2026" i="44"/>
  <c r="G709" i="41"/>
  <c r="D709"/>
  <c r="D710"/>
  <c r="D711"/>
  <c r="D712"/>
  <c r="D713"/>
  <c r="C713"/>
  <c r="F713"/>
  <c r="C712"/>
  <c r="C711"/>
  <c r="F711" s="1"/>
  <c r="C710"/>
  <c r="C709"/>
  <c r="E709" s="1"/>
  <c r="H709"/>
  <c r="I709" s="1"/>
  <c r="K709" s="1"/>
  <c r="E708"/>
  <c r="E2034" i="44"/>
  <c r="E2032"/>
  <c r="E2030"/>
  <c r="E2028"/>
  <c r="E2026"/>
  <c r="D699" i="41"/>
  <c r="D700"/>
  <c r="D701"/>
  <c r="D702"/>
  <c r="D703"/>
  <c r="D704"/>
  <c r="C704"/>
  <c r="E704"/>
  <c r="C703"/>
  <c r="F703" s="1"/>
  <c r="C702"/>
  <c r="H702"/>
  <c r="C701"/>
  <c r="E701" s="1"/>
  <c r="C700"/>
  <c r="F700"/>
  <c r="E703"/>
  <c r="C699"/>
  <c r="H699" s="1"/>
  <c r="I699"/>
  <c r="E698"/>
  <c r="E2008" i="44"/>
  <c r="K2010"/>
  <c r="G702" i="41"/>
  <c r="K2004" i="44"/>
  <c r="K2006"/>
  <c r="G700" i="41"/>
  <c r="E2014" i="44"/>
  <c r="E2012"/>
  <c r="E2010"/>
  <c r="E2006"/>
  <c r="E2004"/>
  <c r="D693" i="41"/>
  <c r="D694"/>
  <c r="D695"/>
  <c r="D696"/>
  <c r="D697"/>
  <c r="C697"/>
  <c r="F697" s="1"/>
  <c r="C696"/>
  <c r="H696" s="1"/>
  <c r="E696"/>
  <c r="C695"/>
  <c r="C694"/>
  <c r="E694" s="1"/>
  <c r="H694"/>
  <c r="I694" s="1"/>
  <c r="E1999" i="44"/>
  <c r="F1999"/>
  <c r="G1999"/>
  <c r="E2000"/>
  <c r="F2000"/>
  <c r="G2000"/>
  <c r="F1993"/>
  <c r="F1994"/>
  <c r="F1992"/>
  <c r="H1993"/>
  <c r="I1993"/>
  <c r="H1999"/>
  <c r="H1994"/>
  <c r="I1994"/>
  <c r="H2000"/>
  <c r="F1986"/>
  <c r="H1986"/>
  <c r="F1987"/>
  <c r="H1987"/>
  <c r="B1986"/>
  <c r="B1993"/>
  <c r="B1999"/>
  <c r="B1987"/>
  <c r="B1994"/>
  <c r="B2000"/>
  <c r="K1977"/>
  <c r="K1978"/>
  <c r="K1976"/>
  <c r="I1976"/>
  <c r="G1985"/>
  <c r="I1977"/>
  <c r="G1986"/>
  <c r="I1978"/>
  <c r="G1987"/>
  <c r="E692" i="41"/>
  <c r="F1998" i="44"/>
  <c r="E1998"/>
  <c r="E1996"/>
  <c r="I1992"/>
  <c r="H1998"/>
  <c r="H1992"/>
  <c r="E1989"/>
  <c r="H1985"/>
  <c r="F1985"/>
  <c r="B1985"/>
  <c r="B1992"/>
  <c r="B1998"/>
  <c r="E1982"/>
  <c r="E1980"/>
  <c r="G1998"/>
  <c r="E1974"/>
  <c r="C693" i="41"/>
  <c r="H693"/>
  <c r="I693"/>
  <c r="F1932" i="44"/>
  <c r="D681" i="41"/>
  <c r="D682"/>
  <c r="D683"/>
  <c r="D684"/>
  <c r="D685"/>
  <c r="D686"/>
  <c r="D687"/>
  <c r="D688"/>
  <c r="D689"/>
  <c r="D690"/>
  <c r="D691"/>
  <c r="C691"/>
  <c r="C690"/>
  <c r="E690" s="1"/>
  <c r="F690"/>
  <c r="C689"/>
  <c r="F689"/>
  <c r="C688"/>
  <c r="E688" s="1"/>
  <c r="F688"/>
  <c r="C687"/>
  <c r="E687"/>
  <c r="C686"/>
  <c r="H686" s="1"/>
  <c r="F686"/>
  <c r="C685"/>
  <c r="F685"/>
  <c r="C684"/>
  <c r="F684" s="1"/>
  <c r="E684"/>
  <c r="C683"/>
  <c r="H683"/>
  <c r="I683" s="1"/>
  <c r="K683" s="1"/>
  <c r="C682"/>
  <c r="E682" s="1"/>
  <c r="C681"/>
  <c r="F681"/>
  <c r="E680"/>
  <c r="I1947" i="44"/>
  <c r="H1936"/>
  <c r="H1932"/>
  <c r="E1940"/>
  <c r="E1932"/>
  <c r="E1936"/>
  <c r="G203" i="43"/>
  <c r="I203" s="1"/>
  <c r="G200"/>
  <c r="I200"/>
  <c r="D668" i="41"/>
  <c r="D669"/>
  <c r="D670"/>
  <c r="D671"/>
  <c r="D672"/>
  <c r="D673"/>
  <c r="D674"/>
  <c r="D675"/>
  <c r="D679"/>
  <c r="E678"/>
  <c r="G204" i="43"/>
  <c r="I204"/>
  <c r="K1926" i="44"/>
  <c r="K1924"/>
  <c r="G679" i="41"/>
  <c r="E677"/>
  <c r="C29" i="48" s="1"/>
  <c r="C1924" i="44"/>
  <c r="C679" i="41" s="1"/>
  <c r="E1968" i="44"/>
  <c r="E1964"/>
  <c r="E1962"/>
  <c r="E1958"/>
  <c r="H1956"/>
  <c r="G1956"/>
  <c r="F1956"/>
  <c r="E1954"/>
  <c r="H1952"/>
  <c r="E1949"/>
  <c r="H1947"/>
  <c r="F1947"/>
  <c r="E1944"/>
  <c r="E1942"/>
  <c r="E1938"/>
  <c r="F1936"/>
  <c r="E1934"/>
  <c r="G1932"/>
  <c r="E1930"/>
  <c r="C53" i="33"/>
  <c r="C57"/>
  <c r="C31" i="48"/>
  <c r="C55" i="33"/>
  <c r="C30" i="48"/>
  <c r="G206" i="43"/>
  <c r="I206" s="1"/>
  <c r="E724" i="41"/>
  <c r="G706"/>
  <c r="H728"/>
  <c r="I728" s="1"/>
  <c r="K728" s="1"/>
  <c r="F728"/>
  <c r="H707"/>
  <c r="I707" s="1"/>
  <c r="K707"/>
  <c r="H724"/>
  <c r="J724"/>
  <c r="E707"/>
  <c r="F706"/>
  <c r="E706"/>
  <c r="K2042" i="44"/>
  <c r="G723" i="41"/>
  <c r="G722"/>
  <c r="E712"/>
  <c r="H722"/>
  <c r="E721"/>
  <c r="F718"/>
  <c r="H718"/>
  <c r="I718" s="1"/>
  <c r="E717"/>
  <c r="E716"/>
  <c r="H716"/>
  <c r="I716" s="1"/>
  <c r="K716"/>
  <c r="K2028" i="44"/>
  <c r="G710" i="41"/>
  <c r="K2034" i="44"/>
  <c r="G713" i="41"/>
  <c r="K2036" i="44"/>
  <c r="G714" i="41"/>
  <c r="K2012" i="44"/>
  <c r="K2014"/>
  <c r="G704" i="41"/>
  <c r="H713"/>
  <c r="I713" s="1"/>
  <c r="E713"/>
  <c r="F709"/>
  <c r="F704"/>
  <c r="F702"/>
  <c r="H700"/>
  <c r="I700"/>
  <c r="K700" s="1"/>
  <c r="H714"/>
  <c r="I714" s="1"/>
  <c r="E714"/>
  <c r="H710"/>
  <c r="I710" s="1"/>
  <c r="K710" s="1"/>
  <c r="H711"/>
  <c r="I711" s="1"/>
  <c r="K711" s="1"/>
  <c r="J709"/>
  <c r="K2008" i="44"/>
  <c r="G701" i="41"/>
  <c r="F694"/>
  <c r="G699"/>
  <c r="H704"/>
  <c r="I704" s="1"/>
  <c r="K704" s="1"/>
  <c r="I702"/>
  <c r="J702"/>
  <c r="H703"/>
  <c r="I703" s="1"/>
  <c r="E702"/>
  <c r="F701"/>
  <c r="H701"/>
  <c r="I701" s="1"/>
  <c r="K701" s="1"/>
  <c r="E700"/>
  <c r="H688"/>
  <c r="I688"/>
  <c r="K1986" i="44"/>
  <c r="K1987"/>
  <c r="K1994"/>
  <c r="K1998"/>
  <c r="K1974"/>
  <c r="G693" i="41"/>
  <c r="K693" s="1"/>
  <c r="K1999" i="44"/>
  <c r="K2000"/>
  <c r="K1985"/>
  <c r="F696" i="41"/>
  <c r="F699"/>
  <c r="E699"/>
  <c r="E695"/>
  <c r="H697"/>
  <c r="I697" s="1"/>
  <c r="E697"/>
  <c r="K1993" i="44"/>
  <c r="H682" i="41"/>
  <c r="I682" s="1"/>
  <c r="H681"/>
  <c r="I681" s="1"/>
  <c r="H687"/>
  <c r="I687" s="1"/>
  <c r="K687" s="1"/>
  <c r="K1992" i="44"/>
  <c r="F693" i="41"/>
  <c r="E693"/>
  <c r="E691"/>
  <c r="E686"/>
  <c r="H684"/>
  <c r="E683"/>
  <c r="H689"/>
  <c r="I689"/>
  <c r="F687"/>
  <c r="H685"/>
  <c r="I685"/>
  <c r="F683"/>
  <c r="E689"/>
  <c r="E685"/>
  <c r="E681"/>
  <c r="F1952" i="44"/>
  <c r="K1952"/>
  <c r="K1949"/>
  <c r="G686" i="41"/>
  <c r="E1956" i="44"/>
  <c r="K1956"/>
  <c r="K1954"/>
  <c r="K1940"/>
  <c r="K1938"/>
  <c r="K1942"/>
  <c r="G684" i="41"/>
  <c r="G201" i="43"/>
  <c r="I201"/>
  <c r="K1936" i="44"/>
  <c r="K1934"/>
  <c r="G1947"/>
  <c r="K1947"/>
  <c r="K1944"/>
  <c r="G685" i="41"/>
  <c r="K1932" i="44"/>
  <c r="K1930"/>
  <c r="K504"/>
  <c r="G161" i="41"/>
  <c r="D174"/>
  <c r="C174"/>
  <c r="F174" s="1"/>
  <c r="K530" i="44"/>
  <c r="G174" i="41"/>
  <c r="E530" i="44"/>
  <c r="C675" i="41"/>
  <c r="E675" s="1"/>
  <c r="C674"/>
  <c r="H674" s="1"/>
  <c r="C673"/>
  <c r="F673"/>
  <c r="C672"/>
  <c r="F672"/>
  <c r="C671"/>
  <c r="F671"/>
  <c r="C670"/>
  <c r="E670"/>
  <c r="C669"/>
  <c r="F669"/>
  <c r="C668"/>
  <c r="E668"/>
  <c r="K1916" i="44"/>
  <c r="G674" i="41"/>
  <c r="K1914" i="44"/>
  <c r="G673" i="41"/>
  <c r="K1912" i="44"/>
  <c r="G672" i="41"/>
  <c r="K1908" i="44"/>
  <c r="G670" i="41"/>
  <c r="K1904" i="44"/>
  <c r="G668" i="41"/>
  <c r="E667"/>
  <c r="G665"/>
  <c r="G664"/>
  <c r="G663"/>
  <c r="G662"/>
  <c r="G661"/>
  <c r="G660"/>
  <c r="D659"/>
  <c r="D660"/>
  <c r="D661"/>
  <c r="D662"/>
  <c r="D663"/>
  <c r="D664"/>
  <c r="D665"/>
  <c r="D666"/>
  <c r="C666"/>
  <c r="F666" s="1"/>
  <c r="C665"/>
  <c r="E665" s="1"/>
  <c r="C664"/>
  <c r="E664" s="1"/>
  <c r="F664"/>
  <c r="C663"/>
  <c r="F663" s="1"/>
  <c r="C661"/>
  <c r="E661" s="1"/>
  <c r="C660"/>
  <c r="F660" s="1"/>
  <c r="G659"/>
  <c r="C659"/>
  <c r="E658"/>
  <c r="K1900" i="44"/>
  <c r="G666" i="41"/>
  <c r="C1892" i="44"/>
  <c r="E1892" s="1"/>
  <c r="E1918"/>
  <c r="E1916"/>
  <c r="E1914"/>
  <c r="E1912"/>
  <c r="E1910"/>
  <c r="E1908"/>
  <c r="E1906"/>
  <c r="E1904"/>
  <c r="E1900"/>
  <c r="E1898"/>
  <c r="E1896"/>
  <c r="E1894"/>
  <c r="E1890"/>
  <c r="E1888"/>
  <c r="E1886"/>
  <c r="G657" i="41"/>
  <c r="G656"/>
  <c r="D651"/>
  <c r="D652"/>
  <c r="D653"/>
  <c r="D654"/>
  <c r="D655"/>
  <c r="D656"/>
  <c r="D657"/>
  <c r="C657"/>
  <c r="H657" s="1"/>
  <c r="C656"/>
  <c r="H656"/>
  <c r="I656" s="1"/>
  <c r="K656" s="1"/>
  <c r="C655"/>
  <c r="F655" s="1"/>
  <c r="C654"/>
  <c r="F654"/>
  <c r="C653"/>
  <c r="F653" s="1"/>
  <c r="C652"/>
  <c r="E652" s="1"/>
  <c r="C651"/>
  <c r="H651"/>
  <c r="I651" s="1"/>
  <c r="E650"/>
  <c r="G642"/>
  <c r="D642"/>
  <c r="D643"/>
  <c r="D644"/>
  <c r="D645"/>
  <c r="D646"/>
  <c r="D647"/>
  <c r="D648"/>
  <c r="D649"/>
  <c r="C649"/>
  <c r="F649" s="1"/>
  <c r="C648"/>
  <c r="F648" s="1"/>
  <c r="C647"/>
  <c r="F647"/>
  <c r="C646"/>
  <c r="F646" s="1"/>
  <c r="C645"/>
  <c r="F645" s="1"/>
  <c r="C644"/>
  <c r="E644" s="1"/>
  <c r="C643"/>
  <c r="F643"/>
  <c r="C642"/>
  <c r="H642"/>
  <c r="I642" s="1"/>
  <c r="K642" s="1"/>
  <c r="E641"/>
  <c r="K1870" i="44"/>
  <c r="K1872"/>
  <c r="K1878"/>
  <c r="G655" i="41"/>
  <c r="K1866" i="44"/>
  <c r="G649" i="41"/>
  <c r="K1858" i="44"/>
  <c r="K1860"/>
  <c r="K1862"/>
  <c r="K1864"/>
  <c r="G648" i="41"/>
  <c r="K1854" i="44"/>
  <c r="G643" i="41"/>
  <c r="D637"/>
  <c r="D638"/>
  <c r="D639"/>
  <c r="D640"/>
  <c r="C640"/>
  <c r="F640" s="1"/>
  <c r="C639"/>
  <c r="E639" s="1"/>
  <c r="C638"/>
  <c r="F638" s="1"/>
  <c r="C637"/>
  <c r="H637" s="1"/>
  <c r="K1844" i="44"/>
  <c r="G638" i="41"/>
  <c r="K1842" i="44"/>
  <c r="G637" i="41"/>
  <c r="E1848" i="44"/>
  <c r="E1846"/>
  <c r="E1844"/>
  <c r="E1842"/>
  <c r="D627" i="41"/>
  <c r="D628"/>
  <c r="D629"/>
  <c r="D630"/>
  <c r="D631"/>
  <c r="D632"/>
  <c r="D633"/>
  <c r="D634"/>
  <c r="D635"/>
  <c r="C635"/>
  <c r="C634"/>
  <c r="E634"/>
  <c r="C633"/>
  <c r="F633"/>
  <c r="C632"/>
  <c r="F632"/>
  <c r="C631"/>
  <c r="F631"/>
  <c r="C630"/>
  <c r="F630"/>
  <c r="C629"/>
  <c r="E629"/>
  <c r="C628"/>
  <c r="F628"/>
  <c r="C627"/>
  <c r="H627"/>
  <c r="I627" s="1"/>
  <c r="K627" s="1"/>
  <c r="K1832" i="44"/>
  <c r="G632" i="41"/>
  <c r="K1830" i="44"/>
  <c r="G631" i="41"/>
  <c r="E1832" i="44"/>
  <c r="E1830"/>
  <c r="K1828"/>
  <c r="G630" i="41"/>
  <c r="E1828" i="44"/>
  <c r="K1838"/>
  <c r="G635" i="41"/>
  <c r="K1836" i="44"/>
  <c r="G634" i="41"/>
  <c r="K1834" i="44"/>
  <c r="G633" i="41"/>
  <c r="K1822" i="44"/>
  <c r="G627" i="41"/>
  <c r="E636"/>
  <c r="D621"/>
  <c r="D622"/>
  <c r="D623"/>
  <c r="D624"/>
  <c r="D625"/>
  <c r="E626"/>
  <c r="C625"/>
  <c r="E625" s="1"/>
  <c r="C624"/>
  <c r="F624" s="1"/>
  <c r="C623"/>
  <c r="F623" s="1"/>
  <c r="C622"/>
  <c r="F622" s="1"/>
  <c r="E620"/>
  <c r="C621"/>
  <c r="F621"/>
  <c r="D615"/>
  <c r="D616"/>
  <c r="D617"/>
  <c r="D618"/>
  <c r="D619"/>
  <c r="C619"/>
  <c r="F619" s="1"/>
  <c r="C618"/>
  <c r="F618" s="1"/>
  <c r="C617"/>
  <c r="E617" s="1"/>
  <c r="C616"/>
  <c r="F616" s="1"/>
  <c r="C615"/>
  <c r="F615" s="1"/>
  <c r="E614"/>
  <c r="E613"/>
  <c r="D592"/>
  <c r="D593"/>
  <c r="D594"/>
  <c r="D595"/>
  <c r="D596"/>
  <c r="D597"/>
  <c r="D598"/>
  <c r="D599"/>
  <c r="D600"/>
  <c r="D602"/>
  <c r="D603"/>
  <c r="D604"/>
  <c r="D605"/>
  <c r="D606"/>
  <c r="D607"/>
  <c r="D608"/>
  <c r="D609"/>
  <c r="D610"/>
  <c r="D611"/>
  <c r="D612"/>
  <c r="C612"/>
  <c r="H612" s="1"/>
  <c r="I612" s="1"/>
  <c r="C611"/>
  <c r="E611"/>
  <c r="C610"/>
  <c r="F610"/>
  <c r="C609"/>
  <c r="E609"/>
  <c r="C608"/>
  <c r="E608"/>
  <c r="C607"/>
  <c r="F607"/>
  <c r="C606"/>
  <c r="F606"/>
  <c r="C605"/>
  <c r="F605"/>
  <c r="C604"/>
  <c r="E604"/>
  <c r="C603"/>
  <c r="F603"/>
  <c r="C602"/>
  <c r="H602"/>
  <c r="I602" s="1"/>
  <c r="K602" s="1"/>
  <c r="E601"/>
  <c r="C600"/>
  <c r="F600"/>
  <c r="C599"/>
  <c r="F599"/>
  <c r="C598"/>
  <c r="F598"/>
  <c r="C597"/>
  <c r="F597"/>
  <c r="C596"/>
  <c r="F596"/>
  <c r="C595"/>
  <c r="F595"/>
  <c r="C594"/>
  <c r="E594"/>
  <c r="C593"/>
  <c r="F593"/>
  <c r="C592"/>
  <c r="F592"/>
  <c r="E591"/>
  <c r="E590"/>
  <c r="E589"/>
  <c r="G1780" i="44"/>
  <c r="F1792"/>
  <c r="E1734"/>
  <c r="G1712"/>
  <c r="G1697"/>
  <c r="E1882"/>
  <c r="E1880"/>
  <c r="E1878"/>
  <c r="E1876"/>
  <c r="E1874"/>
  <c r="E1872"/>
  <c r="E1870"/>
  <c r="E1866"/>
  <c r="E1864"/>
  <c r="E1862"/>
  <c r="E1860"/>
  <c r="E1858"/>
  <c r="K1856"/>
  <c r="G644" i="41"/>
  <c r="E1856" i="44"/>
  <c r="E1854"/>
  <c r="E1852"/>
  <c r="E1838"/>
  <c r="E1836"/>
  <c r="E1834"/>
  <c r="E1826"/>
  <c r="E1824"/>
  <c r="E1822"/>
  <c r="G1818"/>
  <c r="F1818"/>
  <c r="E1818"/>
  <c r="E1816"/>
  <c r="H1814"/>
  <c r="F1814"/>
  <c r="E1811"/>
  <c r="H1809"/>
  <c r="G1809"/>
  <c r="F1809"/>
  <c r="E1806"/>
  <c r="E1804"/>
  <c r="K1802"/>
  <c r="K1800"/>
  <c r="K1804"/>
  <c r="G622" i="41"/>
  <c r="E1800" i="44"/>
  <c r="F1796"/>
  <c r="E1796"/>
  <c r="E1794"/>
  <c r="I1792"/>
  <c r="H1796"/>
  <c r="H1792"/>
  <c r="E1789"/>
  <c r="H1787"/>
  <c r="F1787"/>
  <c r="B1787"/>
  <c r="B1792"/>
  <c r="B1796"/>
  <c r="E1784"/>
  <c r="E1782"/>
  <c r="E1778"/>
  <c r="E1770"/>
  <c r="E1766"/>
  <c r="E1764"/>
  <c r="E1760"/>
  <c r="H1758"/>
  <c r="G1758"/>
  <c r="F1758"/>
  <c r="E1756"/>
  <c r="H1754"/>
  <c r="E1751"/>
  <c r="I1749"/>
  <c r="H1749"/>
  <c r="F1749"/>
  <c r="E1746"/>
  <c r="E1744"/>
  <c r="K1742"/>
  <c r="K1740"/>
  <c r="G604" i="41"/>
  <c r="E1740" i="44"/>
  <c r="H1738"/>
  <c r="F1738"/>
  <c r="E1736"/>
  <c r="G1734"/>
  <c r="F1734"/>
  <c r="E1732"/>
  <c r="E1726"/>
  <c r="E1722"/>
  <c r="E1718"/>
  <c r="H1716"/>
  <c r="G1716"/>
  <c r="F1716"/>
  <c r="E1716"/>
  <c r="E1714"/>
  <c r="H1712"/>
  <c r="F1712"/>
  <c r="E1709"/>
  <c r="E1707"/>
  <c r="K1705"/>
  <c r="K1703"/>
  <c r="G594" i="41"/>
  <c r="E1703" i="44"/>
  <c r="F1701"/>
  <c r="E1701"/>
  <c r="E1699"/>
  <c r="H1697"/>
  <c r="H1701"/>
  <c r="F1697"/>
  <c r="E1697"/>
  <c r="E1695"/>
  <c r="K1346"/>
  <c r="K1344"/>
  <c r="G445" i="41"/>
  <c r="K1350" i="44"/>
  <c r="K1352"/>
  <c r="K1354"/>
  <c r="G450" i="41"/>
  <c r="D445"/>
  <c r="C445"/>
  <c r="F445"/>
  <c r="E1344" i="44"/>
  <c r="D456" i="41"/>
  <c r="D455"/>
  <c r="C456"/>
  <c r="E456" s="1"/>
  <c r="C455"/>
  <c r="F455" s="1"/>
  <c r="E1366" i="44"/>
  <c r="E1364"/>
  <c r="D580" i="41"/>
  <c r="D582"/>
  <c r="G587"/>
  <c r="G586"/>
  <c r="D587"/>
  <c r="D586"/>
  <c r="C587"/>
  <c r="E587" s="1"/>
  <c r="C586"/>
  <c r="H586" s="1"/>
  <c r="I586" s="1"/>
  <c r="K586" s="1"/>
  <c r="E585"/>
  <c r="E1687" i="44"/>
  <c r="E1685"/>
  <c r="K1681"/>
  <c r="K1675"/>
  <c r="K1669"/>
  <c r="K1661"/>
  <c r="K1655"/>
  <c r="K1657"/>
  <c r="K1659"/>
  <c r="D569" i="41"/>
  <c r="D568"/>
  <c r="D567"/>
  <c r="D566"/>
  <c r="D565"/>
  <c r="D564"/>
  <c r="D563"/>
  <c r="C569"/>
  <c r="H569"/>
  <c r="I569" s="1"/>
  <c r="K569" s="1"/>
  <c r="C568"/>
  <c r="E568" s="1"/>
  <c r="C567"/>
  <c r="C566"/>
  <c r="C565"/>
  <c r="C564"/>
  <c r="C563"/>
  <c r="E1645" i="44"/>
  <c r="E1643"/>
  <c r="K1649"/>
  <c r="G568" i="41"/>
  <c r="K1639" i="44"/>
  <c r="G563" i="41"/>
  <c r="K1651" i="44"/>
  <c r="G569" i="41"/>
  <c r="D561"/>
  <c r="D560"/>
  <c r="D559"/>
  <c r="D558"/>
  <c r="D557"/>
  <c r="D556"/>
  <c r="D555"/>
  <c r="C561"/>
  <c r="E561" s="1"/>
  <c r="C560"/>
  <c r="C559"/>
  <c r="C558"/>
  <c r="C557"/>
  <c r="C556"/>
  <c r="C555"/>
  <c r="K1633" i="44"/>
  <c r="G560" i="41"/>
  <c r="K1631" i="44"/>
  <c r="G559" i="41"/>
  <c r="K1629" i="44"/>
  <c r="G558" i="41"/>
  <c r="K1627" i="44"/>
  <c r="G557" i="41"/>
  <c r="E1631" i="44"/>
  <c r="E1627"/>
  <c r="K1623"/>
  <c r="G555" i="41"/>
  <c r="C551"/>
  <c r="K1613" i="44"/>
  <c r="K1611"/>
  <c r="K1605"/>
  <c r="K1617"/>
  <c r="K1599"/>
  <c r="K1601"/>
  <c r="K1603"/>
  <c r="G531" i="41"/>
  <c r="D531"/>
  <c r="C531"/>
  <c r="E531" s="1"/>
  <c r="E1577" i="44"/>
  <c r="G532" i="41"/>
  <c r="D532"/>
  <c r="C1579" i="44"/>
  <c r="E1579"/>
  <c r="G294" i="43"/>
  <c r="I294"/>
  <c r="I291" s="1"/>
  <c r="D540" i="41"/>
  <c r="D539"/>
  <c r="D538"/>
  <c r="D537"/>
  <c r="D536"/>
  <c r="D535"/>
  <c r="D534"/>
  <c r="D533"/>
  <c r="D530"/>
  <c r="D529"/>
  <c r="G536"/>
  <c r="G535"/>
  <c r="G534"/>
  <c r="G533"/>
  <c r="G530"/>
  <c r="G529"/>
  <c r="C540"/>
  <c r="C539"/>
  <c r="C538"/>
  <c r="C537"/>
  <c r="C535"/>
  <c r="C534"/>
  <c r="C533"/>
  <c r="C530"/>
  <c r="C529"/>
  <c r="K1589" i="44"/>
  <c r="K1591"/>
  <c r="E1593"/>
  <c r="E1591"/>
  <c r="B1563"/>
  <c r="B1565"/>
  <c r="B1567"/>
  <c r="K1595"/>
  <c r="G540" i="41"/>
  <c r="D516"/>
  <c r="C516"/>
  <c r="E516"/>
  <c r="C515"/>
  <c r="C514"/>
  <c r="C513"/>
  <c r="E513"/>
  <c r="C512"/>
  <c r="C511"/>
  <c r="K1547" i="44"/>
  <c r="G516" i="41"/>
  <c r="K1545" i="44"/>
  <c r="G515" i="41"/>
  <c r="E1547" i="44"/>
  <c r="K1539"/>
  <c r="G512" i="41"/>
  <c r="K1537" i="44"/>
  <c r="G511" i="41"/>
  <c r="K1541" i="44"/>
  <c r="G513" i="41"/>
  <c r="D513"/>
  <c r="E1541" i="44"/>
  <c r="K1551"/>
  <c r="G1486"/>
  <c r="D470" i="41"/>
  <c r="C470"/>
  <c r="F470"/>
  <c r="D466"/>
  <c r="D465"/>
  <c r="C466"/>
  <c r="H466"/>
  <c r="I466" s="1"/>
  <c r="C465"/>
  <c r="F465" s="1"/>
  <c r="E1394" i="44"/>
  <c r="K1388"/>
  <c r="K1380"/>
  <c r="E899"/>
  <c r="E1384"/>
  <c r="E1382"/>
  <c r="G459" i="41"/>
  <c r="G458"/>
  <c r="G453"/>
  <c r="D459"/>
  <c r="D458"/>
  <c r="D457"/>
  <c r="D454"/>
  <c r="D453"/>
  <c r="C459"/>
  <c r="E459" s="1"/>
  <c r="C458"/>
  <c r="F458" s="1"/>
  <c r="C457"/>
  <c r="E457" s="1"/>
  <c r="C454"/>
  <c r="F454" s="1"/>
  <c r="C453"/>
  <c r="H453" s="1"/>
  <c r="I453" s="1"/>
  <c r="K453" s="1"/>
  <c r="E452"/>
  <c r="G451"/>
  <c r="G444"/>
  <c r="D451"/>
  <c r="D450"/>
  <c r="D449"/>
  <c r="D448"/>
  <c r="D447"/>
  <c r="D446"/>
  <c r="D444"/>
  <c r="C451"/>
  <c r="E451" s="1"/>
  <c r="C450"/>
  <c r="F450" s="1"/>
  <c r="C449"/>
  <c r="F449" s="1"/>
  <c r="C448"/>
  <c r="E448" s="1"/>
  <c r="C447"/>
  <c r="H447" s="1"/>
  <c r="I447" s="1"/>
  <c r="C446"/>
  <c r="F446"/>
  <c r="C444"/>
  <c r="H444"/>
  <c r="I444" s="1"/>
  <c r="K444" s="1"/>
  <c r="E443"/>
  <c r="D442"/>
  <c r="D441"/>
  <c r="D440"/>
  <c r="D439"/>
  <c r="E438"/>
  <c r="C442"/>
  <c r="H442" s="1"/>
  <c r="I442" s="1"/>
  <c r="C441"/>
  <c r="C440"/>
  <c r="E440" s="1"/>
  <c r="C439"/>
  <c r="H439" s="1"/>
  <c r="I439" s="1"/>
  <c r="K439" s="1"/>
  <c r="D437"/>
  <c r="D436"/>
  <c r="C437"/>
  <c r="F437"/>
  <c r="D435"/>
  <c r="D434"/>
  <c r="D433"/>
  <c r="D432"/>
  <c r="C436"/>
  <c r="H436"/>
  <c r="I436" s="1"/>
  <c r="C435"/>
  <c r="E435" s="1"/>
  <c r="C434"/>
  <c r="E434" s="1"/>
  <c r="C433"/>
  <c r="H433" s="1"/>
  <c r="C432"/>
  <c r="H432"/>
  <c r="I432" s="1"/>
  <c r="K432" s="1"/>
  <c r="H435"/>
  <c r="I435" s="1"/>
  <c r="K435" s="1"/>
  <c r="E431"/>
  <c r="D430"/>
  <c r="D429"/>
  <c r="D428"/>
  <c r="D427"/>
  <c r="D426"/>
  <c r="C430"/>
  <c r="H430" s="1"/>
  <c r="I430" s="1"/>
  <c r="C429"/>
  <c r="E429"/>
  <c r="C428"/>
  <c r="E428"/>
  <c r="C427"/>
  <c r="H427"/>
  <c r="I427" s="1"/>
  <c r="C426"/>
  <c r="H426" s="1"/>
  <c r="I426" s="1"/>
  <c r="K426" s="1"/>
  <c r="E425"/>
  <c r="D424"/>
  <c r="D423"/>
  <c r="D422"/>
  <c r="D421"/>
  <c r="D420"/>
  <c r="C424"/>
  <c r="F424"/>
  <c r="C423"/>
  <c r="H423"/>
  <c r="C422"/>
  <c r="H422"/>
  <c r="I422" s="1"/>
  <c r="C421"/>
  <c r="E421" s="1"/>
  <c r="C420"/>
  <c r="F420" s="1"/>
  <c r="E419"/>
  <c r="D418"/>
  <c r="D417"/>
  <c r="D416"/>
  <c r="D415"/>
  <c r="D414"/>
  <c r="D413"/>
  <c r="D412"/>
  <c r="D411"/>
  <c r="D410"/>
  <c r="D409"/>
  <c r="D408"/>
  <c r="C418"/>
  <c r="E418" s="1"/>
  <c r="C417"/>
  <c r="F417" s="1"/>
  <c r="C416"/>
  <c r="E416" s="1"/>
  <c r="C415"/>
  <c r="F415" s="1"/>
  <c r="C414"/>
  <c r="E414" s="1"/>
  <c r="C413"/>
  <c r="F413" s="1"/>
  <c r="C412"/>
  <c r="E412" s="1"/>
  <c r="C411"/>
  <c r="F411" s="1"/>
  <c r="C410"/>
  <c r="H410" s="1"/>
  <c r="I410" s="1"/>
  <c r="C409"/>
  <c r="E409"/>
  <c r="C408"/>
  <c r="H408"/>
  <c r="I408" s="1"/>
  <c r="E407"/>
  <c r="D406"/>
  <c r="D405"/>
  <c r="D404"/>
  <c r="D403"/>
  <c r="D402"/>
  <c r="D401"/>
  <c r="D400"/>
  <c r="D399"/>
  <c r="C406"/>
  <c r="F406"/>
  <c r="C405"/>
  <c r="E405"/>
  <c r="C404"/>
  <c r="E404"/>
  <c r="C403"/>
  <c r="F403"/>
  <c r="C402"/>
  <c r="F402"/>
  <c r="C401"/>
  <c r="F401"/>
  <c r="C400"/>
  <c r="E400"/>
  <c r="C399"/>
  <c r="F399"/>
  <c r="D398"/>
  <c r="C398"/>
  <c r="H398" s="1"/>
  <c r="I398" s="1"/>
  <c r="E397"/>
  <c r="E396"/>
  <c r="C25" i="48" s="1"/>
  <c r="E1372" i="44"/>
  <c r="E1370"/>
  <c r="E1368"/>
  <c r="E1362"/>
  <c r="K1362"/>
  <c r="K1368"/>
  <c r="G457" i="41"/>
  <c r="E1360" i="44"/>
  <c r="K1334"/>
  <c r="K1332"/>
  <c r="G439" i="41"/>
  <c r="K1328" i="44"/>
  <c r="G437" i="41"/>
  <c r="K1326" i="44"/>
  <c r="G436" i="41"/>
  <c r="K1324" i="44"/>
  <c r="G435" i="41"/>
  <c r="K1318" i="44"/>
  <c r="K1320"/>
  <c r="K1322"/>
  <c r="G434" i="41"/>
  <c r="G1305" i="44"/>
  <c r="G1276"/>
  <c r="F1288"/>
  <c r="F1234"/>
  <c r="G1230"/>
  <c r="E1238"/>
  <c r="E1230"/>
  <c r="G1245"/>
  <c r="H1193"/>
  <c r="H1197"/>
  <c r="G1193"/>
  <c r="E1356"/>
  <c r="E1354"/>
  <c r="E1352"/>
  <c r="E1350"/>
  <c r="E1348"/>
  <c r="E1346"/>
  <c r="E1342"/>
  <c r="E1338"/>
  <c r="E1336"/>
  <c r="E1334"/>
  <c r="E1332"/>
  <c r="E1328"/>
  <c r="E1326"/>
  <c r="E1324"/>
  <c r="E1322"/>
  <c r="E1320"/>
  <c r="E1318"/>
  <c r="G1314"/>
  <c r="F1314"/>
  <c r="E1312"/>
  <c r="H1310"/>
  <c r="E1307"/>
  <c r="H1305"/>
  <c r="F1305"/>
  <c r="E1302"/>
  <c r="E1300"/>
  <c r="F1310"/>
  <c r="E1296"/>
  <c r="F1292"/>
  <c r="E1292"/>
  <c r="E1290"/>
  <c r="I1288"/>
  <c r="H1292"/>
  <c r="H1288"/>
  <c r="E1285"/>
  <c r="H1283"/>
  <c r="F1283"/>
  <c r="B1283"/>
  <c r="B1288"/>
  <c r="B1292"/>
  <c r="E1280"/>
  <c r="E1278"/>
  <c r="E1274"/>
  <c r="E1266"/>
  <c r="E1262"/>
  <c r="E1260"/>
  <c r="E1256"/>
  <c r="H1254"/>
  <c r="G1254"/>
  <c r="E1252"/>
  <c r="H1250"/>
  <c r="E1247"/>
  <c r="I1245"/>
  <c r="H1245"/>
  <c r="E1242"/>
  <c r="E1240"/>
  <c r="E1236"/>
  <c r="H1234"/>
  <c r="E1232"/>
  <c r="E1228"/>
  <c r="E1222"/>
  <c r="E1218"/>
  <c r="E1214"/>
  <c r="H1212"/>
  <c r="G1212"/>
  <c r="F1212"/>
  <c r="E1212"/>
  <c r="E1210"/>
  <c r="H1208"/>
  <c r="F1208"/>
  <c r="E1205"/>
  <c r="E1203"/>
  <c r="K1201"/>
  <c r="K1199"/>
  <c r="G400" i="41"/>
  <c r="E1199" i="44"/>
  <c r="F1197"/>
  <c r="E1197"/>
  <c r="E1195"/>
  <c r="F1193"/>
  <c r="E1193"/>
  <c r="E1191"/>
  <c r="G394" i="41"/>
  <c r="D394"/>
  <c r="D393"/>
  <c r="D392"/>
  <c r="D391"/>
  <c r="D390"/>
  <c r="D389"/>
  <c r="D388"/>
  <c r="D387"/>
  <c r="C394"/>
  <c r="E394" s="1"/>
  <c r="C393"/>
  <c r="E393" s="1"/>
  <c r="C392"/>
  <c r="H392" s="1"/>
  <c r="I392" s="1"/>
  <c r="C391"/>
  <c r="F391"/>
  <c r="C390"/>
  <c r="C389"/>
  <c r="E389" s="1"/>
  <c r="C388"/>
  <c r="H388" s="1"/>
  <c r="I388" s="1"/>
  <c r="C387"/>
  <c r="F387"/>
  <c r="E386"/>
  <c r="D385"/>
  <c r="D384"/>
  <c r="D383"/>
  <c r="D382"/>
  <c r="D381"/>
  <c r="C385"/>
  <c r="H385"/>
  <c r="C384"/>
  <c r="F384"/>
  <c r="C383"/>
  <c r="E383"/>
  <c r="C382"/>
  <c r="F382"/>
  <c r="C381"/>
  <c r="F381"/>
  <c r="E380"/>
  <c r="D379"/>
  <c r="D378"/>
  <c r="D377"/>
  <c r="D376"/>
  <c r="D375"/>
  <c r="C379"/>
  <c r="E379"/>
  <c r="C378"/>
  <c r="F378"/>
  <c r="C377"/>
  <c r="E377"/>
  <c r="C376"/>
  <c r="F376"/>
  <c r="H379"/>
  <c r="C375"/>
  <c r="H375" s="1"/>
  <c r="I375" s="1"/>
  <c r="E374"/>
  <c r="D373"/>
  <c r="D372"/>
  <c r="D371"/>
  <c r="D370"/>
  <c r="D369"/>
  <c r="D368"/>
  <c r="D367"/>
  <c r="D366"/>
  <c r="D365"/>
  <c r="D364"/>
  <c r="D363"/>
  <c r="C373"/>
  <c r="H373"/>
  <c r="I373" s="1"/>
  <c r="C372"/>
  <c r="F372" s="1"/>
  <c r="C371"/>
  <c r="F371" s="1"/>
  <c r="C370"/>
  <c r="E370" s="1"/>
  <c r="C369"/>
  <c r="E369" s="1"/>
  <c r="C368"/>
  <c r="E368" s="1"/>
  <c r="C367"/>
  <c r="F367" s="1"/>
  <c r="C366"/>
  <c r="E366" s="1"/>
  <c r="C365"/>
  <c r="H365" s="1"/>
  <c r="I365" s="1"/>
  <c r="C364"/>
  <c r="F364"/>
  <c r="F370"/>
  <c r="C363"/>
  <c r="H363"/>
  <c r="I363" s="1"/>
  <c r="E362"/>
  <c r="D361"/>
  <c r="D360"/>
  <c r="D359"/>
  <c r="D357"/>
  <c r="D358"/>
  <c r="C361"/>
  <c r="F361" s="1"/>
  <c r="C360"/>
  <c r="F360" s="1"/>
  <c r="C359"/>
  <c r="E359" s="1"/>
  <c r="C358"/>
  <c r="E358" s="1"/>
  <c r="H361"/>
  <c r="C357"/>
  <c r="E356"/>
  <c r="E355"/>
  <c r="K1175" i="44"/>
  <c r="G390" i="41"/>
  <c r="E1169" i="44"/>
  <c r="K1169"/>
  <c r="K1167"/>
  <c r="G387" i="41"/>
  <c r="E1173" i="44"/>
  <c r="E1183"/>
  <c r="E1181"/>
  <c r="E1179"/>
  <c r="E1177"/>
  <c r="E1175"/>
  <c r="E1171"/>
  <c r="E1167"/>
  <c r="K1144"/>
  <c r="G1163"/>
  <c r="F1163"/>
  <c r="E1163"/>
  <c r="B1163"/>
  <c r="G1162"/>
  <c r="F1162"/>
  <c r="B1162"/>
  <c r="E1160"/>
  <c r="H1158"/>
  <c r="F1158"/>
  <c r="B1158"/>
  <c r="H1157"/>
  <c r="B1157"/>
  <c r="E1154"/>
  <c r="H1152"/>
  <c r="G1152"/>
  <c r="F1152"/>
  <c r="B1152"/>
  <c r="H1151"/>
  <c r="F1151"/>
  <c r="B1151"/>
  <c r="E1148"/>
  <c r="E1146"/>
  <c r="E1162"/>
  <c r="E1141"/>
  <c r="F1133"/>
  <c r="G1137"/>
  <c r="F1137"/>
  <c r="E1137"/>
  <c r="E1135"/>
  <c r="I1133"/>
  <c r="H1137"/>
  <c r="H1133"/>
  <c r="E1130"/>
  <c r="H1128"/>
  <c r="F1128"/>
  <c r="B1128"/>
  <c r="B1133"/>
  <c r="B1137"/>
  <c r="E1125"/>
  <c r="E1123"/>
  <c r="K1121"/>
  <c r="K1119"/>
  <c r="K1123"/>
  <c r="G376" i="41"/>
  <c r="I1121" i="44"/>
  <c r="G1128"/>
  <c r="E1119"/>
  <c r="E1077"/>
  <c r="G1092"/>
  <c r="C1048"/>
  <c r="E1048"/>
  <c r="E1113"/>
  <c r="E1109"/>
  <c r="E1107"/>
  <c r="E1103"/>
  <c r="H1101"/>
  <c r="G1101"/>
  <c r="F1101"/>
  <c r="E1101"/>
  <c r="E1099"/>
  <c r="H1097"/>
  <c r="F1097"/>
  <c r="E1094"/>
  <c r="I1092"/>
  <c r="H1092"/>
  <c r="F1092"/>
  <c r="E1089"/>
  <c r="E1087"/>
  <c r="K1085"/>
  <c r="K1083"/>
  <c r="F1105"/>
  <c r="E1083"/>
  <c r="H1081"/>
  <c r="F1081"/>
  <c r="E1079"/>
  <c r="G1077"/>
  <c r="F1077"/>
  <c r="E1075"/>
  <c r="E1071"/>
  <c r="F1069"/>
  <c r="E1069"/>
  <c r="E1067"/>
  <c r="H1065"/>
  <c r="G1065"/>
  <c r="F1065"/>
  <c r="E1062"/>
  <c r="H1060"/>
  <c r="F1060"/>
  <c r="E1058"/>
  <c r="K1056"/>
  <c r="K1054"/>
  <c r="G357" i="41"/>
  <c r="E1054" i="44"/>
  <c r="E317" i="41"/>
  <c r="G354"/>
  <c r="D354"/>
  <c r="D353"/>
  <c r="D352"/>
  <c r="D351"/>
  <c r="D350"/>
  <c r="D349"/>
  <c r="D348"/>
  <c r="C354"/>
  <c r="E354" s="1"/>
  <c r="C353"/>
  <c r="F353" s="1"/>
  <c r="C352"/>
  <c r="F352" s="1"/>
  <c r="C351"/>
  <c r="F351" s="1"/>
  <c r="C350"/>
  <c r="E350" s="1"/>
  <c r="C349"/>
  <c r="F349" s="1"/>
  <c r="C348"/>
  <c r="E1046" i="44"/>
  <c r="E1042"/>
  <c r="E1038"/>
  <c r="E1036"/>
  <c r="K1044"/>
  <c r="G353" i="41"/>
  <c r="F1000" i="44"/>
  <c r="G949"/>
  <c r="F937"/>
  <c r="C909"/>
  <c r="C310" i="41" s="1"/>
  <c r="D310"/>
  <c r="G310"/>
  <c r="G267"/>
  <c r="D267"/>
  <c r="C772" i="44"/>
  <c r="E772" s="1"/>
  <c r="D313" i="41"/>
  <c r="C313"/>
  <c r="F313"/>
  <c r="K907" i="44"/>
  <c r="G309" i="41"/>
  <c r="K905" i="44"/>
  <c r="G308" i="41"/>
  <c r="D309"/>
  <c r="D308"/>
  <c r="D307"/>
  <c r="D306"/>
  <c r="D305"/>
  <c r="D304"/>
  <c r="C309"/>
  <c r="E309"/>
  <c r="C308"/>
  <c r="F308"/>
  <c r="C307"/>
  <c r="C306"/>
  <c r="C305"/>
  <c r="C304"/>
  <c r="K901" i="44"/>
  <c r="K903"/>
  <c r="G307" i="41"/>
  <c r="E907" i="44"/>
  <c r="E901"/>
  <c r="E915"/>
  <c r="F863"/>
  <c r="G811"/>
  <c r="F799"/>
  <c r="D270" i="41"/>
  <c r="C270"/>
  <c r="E778" i="44"/>
  <c r="G266" i="41"/>
  <c r="D266"/>
  <c r="C770" i="44"/>
  <c r="C266" i="41"/>
  <c r="E266" s="1"/>
  <c r="D265"/>
  <c r="D264"/>
  <c r="D263"/>
  <c r="D262"/>
  <c r="D261"/>
  <c r="D260"/>
  <c r="C265"/>
  <c r="F265"/>
  <c r="C264"/>
  <c r="F264"/>
  <c r="C263"/>
  <c r="F263"/>
  <c r="C262"/>
  <c r="E262"/>
  <c r="C261"/>
  <c r="F261"/>
  <c r="C260"/>
  <c r="H263"/>
  <c r="K768" i="44"/>
  <c r="G265" i="41"/>
  <c r="K766" i="44"/>
  <c r="G264" i="41"/>
  <c r="K762" i="44"/>
  <c r="G262" i="41"/>
  <c r="E762" i="44"/>
  <c r="E766"/>
  <c r="F756"/>
  <c r="F723"/>
  <c r="G671"/>
  <c r="F659"/>
  <c r="D216" i="41"/>
  <c r="D215"/>
  <c r="C216"/>
  <c r="E216"/>
  <c r="C215"/>
  <c r="F215"/>
  <c r="E618" i="44"/>
  <c r="E616"/>
  <c r="K614"/>
  <c r="K613"/>
  <c r="K591"/>
  <c r="E598"/>
  <c r="K598"/>
  <c r="K597"/>
  <c r="D200" i="41"/>
  <c r="D199"/>
  <c r="C200"/>
  <c r="F200"/>
  <c r="C199"/>
  <c r="F199"/>
  <c r="E579" i="44"/>
  <c r="E576"/>
  <c r="K576"/>
  <c r="E574"/>
  <c r="E194" i="41"/>
  <c r="E197"/>
  <c r="D191"/>
  <c r="D190"/>
  <c r="C191"/>
  <c r="E191"/>
  <c r="C560" i="44"/>
  <c r="E560"/>
  <c r="D164" i="41"/>
  <c r="C510" i="44"/>
  <c r="E510" s="1"/>
  <c r="B552"/>
  <c r="B554"/>
  <c r="B542"/>
  <c r="K542"/>
  <c r="K544"/>
  <c r="K546"/>
  <c r="K548"/>
  <c r="K534"/>
  <c r="G159" i="41"/>
  <c r="M536" i="44"/>
  <c r="G173" i="41"/>
  <c r="G172"/>
  <c r="G171"/>
  <c r="G170"/>
  <c r="G169"/>
  <c r="G168"/>
  <c r="G167"/>
  <c r="D173"/>
  <c r="D172"/>
  <c r="D171"/>
  <c r="D170"/>
  <c r="D169"/>
  <c r="D168"/>
  <c r="D167"/>
  <c r="C172"/>
  <c r="H172" s="1"/>
  <c r="J172" s="1"/>
  <c r="C171"/>
  <c r="E171" s="1"/>
  <c r="C170"/>
  <c r="H170" s="1"/>
  <c r="C169"/>
  <c r="E169"/>
  <c r="C168"/>
  <c r="H168"/>
  <c r="C528" i="44"/>
  <c r="C173" i="41"/>
  <c r="E173" s="1"/>
  <c r="E524" i="44"/>
  <c r="D137" i="41"/>
  <c r="D136"/>
  <c r="D135"/>
  <c r="D134"/>
  <c r="D133"/>
  <c r="D132"/>
  <c r="D131"/>
  <c r="D130"/>
  <c r="C137"/>
  <c r="E137"/>
  <c r="C136"/>
  <c r="F136"/>
  <c r="C135"/>
  <c r="C134"/>
  <c r="H134" s="1"/>
  <c r="I134" s="1"/>
  <c r="C133"/>
  <c r="E133"/>
  <c r="C132"/>
  <c r="F132"/>
  <c r="C131"/>
  <c r="F131"/>
  <c r="C130"/>
  <c r="H130"/>
  <c r="I130" s="1"/>
  <c r="E129"/>
  <c r="H456" i="44"/>
  <c r="E454"/>
  <c r="E450"/>
  <c r="K446"/>
  <c r="M446"/>
  <c r="E446"/>
  <c r="E442"/>
  <c r="E438"/>
  <c r="K436"/>
  <c r="K434"/>
  <c r="M434"/>
  <c r="E434"/>
  <c r="E432"/>
  <c r="K432"/>
  <c r="E430"/>
  <c r="K428"/>
  <c r="E426"/>
  <c r="D165" i="41"/>
  <c r="C165"/>
  <c r="C163"/>
  <c r="C162"/>
  <c r="C161"/>
  <c r="K508" i="44"/>
  <c r="G163" i="41"/>
  <c r="K506" i="44"/>
  <c r="G162" i="41"/>
  <c r="G158"/>
  <c r="G153"/>
  <c r="D159"/>
  <c r="D158"/>
  <c r="D157"/>
  <c r="D156"/>
  <c r="D155"/>
  <c r="D154"/>
  <c r="D153"/>
  <c r="C159"/>
  <c r="E159" s="1"/>
  <c r="C158"/>
  <c r="E158" s="1"/>
  <c r="C157"/>
  <c r="F157" s="1"/>
  <c r="C156"/>
  <c r="F156" s="1"/>
  <c r="C154"/>
  <c r="E154" s="1"/>
  <c r="C153"/>
  <c r="B500" i="44"/>
  <c r="B490"/>
  <c r="B492"/>
  <c r="B494"/>
  <c r="B496"/>
  <c r="K492"/>
  <c r="G155" i="41"/>
  <c r="C45" i="33"/>
  <c r="C51"/>
  <c r="C28" i="48"/>
  <c r="G207" i="43"/>
  <c r="I207" s="1"/>
  <c r="K574" i="44"/>
  <c r="K579"/>
  <c r="G200" i="41"/>
  <c r="H649"/>
  <c r="J649" s="1"/>
  <c r="E391"/>
  <c r="J728"/>
  <c r="G703"/>
  <c r="J703" s="1"/>
  <c r="I724"/>
  <c r="K724" s="1"/>
  <c r="J707"/>
  <c r="K2044" i="44"/>
  <c r="G718" i="41"/>
  <c r="K718" s="1"/>
  <c r="G717"/>
  <c r="K714"/>
  <c r="K713"/>
  <c r="I722"/>
  <c r="K722" s="1"/>
  <c r="J722"/>
  <c r="J716"/>
  <c r="K1996" i="44"/>
  <c r="G697" i="41"/>
  <c r="J697" s="1"/>
  <c r="J713"/>
  <c r="J700"/>
  <c r="J693"/>
  <c r="J714"/>
  <c r="J710"/>
  <c r="J711"/>
  <c r="K685"/>
  <c r="K1980" i="44"/>
  <c r="G694" i="41"/>
  <c r="J694" s="1"/>
  <c r="J704"/>
  <c r="J701"/>
  <c r="K1982" i="44"/>
  <c r="J684" i="41"/>
  <c r="K1989" i="44"/>
  <c r="G696" i="41"/>
  <c r="J696" s="1"/>
  <c r="K1962" i="44"/>
  <c r="G689" i="41"/>
  <c r="K689"/>
  <c r="G687"/>
  <c r="M1934" i="44"/>
  <c r="G682" i="41"/>
  <c r="K682" s="1"/>
  <c r="F1966" i="44"/>
  <c r="K1966"/>
  <c r="K1964"/>
  <c r="G683" i="41"/>
  <c r="I696"/>
  <c r="H673"/>
  <c r="I673"/>
  <c r="K673" s="1"/>
  <c r="E679"/>
  <c r="F679"/>
  <c r="E673"/>
  <c r="E1960" i="44"/>
  <c r="G681" i="41"/>
  <c r="J681" s="1"/>
  <c r="I686"/>
  <c r="K686" s="1"/>
  <c r="J686"/>
  <c r="J685"/>
  <c r="I684"/>
  <c r="K684" s="1"/>
  <c r="I1945" i="44"/>
  <c r="F1960"/>
  <c r="I1950"/>
  <c r="K512"/>
  <c r="K1906"/>
  <c r="H598" i="41"/>
  <c r="I598"/>
  <c r="E640"/>
  <c r="H640"/>
  <c r="I640" s="1"/>
  <c r="E674"/>
  <c r="E671"/>
  <c r="F675"/>
  <c r="H670"/>
  <c r="I670"/>
  <c r="K670" s="1"/>
  <c r="H174"/>
  <c r="I174"/>
  <c r="K174" s="1"/>
  <c r="E174"/>
  <c r="H666"/>
  <c r="J666"/>
  <c r="H671"/>
  <c r="H675"/>
  <c r="I675" s="1"/>
  <c r="H669"/>
  <c r="E669"/>
  <c r="F674"/>
  <c r="H672"/>
  <c r="I672"/>
  <c r="K672" s="1"/>
  <c r="F670"/>
  <c r="E672"/>
  <c r="K1910" i="44"/>
  <c r="G671" i="41"/>
  <c r="F668"/>
  <c r="H661"/>
  <c r="I661"/>
  <c r="K661" s="1"/>
  <c r="C662"/>
  <c r="H662" s="1"/>
  <c r="I662" s="1"/>
  <c r="H668"/>
  <c r="I668"/>
  <c r="K668" s="1"/>
  <c r="E666"/>
  <c r="H660"/>
  <c r="E660"/>
  <c r="F665"/>
  <c r="H663"/>
  <c r="I663" s="1"/>
  <c r="K663" s="1"/>
  <c r="F661"/>
  <c r="H664"/>
  <c r="E663"/>
  <c r="F659"/>
  <c r="E659"/>
  <c r="E624"/>
  <c r="H633"/>
  <c r="I633"/>
  <c r="K633" s="1"/>
  <c r="F635"/>
  <c r="G645"/>
  <c r="E595"/>
  <c r="E633"/>
  <c r="H645"/>
  <c r="I645" s="1"/>
  <c r="H655"/>
  <c r="I655"/>
  <c r="K655" s="1"/>
  <c r="H594"/>
  <c r="I594" s="1"/>
  <c r="K594" s="1"/>
  <c r="H611"/>
  <c r="I611"/>
  <c r="E647"/>
  <c r="F602"/>
  <c r="G647"/>
  <c r="F652"/>
  <c r="H599"/>
  <c r="I599"/>
  <c r="H607"/>
  <c r="I607"/>
  <c r="E635"/>
  <c r="H648"/>
  <c r="I648" s="1"/>
  <c r="K648" s="1"/>
  <c r="H644"/>
  <c r="I644"/>
  <c r="K644" s="1"/>
  <c r="G646"/>
  <c r="K646" s="1"/>
  <c r="H652"/>
  <c r="G652"/>
  <c r="E656"/>
  <c r="G651"/>
  <c r="J651" s="1"/>
  <c r="F656"/>
  <c r="E657"/>
  <c r="J656"/>
  <c r="H654"/>
  <c r="I654" s="1"/>
  <c r="E653"/>
  <c r="F657"/>
  <c r="E654"/>
  <c r="F651"/>
  <c r="E651"/>
  <c r="E649"/>
  <c r="E648"/>
  <c r="E645"/>
  <c r="E643"/>
  <c r="H646"/>
  <c r="I646"/>
  <c r="F644"/>
  <c r="H647"/>
  <c r="E646"/>
  <c r="J642"/>
  <c r="E642"/>
  <c r="F642"/>
  <c r="H638"/>
  <c r="I638" s="1"/>
  <c r="K638" s="1"/>
  <c r="E637"/>
  <c r="K1846" i="44"/>
  <c r="H630" i="41"/>
  <c r="J630"/>
  <c r="H634"/>
  <c r="I634"/>
  <c r="K634" s="1"/>
  <c r="F634"/>
  <c r="E605"/>
  <c r="K1701" i="44"/>
  <c r="K1699"/>
  <c r="E602" i="41"/>
  <c r="E612"/>
  <c r="H618"/>
  <c r="I618" s="1"/>
  <c r="K618" s="1"/>
  <c r="E630"/>
  <c r="K1716" i="44"/>
  <c r="K1714"/>
  <c r="G597" i="41"/>
  <c r="K1712" i="44"/>
  <c r="K1709"/>
  <c r="G596" i="41"/>
  <c r="G621"/>
  <c r="F611"/>
  <c r="E607"/>
  <c r="E632"/>
  <c r="H608"/>
  <c r="I608"/>
  <c r="H604"/>
  <c r="I604"/>
  <c r="K604" s="1"/>
  <c r="E615"/>
  <c r="H592"/>
  <c r="I592"/>
  <c r="K592" s="1"/>
  <c r="E597"/>
  <c r="E618"/>
  <c r="E621"/>
  <c r="H605"/>
  <c r="I605" s="1"/>
  <c r="H621"/>
  <c r="I621" s="1"/>
  <c r="K621" s="1"/>
  <c r="H625"/>
  <c r="I625" s="1"/>
  <c r="H629"/>
  <c r="I629" s="1"/>
  <c r="H595"/>
  <c r="I595" s="1"/>
  <c r="F609"/>
  <c r="H617"/>
  <c r="I617"/>
  <c r="F625"/>
  <c r="K1824" i="44"/>
  <c r="G628" i="41"/>
  <c r="F639"/>
  <c r="E638"/>
  <c r="F637"/>
  <c r="H628"/>
  <c r="I628"/>
  <c r="E628"/>
  <c r="H631"/>
  <c r="I631" s="1"/>
  <c r="K631" s="1"/>
  <c r="F629"/>
  <c r="E631"/>
  <c r="J627"/>
  <c r="F627"/>
  <c r="E627"/>
  <c r="H622"/>
  <c r="J622" s="1"/>
  <c r="E622"/>
  <c r="H623"/>
  <c r="I623"/>
  <c r="H624"/>
  <c r="E623"/>
  <c r="H616"/>
  <c r="I616"/>
  <c r="E616"/>
  <c r="H619"/>
  <c r="I619" s="1"/>
  <c r="K619" s="1"/>
  <c r="F617"/>
  <c r="E619"/>
  <c r="H615"/>
  <c r="I615" s="1"/>
  <c r="H609"/>
  <c r="H603"/>
  <c r="I603"/>
  <c r="E603"/>
  <c r="F612"/>
  <c r="H610"/>
  <c r="I610"/>
  <c r="F608"/>
  <c r="H606"/>
  <c r="I606" s="1"/>
  <c r="K606" s="1"/>
  <c r="F604"/>
  <c r="E610"/>
  <c r="E606"/>
  <c r="E599"/>
  <c r="E598"/>
  <c r="H593"/>
  <c r="E593"/>
  <c r="H600"/>
  <c r="I600"/>
  <c r="H596"/>
  <c r="I596"/>
  <c r="F594"/>
  <c r="H597"/>
  <c r="E600"/>
  <c r="E596"/>
  <c r="E592"/>
  <c r="K1818" i="44"/>
  <c r="K1816"/>
  <c r="G625" i="41"/>
  <c r="K1809" i="44"/>
  <c r="K1806"/>
  <c r="K1814"/>
  <c r="K1811"/>
  <c r="G1796"/>
  <c r="K1780"/>
  <c r="K1778"/>
  <c r="K1792"/>
  <c r="K1789"/>
  <c r="I1780"/>
  <c r="G1787"/>
  <c r="K1787"/>
  <c r="K1784"/>
  <c r="K1796"/>
  <c r="K1794"/>
  <c r="G619" i="41"/>
  <c r="J619" s="1"/>
  <c r="K1707" i="44"/>
  <c r="G595" i="41"/>
  <c r="F1724" i="44"/>
  <c r="K1724"/>
  <c r="K1722"/>
  <c r="F1720"/>
  <c r="F1768"/>
  <c r="K1768"/>
  <c r="K1766"/>
  <c r="K1744"/>
  <c r="G605" i="41"/>
  <c r="F1762" i="44"/>
  <c r="E1758"/>
  <c r="K1758"/>
  <c r="K1756"/>
  <c r="F1754"/>
  <c r="K1754"/>
  <c r="K1751"/>
  <c r="K1697"/>
  <c r="K1695"/>
  <c r="K1874"/>
  <c r="E445" i="41"/>
  <c r="K1364" i="44"/>
  <c r="F456" i="41"/>
  <c r="H456"/>
  <c r="I456"/>
  <c r="K456" s="1"/>
  <c r="E455"/>
  <c r="E569"/>
  <c r="F587"/>
  <c r="F568"/>
  <c r="H587"/>
  <c r="I587"/>
  <c r="K587" s="1"/>
  <c r="J586"/>
  <c r="F586"/>
  <c r="E586"/>
  <c r="H568"/>
  <c r="J569"/>
  <c r="F569"/>
  <c r="F561"/>
  <c r="H561"/>
  <c r="I561" s="1"/>
  <c r="K1607" i="44"/>
  <c r="K1593"/>
  <c r="G539" i="41"/>
  <c r="G538"/>
  <c r="G537"/>
  <c r="F531"/>
  <c r="H531"/>
  <c r="I531" s="1"/>
  <c r="K531" s="1"/>
  <c r="C532"/>
  <c r="F516"/>
  <c r="K1171" i="44"/>
  <c r="K1173"/>
  <c r="G389" i="41"/>
  <c r="F513"/>
  <c r="F453"/>
  <c r="F459"/>
  <c r="H459"/>
  <c r="J459"/>
  <c r="K1336" i="44"/>
  <c r="G441" i="41"/>
  <c r="H440"/>
  <c r="I440"/>
  <c r="K440" s="1"/>
  <c r="F440"/>
  <c r="H470"/>
  <c r="I470" s="1"/>
  <c r="E470"/>
  <c r="H465"/>
  <c r="I465"/>
  <c r="E465"/>
  <c r="E466"/>
  <c r="F466"/>
  <c r="E432"/>
  <c r="F435"/>
  <c r="E401"/>
  <c r="H446"/>
  <c r="I446" s="1"/>
  <c r="H404"/>
  <c r="I404" s="1"/>
  <c r="E441"/>
  <c r="H400"/>
  <c r="I400"/>
  <c r="K400" s="1"/>
  <c r="E446"/>
  <c r="E422"/>
  <c r="K1338" i="44"/>
  <c r="G442" i="41"/>
  <c r="K442"/>
  <c r="G433"/>
  <c r="G440"/>
  <c r="G448"/>
  <c r="J448" s="1"/>
  <c r="G454"/>
  <c r="H417"/>
  <c r="I417" s="1"/>
  <c r="K436"/>
  <c r="G432"/>
  <c r="G447"/>
  <c r="K447"/>
  <c r="H403"/>
  <c r="I403"/>
  <c r="F421"/>
  <c r="G446"/>
  <c r="J446" s="1"/>
  <c r="G449"/>
  <c r="E403"/>
  <c r="E430"/>
  <c r="H434"/>
  <c r="I434" s="1"/>
  <c r="F444"/>
  <c r="F448"/>
  <c r="E453"/>
  <c r="F429"/>
  <c r="F430"/>
  <c r="H401"/>
  <c r="J401" s="1"/>
  <c r="F409"/>
  <c r="H420"/>
  <c r="F434"/>
  <c r="F405"/>
  <c r="H415"/>
  <c r="I415" s="1"/>
  <c r="F412"/>
  <c r="E423"/>
  <c r="H428"/>
  <c r="I428"/>
  <c r="F423"/>
  <c r="H454"/>
  <c r="E458"/>
  <c r="F457"/>
  <c r="H457"/>
  <c r="I457"/>
  <c r="K457" s="1"/>
  <c r="E454"/>
  <c r="J453"/>
  <c r="E450"/>
  <c r="H448"/>
  <c r="I448" s="1"/>
  <c r="E447"/>
  <c r="F451"/>
  <c r="H449"/>
  <c r="I449"/>
  <c r="K449" s="1"/>
  <c r="F447"/>
  <c r="H450"/>
  <c r="E449"/>
  <c r="E444"/>
  <c r="J444"/>
  <c r="F442"/>
  <c r="F439"/>
  <c r="J439"/>
  <c r="E439"/>
  <c r="F441"/>
  <c r="E442"/>
  <c r="J435"/>
  <c r="E437"/>
  <c r="J436"/>
  <c r="F433"/>
  <c r="F432"/>
  <c r="E433"/>
  <c r="F436"/>
  <c r="E436"/>
  <c r="F428"/>
  <c r="E426"/>
  <c r="H429"/>
  <c r="I429"/>
  <c r="F427"/>
  <c r="F426"/>
  <c r="E427"/>
  <c r="H421"/>
  <c r="H424"/>
  <c r="I424"/>
  <c r="I423"/>
  <c r="F422"/>
  <c r="E424"/>
  <c r="F416"/>
  <c r="E413"/>
  <c r="H411"/>
  <c r="E411"/>
  <c r="H409"/>
  <c r="I409" s="1"/>
  <c r="F408"/>
  <c r="E408"/>
  <c r="E410"/>
  <c r="F418"/>
  <c r="H416"/>
  <c r="I416" s="1"/>
  <c r="F414"/>
  <c r="H412"/>
  <c r="I412"/>
  <c r="F410"/>
  <c r="H418"/>
  <c r="I418" s="1"/>
  <c r="H414"/>
  <c r="I414" s="1"/>
  <c r="H405"/>
  <c r="I405" s="1"/>
  <c r="K405" s="1"/>
  <c r="H399"/>
  <c r="I399"/>
  <c r="K399" s="1"/>
  <c r="E399"/>
  <c r="H406"/>
  <c r="I406" s="1"/>
  <c r="F404"/>
  <c r="H402"/>
  <c r="I402"/>
  <c r="F400"/>
  <c r="E406"/>
  <c r="E402"/>
  <c r="E398"/>
  <c r="H391"/>
  <c r="I391" s="1"/>
  <c r="F392"/>
  <c r="K1208" i="44"/>
  <c r="K1205"/>
  <c r="G402" i="41"/>
  <c r="G375"/>
  <c r="K375" s="1"/>
  <c r="G388"/>
  <c r="K1212" i="44"/>
  <c r="K1210"/>
  <c r="G403" i="41"/>
  <c r="G365"/>
  <c r="K365"/>
  <c r="K1298" i="44"/>
  <c r="K1296"/>
  <c r="E1314"/>
  <c r="E1234"/>
  <c r="K1193"/>
  <c r="K1191"/>
  <c r="K1197"/>
  <c r="K1195"/>
  <c r="K1203"/>
  <c r="G401" i="41"/>
  <c r="F1220" i="44"/>
  <c r="K1220"/>
  <c r="K1218"/>
  <c r="F1216"/>
  <c r="K1288"/>
  <c r="K1285"/>
  <c r="G423" i="41"/>
  <c r="K1310" i="44"/>
  <c r="K1307"/>
  <c r="G429" i="41"/>
  <c r="K1276" i="44"/>
  <c r="G1292"/>
  <c r="K1292"/>
  <c r="K1290"/>
  <c r="G424" i="41"/>
  <c r="J424" s="1"/>
  <c r="E1254" i="44"/>
  <c r="K1254"/>
  <c r="F1250"/>
  <c r="K1250"/>
  <c r="K1247"/>
  <c r="G413" i="41"/>
  <c r="I1276" i="44"/>
  <c r="G1283"/>
  <c r="K1283"/>
  <c r="K1280"/>
  <c r="G422" i="41"/>
  <c r="J422" s="1"/>
  <c r="K1305" i="44"/>
  <c r="K1302"/>
  <c r="H382" i="41"/>
  <c r="I382" s="1"/>
  <c r="K382" s="1"/>
  <c r="E387"/>
  <c r="H372"/>
  <c r="I372"/>
  <c r="F390"/>
  <c r="F394"/>
  <c r="F379"/>
  <c r="H387"/>
  <c r="I387" s="1"/>
  <c r="K387" s="1"/>
  <c r="F358"/>
  <c r="F363"/>
  <c r="E364"/>
  <c r="H358"/>
  <c r="I358"/>
  <c r="E372"/>
  <c r="H364"/>
  <c r="I364" s="1"/>
  <c r="H370"/>
  <c r="I370" s="1"/>
  <c r="F366"/>
  <c r="H378"/>
  <c r="I378"/>
  <c r="F368"/>
  <c r="F393"/>
  <c r="E390"/>
  <c r="F389"/>
  <c r="H389"/>
  <c r="I389"/>
  <c r="E392"/>
  <c r="I385"/>
  <c r="E385"/>
  <c r="F385"/>
  <c r="H384"/>
  <c r="I384" s="1"/>
  <c r="E384"/>
  <c r="F383"/>
  <c r="H383"/>
  <c r="I383" s="1"/>
  <c r="K383" s="1"/>
  <c r="E382"/>
  <c r="E381"/>
  <c r="H381"/>
  <c r="I381" s="1"/>
  <c r="H376"/>
  <c r="J376" s="1"/>
  <c r="E376"/>
  <c r="I379"/>
  <c r="E378"/>
  <c r="F377"/>
  <c r="H377"/>
  <c r="I377" s="1"/>
  <c r="F375"/>
  <c r="H368"/>
  <c r="H366"/>
  <c r="E373"/>
  <c r="F373"/>
  <c r="H371"/>
  <c r="I371"/>
  <c r="H367"/>
  <c r="I367" s="1"/>
  <c r="F365"/>
  <c r="E363"/>
  <c r="E361"/>
  <c r="H360"/>
  <c r="I361"/>
  <c r="E360"/>
  <c r="F359"/>
  <c r="F357"/>
  <c r="E357"/>
  <c r="K1177" i="44"/>
  <c r="G391" i="41"/>
  <c r="J391" s="1"/>
  <c r="K1158" i="44"/>
  <c r="K1137"/>
  <c r="K1135"/>
  <c r="G379" i="41"/>
  <c r="J379" s="1"/>
  <c r="G1151" i="44"/>
  <c r="K1151"/>
  <c r="F1157"/>
  <c r="K1157"/>
  <c r="K1152"/>
  <c r="K1143"/>
  <c r="K1141"/>
  <c r="K1163"/>
  <c r="K1162"/>
  <c r="H352" i="41"/>
  <c r="I352"/>
  <c r="K1038" i="44"/>
  <c r="K1042"/>
  <c r="G352" i="41"/>
  <c r="E352"/>
  <c r="K1092" i="44"/>
  <c r="K1089"/>
  <c r="K1065"/>
  <c r="K1062"/>
  <c r="G359" i="41"/>
  <c r="K1101" i="44"/>
  <c r="K1099"/>
  <c r="K1133"/>
  <c r="K1130"/>
  <c r="K1097"/>
  <c r="K1094"/>
  <c r="G368" i="41"/>
  <c r="K1069" i="44"/>
  <c r="K1067"/>
  <c r="G1060"/>
  <c r="K1060"/>
  <c r="K1058"/>
  <c r="G358" i="41"/>
  <c r="J358" s="1"/>
  <c r="M1054" i="44"/>
  <c r="K1077"/>
  <c r="K1075"/>
  <c r="E1081"/>
  <c r="K1081"/>
  <c r="K1079"/>
  <c r="K1087"/>
  <c r="G366" i="41"/>
  <c r="F1111" i="44"/>
  <c r="K1111"/>
  <c r="K1109"/>
  <c r="H349" i="41"/>
  <c r="I349" s="1"/>
  <c r="H351"/>
  <c r="I351" s="1"/>
  <c r="F354"/>
  <c r="F350"/>
  <c r="E349"/>
  <c r="E353"/>
  <c r="G306"/>
  <c r="C267"/>
  <c r="H308"/>
  <c r="F310"/>
  <c r="E313"/>
  <c r="F309"/>
  <c r="E308"/>
  <c r="H264"/>
  <c r="I264"/>
  <c r="K264" s="1"/>
  <c r="F270"/>
  <c r="E264"/>
  <c r="F266"/>
  <c r="E770" i="44"/>
  <c r="E270" i="41"/>
  <c r="H261"/>
  <c r="I261" s="1"/>
  <c r="I263"/>
  <c r="E263"/>
  <c r="F262"/>
  <c r="E261"/>
  <c r="E265"/>
  <c r="G199"/>
  <c r="E215"/>
  <c r="F216"/>
  <c r="H216"/>
  <c r="I216" s="1"/>
  <c r="H200"/>
  <c r="I200" s="1"/>
  <c r="K200" s="1"/>
  <c r="E199"/>
  <c r="E200"/>
  <c r="E136"/>
  <c r="F168"/>
  <c r="K538" i="44"/>
  <c r="K540"/>
  <c r="C190" i="41"/>
  <c r="F190" s="1"/>
  <c r="F191"/>
  <c r="H191"/>
  <c r="I191" s="1"/>
  <c r="F171"/>
  <c r="C164"/>
  <c r="E164"/>
  <c r="F137"/>
  <c r="F133"/>
  <c r="E168"/>
  <c r="E172"/>
  <c r="H169"/>
  <c r="I169"/>
  <c r="J168"/>
  <c r="I168"/>
  <c r="K168"/>
  <c r="I172"/>
  <c r="K172" s="1"/>
  <c r="F173"/>
  <c r="F169"/>
  <c r="F170"/>
  <c r="H131"/>
  <c r="I131"/>
  <c r="E135"/>
  <c r="F135"/>
  <c r="H133"/>
  <c r="I133"/>
  <c r="E131"/>
  <c r="G135"/>
  <c r="G132"/>
  <c r="H137"/>
  <c r="I137" s="1"/>
  <c r="H136"/>
  <c r="I136" s="1"/>
  <c r="F134"/>
  <c r="H132"/>
  <c r="I132"/>
  <c r="K132" s="1"/>
  <c r="E132"/>
  <c r="F130"/>
  <c r="E130"/>
  <c r="E444" i="44"/>
  <c r="K444"/>
  <c r="K442"/>
  <c r="E440"/>
  <c r="K440"/>
  <c r="K438"/>
  <c r="K426"/>
  <c r="K430"/>
  <c r="H154" i="41"/>
  <c r="I154" s="1"/>
  <c r="F154"/>
  <c r="H158"/>
  <c r="H156"/>
  <c r="I156" s="1"/>
  <c r="F159"/>
  <c r="H157"/>
  <c r="I157"/>
  <c r="H159"/>
  <c r="I159" s="1"/>
  <c r="K159"/>
  <c r="I1710" i="44"/>
  <c r="I649" i="41"/>
  <c r="K649" s="1"/>
  <c r="K1960" i="44"/>
  <c r="K1958"/>
  <c r="G688" i="41"/>
  <c r="J689"/>
  <c r="J718"/>
  <c r="J687"/>
  <c r="J673"/>
  <c r="G695"/>
  <c r="I1983" i="44"/>
  <c r="J682" i="41"/>
  <c r="K696"/>
  <c r="I1990" i="44"/>
  <c r="K699" i="41"/>
  <c r="J699"/>
  <c r="K694"/>
  <c r="E1970" i="44"/>
  <c r="K1970"/>
  <c r="K1968"/>
  <c r="G691" i="41"/>
  <c r="G690"/>
  <c r="J683"/>
  <c r="K1918" i="44"/>
  <c r="G675" i="41"/>
  <c r="J675"/>
  <c r="G669"/>
  <c r="J670"/>
  <c r="J671"/>
  <c r="J605"/>
  <c r="J594"/>
  <c r="J625"/>
  <c r="J633"/>
  <c r="I666"/>
  <c r="K666" s="1"/>
  <c r="J174"/>
  <c r="J655"/>
  <c r="J645"/>
  <c r="J644"/>
  <c r="J661"/>
  <c r="K596"/>
  <c r="I671"/>
  <c r="K671"/>
  <c r="I669"/>
  <c r="K669" s="1"/>
  <c r="J669"/>
  <c r="J672"/>
  <c r="K645"/>
  <c r="J668"/>
  <c r="F662"/>
  <c r="E662"/>
  <c r="I660"/>
  <c r="K660"/>
  <c r="J660"/>
  <c r="I664"/>
  <c r="K664" s="1"/>
  <c r="J664"/>
  <c r="J652"/>
  <c r="K1848" i="44"/>
  <c r="G640" i="41"/>
  <c r="J640"/>
  <c r="G639"/>
  <c r="K605"/>
  <c r="I652"/>
  <c r="K652"/>
  <c r="K1876" i="44"/>
  <c r="G654" i="41"/>
  <c r="J654" s="1"/>
  <c r="G653"/>
  <c r="J646"/>
  <c r="I647"/>
  <c r="K647" s="1"/>
  <c r="J647"/>
  <c r="J638"/>
  <c r="I630"/>
  <c r="K630" s="1"/>
  <c r="J634"/>
  <c r="K625"/>
  <c r="E1728" i="44"/>
  <c r="K1728"/>
  <c r="K1726"/>
  <c r="G600" i="41"/>
  <c r="G599"/>
  <c r="J599" s="1"/>
  <c r="I1785" i="44"/>
  <c r="G617" i="41"/>
  <c r="J617"/>
  <c r="I1812" i="44"/>
  <c r="G624" i="41"/>
  <c r="M1699" i="44"/>
  <c r="G593" i="41"/>
  <c r="J593"/>
  <c r="K1764" i="44"/>
  <c r="G610" i="41"/>
  <c r="G608"/>
  <c r="K608" s="1"/>
  <c r="I1752" i="44"/>
  <c r="G607" i="41"/>
  <c r="J607" s="1"/>
  <c r="E1772" i="44"/>
  <c r="K1772"/>
  <c r="K1770"/>
  <c r="G612" i="41"/>
  <c r="K612" s="1"/>
  <c r="G611"/>
  <c r="J611"/>
  <c r="K1782" i="44"/>
  <c r="G616" i="41"/>
  <c r="K616" s="1"/>
  <c r="G615"/>
  <c r="K595"/>
  <c r="J595"/>
  <c r="E1720" i="44"/>
  <c r="K1720"/>
  <c r="K1718"/>
  <c r="G598" i="41"/>
  <c r="K598" s="1"/>
  <c r="G592"/>
  <c r="I1790" i="44"/>
  <c r="G618" i="41"/>
  <c r="J618"/>
  <c r="I1807" i="44"/>
  <c r="G623" i="41"/>
  <c r="J623" s="1"/>
  <c r="J604"/>
  <c r="K1826" i="44"/>
  <c r="G629" i="41"/>
  <c r="K628"/>
  <c r="I622"/>
  <c r="K622" s="1"/>
  <c r="I624"/>
  <c r="I609"/>
  <c r="K609" s="1"/>
  <c r="I593"/>
  <c r="J596"/>
  <c r="E1738" i="44"/>
  <c r="K1738"/>
  <c r="K1736"/>
  <c r="K1734"/>
  <c r="K1732"/>
  <c r="G1749"/>
  <c r="K1749"/>
  <c r="K1746"/>
  <c r="K1366"/>
  <c r="G456" i="41"/>
  <c r="J456"/>
  <c r="G455"/>
  <c r="J587"/>
  <c r="K389"/>
  <c r="J432"/>
  <c r="I459"/>
  <c r="K459" s="1"/>
  <c r="H532"/>
  <c r="F532"/>
  <c r="E532"/>
  <c r="J442"/>
  <c r="J447"/>
  <c r="J400"/>
  <c r="J440"/>
  <c r="J375"/>
  <c r="K434"/>
  <c r="J365"/>
  <c r="K403"/>
  <c r="I1206" i="44"/>
  <c r="K402" i="41"/>
  <c r="I1303" i="44"/>
  <c r="G428" i="41"/>
  <c r="J428" s="1"/>
  <c r="M1195" i="44"/>
  <c r="G399" i="41"/>
  <c r="J399"/>
  <c r="K1300" i="44"/>
  <c r="G427" i="41"/>
  <c r="J427" s="1"/>
  <c r="G426"/>
  <c r="J403"/>
  <c r="K422"/>
  <c r="E1224" i="44"/>
  <c r="K1224"/>
  <c r="K1222"/>
  <c r="G406" i="41"/>
  <c r="K406"/>
  <c r="G405"/>
  <c r="J405"/>
  <c r="E1216" i="44"/>
  <c r="K1216"/>
  <c r="K1214"/>
  <c r="G404" i="41"/>
  <c r="J404" s="1"/>
  <c r="G398"/>
  <c r="K398" s="1"/>
  <c r="K424"/>
  <c r="I401"/>
  <c r="K358"/>
  <c r="J457"/>
  <c r="K448"/>
  <c r="J449"/>
  <c r="I421"/>
  <c r="K421" s="1"/>
  <c r="I411"/>
  <c r="J402"/>
  <c r="K1314" i="44"/>
  <c r="K1312"/>
  <c r="G430" i="41"/>
  <c r="K430" s="1"/>
  <c r="K1274" i="44"/>
  <c r="I1308"/>
  <c r="K1107"/>
  <c r="G371" i="41"/>
  <c r="G369"/>
  <c r="K379"/>
  <c r="E1115" i="44"/>
  <c r="K1115"/>
  <c r="K1113"/>
  <c r="G373" i="41"/>
  <c r="G372"/>
  <c r="J372" s="1"/>
  <c r="I1131" i="44"/>
  <c r="G378" i="41"/>
  <c r="J378" s="1"/>
  <c r="K391"/>
  <c r="E1105" i="44"/>
  <c r="K1105"/>
  <c r="K1103"/>
  <c r="G370" i="41"/>
  <c r="K370" s="1"/>
  <c r="G363"/>
  <c r="K363" s="1"/>
  <c r="I1090" i="44"/>
  <c r="G367" i="41"/>
  <c r="K1146" i="44"/>
  <c r="G382" i="41"/>
  <c r="G381"/>
  <c r="J381" s="1"/>
  <c r="M1079" i="44"/>
  <c r="G364" i="41"/>
  <c r="J364" s="1"/>
  <c r="K1071" i="44"/>
  <c r="G361" i="41"/>
  <c r="J361"/>
  <c r="G360"/>
  <c r="K360" s="1"/>
  <c r="J360"/>
  <c r="J387"/>
  <c r="J389"/>
  <c r="I376"/>
  <c r="K376" s="1"/>
  <c r="I368"/>
  <c r="I366"/>
  <c r="J366"/>
  <c r="I360"/>
  <c r="K1179" i="44"/>
  <c r="G392" i="41"/>
  <c r="J392" s="1"/>
  <c r="K1181" i="44"/>
  <c r="G393" i="41"/>
  <c r="K352"/>
  <c r="K1148" i="44"/>
  <c r="K1154"/>
  <c r="K1160"/>
  <c r="G385" i="41"/>
  <c r="J352"/>
  <c r="G350"/>
  <c r="K1040" i="44"/>
  <c r="G351" i="41"/>
  <c r="K351"/>
  <c r="I1095" i="44"/>
  <c r="I1063"/>
  <c r="J1059"/>
  <c r="J264" i="41"/>
  <c r="E190"/>
  <c r="F164"/>
  <c r="M426" i="44"/>
  <c r="G130" i="41"/>
  <c r="K130" s="1"/>
  <c r="M430" i="44"/>
  <c r="G131" i="41"/>
  <c r="K131" s="1"/>
  <c r="M442" i="44"/>
  <c r="G134" i="41"/>
  <c r="J134" s="1"/>
  <c r="M438" i="44"/>
  <c r="G133" i="41"/>
  <c r="K133" s="1"/>
  <c r="J132"/>
  <c r="J159"/>
  <c r="K675"/>
  <c r="K381"/>
  <c r="K640"/>
  <c r="K593"/>
  <c r="J662"/>
  <c r="K662"/>
  <c r="K654"/>
  <c r="K623"/>
  <c r="K611"/>
  <c r="K617"/>
  <c r="E1762" i="44"/>
  <c r="K1762"/>
  <c r="K1760"/>
  <c r="G609" i="41"/>
  <c r="J609"/>
  <c r="G602"/>
  <c r="J608"/>
  <c r="I1747" i="44"/>
  <c r="G606" i="41"/>
  <c r="J592"/>
  <c r="K607"/>
  <c r="M1736" i="44"/>
  <c r="G603" i="41"/>
  <c r="J628"/>
  <c r="K629"/>
  <c r="I532"/>
  <c r="K532" s="1"/>
  <c r="J532"/>
  <c r="J406"/>
  <c r="K404"/>
  <c r="K427"/>
  <c r="J430"/>
  <c r="J426"/>
  <c r="K1278" i="44"/>
  <c r="G421" i="41"/>
  <c r="J421"/>
  <c r="G420"/>
  <c r="K428"/>
  <c r="I1286" i="44"/>
  <c r="I1281"/>
  <c r="K378" i="41"/>
  <c r="J382"/>
  <c r="J373"/>
  <c r="K373"/>
  <c r="J363"/>
  <c r="K372"/>
  <c r="I1149" i="44"/>
  <c r="G383" i="41"/>
  <c r="K361"/>
  <c r="I1155" i="44"/>
  <c r="G384" i="41"/>
  <c r="J384" s="1"/>
  <c r="J351"/>
  <c r="J133"/>
  <c r="K134"/>
  <c r="J130"/>
  <c r="E452" i="44"/>
  <c r="K452"/>
  <c r="K450"/>
  <c r="C492"/>
  <c r="E494"/>
  <c r="G149" i="41"/>
  <c r="G148"/>
  <c r="D151"/>
  <c r="D150"/>
  <c r="D149"/>
  <c r="D148"/>
  <c r="D147"/>
  <c r="D146"/>
  <c r="C151"/>
  <c r="E151"/>
  <c r="C150"/>
  <c r="C149"/>
  <c r="C148"/>
  <c r="C147"/>
  <c r="K484" i="44"/>
  <c r="G151" i="41"/>
  <c r="K482" i="44"/>
  <c r="G150" i="41"/>
  <c r="K470" i="44"/>
  <c r="G144" i="41"/>
  <c r="E482" i="44"/>
  <c r="B480"/>
  <c r="G141" i="41"/>
  <c r="D144"/>
  <c r="D143"/>
  <c r="D142"/>
  <c r="D141"/>
  <c r="D140"/>
  <c r="D139"/>
  <c r="C143"/>
  <c r="C142"/>
  <c r="C140"/>
  <c r="C139"/>
  <c r="C470" i="44"/>
  <c r="E470" s="1"/>
  <c r="K466"/>
  <c r="G142" i="41"/>
  <c r="E466" i="44"/>
  <c r="C464"/>
  <c r="C141" i="41"/>
  <c r="J606"/>
  <c r="K603"/>
  <c r="J603"/>
  <c r="J602"/>
  <c r="H350"/>
  <c r="J350" s="1"/>
  <c r="J383"/>
  <c r="G136"/>
  <c r="E456" i="44"/>
  <c r="K456"/>
  <c r="K454"/>
  <c r="G137" i="41"/>
  <c r="J137" s="1"/>
  <c r="K468" i="44"/>
  <c r="G143" i="41"/>
  <c r="F151"/>
  <c r="H828"/>
  <c r="J828" s="1"/>
  <c r="I828"/>
  <c r="K828"/>
  <c r="H262"/>
  <c r="J262"/>
  <c r="H390"/>
  <c r="J390"/>
  <c r="I350"/>
  <c r="K350" s="1"/>
  <c r="K136"/>
  <c r="K137"/>
  <c r="I390"/>
  <c r="K390" s="1"/>
  <c r="I262"/>
  <c r="K460" i="44"/>
  <c r="D126" i="41"/>
  <c r="D125"/>
  <c r="C126"/>
  <c r="C125"/>
  <c r="B418" i="44"/>
  <c r="E418"/>
  <c r="K420"/>
  <c r="K418"/>
  <c r="G125" i="41"/>
  <c r="K416" i="44"/>
  <c r="K408"/>
  <c r="K412"/>
  <c r="K410"/>
  <c r="G120" i="41"/>
  <c r="H271" i="44"/>
  <c r="G271"/>
  <c r="F271"/>
  <c r="E271"/>
  <c r="H275"/>
  <c r="F275"/>
  <c r="E275"/>
  <c r="H204"/>
  <c r="H200"/>
  <c r="G200"/>
  <c r="F200"/>
  <c r="F204"/>
  <c r="E208"/>
  <c r="E200"/>
  <c r="G130"/>
  <c r="F130"/>
  <c r="H130"/>
  <c r="E130"/>
  <c r="H134"/>
  <c r="F134"/>
  <c r="E134"/>
  <c r="B75"/>
  <c r="D29" i="41"/>
  <c r="D28"/>
  <c r="C29"/>
  <c r="H29" s="1"/>
  <c r="I29" s="1"/>
  <c r="C28"/>
  <c r="E28"/>
  <c r="K76" i="44"/>
  <c r="K74"/>
  <c r="K72"/>
  <c r="K70"/>
  <c r="B74"/>
  <c r="K462"/>
  <c r="G140" i="41"/>
  <c r="G139"/>
  <c r="G126"/>
  <c r="E204" i="44"/>
  <c r="K130"/>
  <c r="F29" i="41"/>
  <c r="H28"/>
  <c r="I28" s="1"/>
  <c r="F28"/>
  <c r="D25"/>
  <c r="D24"/>
  <c r="D23"/>
  <c r="D22"/>
  <c r="D21"/>
  <c r="D20"/>
  <c r="D19"/>
  <c r="D18"/>
  <c r="D17"/>
  <c r="C25"/>
  <c r="C24"/>
  <c r="C23"/>
  <c r="C22"/>
  <c r="C21"/>
  <c r="C20"/>
  <c r="C19"/>
  <c r="C18"/>
  <c r="C17"/>
  <c r="C16"/>
  <c r="D213"/>
  <c r="D94"/>
  <c r="H348"/>
  <c r="I348" s="1"/>
  <c r="K348" s="1"/>
  <c r="E347"/>
  <c r="E343"/>
  <c r="D346"/>
  <c r="D345"/>
  <c r="D344"/>
  <c r="C346"/>
  <c r="C345"/>
  <c r="F345" s="1"/>
  <c r="C344"/>
  <c r="D342"/>
  <c r="D341"/>
  <c r="D340"/>
  <c r="C342"/>
  <c r="F342" s="1"/>
  <c r="C341"/>
  <c r="F341" s="1"/>
  <c r="C340"/>
  <c r="H340"/>
  <c r="I340" s="1"/>
  <c r="E339"/>
  <c r="D338"/>
  <c r="C338"/>
  <c r="F338" s="1"/>
  <c r="D337"/>
  <c r="C337"/>
  <c r="E337"/>
  <c r="E336"/>
  <c r="K1036" i="44"/>
  <c r="K1034"/>
  <c r="G349" i="41"/>
  <c r="K349" s="1"/>
  <c r="E1044" i="44"/>
  <c r="E1040"/>
  <c r="E1034"/>
  <c r="K1032"/>
  <c r="K1030"/>
  <c r="G348" i="41"/>
  <c r="E1030" i="44"/>
  <c r="K1026"/>
  <c r="G346" i="41"/>
  <c r="E1026" i="44"/>
  <c r="I1024"/>
  <c r="H1024"/>
  <c r="F1024"/>
  <c r="E1021"/>
  <c r="K1019"/>
  <c r="K1017"/>
  <c r="G344" i="41"/>
  <c r="E1017" i="44"/>
  <c r="K1013"/>
  <c r="G342" i="41"/>
  <c r="E1013" i="44"/>
  <c r="I1011"/>
  <c r="H1011"/>
  <c r="F1011"/>
  <c r="E1008"/>
  <c r="K1006"/>
  <c r="K1004"/>
  <c r="G340" i="41"/>
  <c r="E1004" i="44"/>
  <c r="I1000"/>
  <c r="H1000"/>
  <c r="E997"/>
  <c r="K995"/>
  <c r="K993"/>
  <c r="G337" i="41"/>
  <c r="E993" i="44"/>
  <c r="D335" i="41"/>
  <c r="D334"/>
  <c r="D333"/>
  <c r="D332"/>
  <c r="D331"/>
  <c r="D330"/>
  <c r="D329"/>
  <c r="D328"/>
  <c r="D327"/>
  <c r="D326"/>
  <c r="D325"/>
  <c r="C335"/>
  <c r="F335" s="1"/>
  <c r="C334"/>
  <c r="C333"/>
  <c r="H333" s="1"/>
  <c r="E333"/>
  <c r="C332"/>
  <c r="H332" s="1"/>
  <c r="I332" s="1"/>
  <c r="K332" s="1"/>
  <c r="C331"/>
  <c r="E331"/>
  <c r="C330"/>
  <c r="E330"/>
  <c r="C329"/>
  <c r="E329" s="1"/>
  <c r="H329"/>
  <c r="I329" s="1"/>
  <c r="C328"/>
  <c r="C327"/>
  <c r="H327"/>
  <c r="I327" s="1"/>
  <c r="C326"/>
  <c r="F326" s="1"/>
  <c r="C325"/>
  <c r="H325" s="1"/>
  <c r="I325" s="1"/>
  <c r="D323"/>
  <c r="D322"/>
  <c r="D321"/>
  <c r="D320"/>
  <c r="D319"/>
  <c r="C323"/>
  <c r="H323" s="1"/>
  <c r="I323" s="1"/>
  <c r="K323" s="1"/>
  <c r="C322"/>
  <c r="F322" s="1"/>
  <c r="E322"/>
  <c r="C321"/>
  <c r="H321" s="1"/>
  <c r="I321" s="1"/>
  <c r="C320"/>
  <c r="E320" s="1"/>
  <c r="H320"/>
  <c r="I320" s="1"/>
  <c r="C319"/>
  <c r="E319" s="1"/>
  <c r="E324"/>
  <c r="E318"/>
  <c r="E985" i="44"/>
  <c r="E981"/>
  <c r="E979"/>
  <c r="E975"/>
  <c r="H973"/>
  <c r="G973"/>
  <c r="F973"/>
  <c r="E973"/>
  <c r="E971"/>
  <c r="H969"/>
  <c r="F969"/>
  <c r="E966"/>
  <c r="I964"/>
  <c r="H964"/>
  <c r="F964"/>
  <c r="E961"/>
  <c r="E959"/>
  <c r="K957"/>
  <c r="K955"/>
  <c r="F977"/>
  <c r="E955"/>
  <c r="H953"/>
  <c r="F953"/>
  <c r="E951"/>
  <c r="F949"/>
  <c r="E949"/>
  <c r="G964"/>
  <c r="E947"/>
  <c r="E943"/>
  <c r="F941"/>
  <c r="E941"/>
  <c r="E939"/>
  <c r="H937"/>
  <c r="G937"/>
  <c r="E934"/>
  <c r="H932"/>
  <c r="F932"/>
  <c r="E930"/>
  <c r="K928"/>
  <c r="K926"/>
  <c r="G319" i="41"/>
  <c r="E926" i="44"/>
  <c r="E316" i="41"/>
  <c r="D314"/>
  <c r="D312"/>
  <c r="D302"/>
  <c r="D301"/>
  <c r="D300"/>
  <c r="D298"/>
  <c r="D297"/>
  <c r="D296"/>
  <c r="C314"/>
  <c r="E314"/>
  <c r="C312"/>
  <c r="F312" s="1"/>
  <c r="F305"/>
  <c r="E304"/>
  <c r="C302"/>
  <c r="F302" s="1"/>
  <c r="C301"/>
  <c r="E301" s="1"/>
  <c r="C300"/>
  <c r="E300" s="1"/>
  <c r="C298"/>
  <c r="F298" s="1"/>
  <c r="C297"/>
  <c r="C296"/>
  <c r="E296" s="1"/>
  <c r="F296"/>
  <c r="E311"/>
  <c r="E303"/>
  <c r="E299"/>
  <c r="E295"/>
  <c r="E280"/>
  <c r="E292"/>
  <c r="D294"/>
  <c r="D293"/>
  <c r="C294"/>
  <c r="C293"/>
  <c r="F293"/>
  <c r="D291"/>
  <c r="D290"/>
  <c r="D289"/>
  <c r="D288"/>
  <c r="D287"/>
  <c r="D286"/>
  <c r="D285"/>
  <c r="D284"/>
  <c r="D283"/>
  <c r="D282"/>
  <c r="D281"/>
  <c r="C291"/>
  <c r="F291" s="1"/>
  <c r="H291"/>
  <c r="I291" s="1"/>
  <c r="K291" s="1"/>
  <c r="C290"/>
  <c r="F290" s="1"/>
  <c r="C289"/>
  <c r="C288"/>
  <c r="C287"/>
  <c r="C286"/>
  <c r="E286" s="1"/>
  <c r="C285"/>
  <c r="F285"/>
  <c r="C284"/>
  <c r="F284" s="1"/>
  <c r="C283"/>
  <c r="H283"/>
  <c r="I283"/>
  <c r="K283" s="1"/>
  <c r="C282"/>
  <c r="C281"/>
  <c r="H281" s="1"/>
  <c r="E281"/>
  <c r="D279"/>
  <c r="D278"/>
  <c r="D277"/>
  <c r="D276"/>
  <c r="D275"/>
  <c r="C279"/>
  <c r="H279"/>
  <c r="I279"/>
  <c r="C278"/>
  <c r="E278" s="1"/>
  <c r="C277"/>
  <c r="F277" s="1"/>
  <c r="C276"/>
  <c r="C275"/>
  <c r="H307"/>
  <c r="I307" s="1"/>
  <c r="K307" s="1"/>
  <c r="E306"/>
  <c r="E274"/>
  <c r="E273"/>
  <c r="E917" i="44"/>
  <c r="K913"/>
  <c r="K917"/>
  <c r="E913"/>
  <c r="E905"/>
  <c r="E903"/>
  <c r="K899"/>
  <c r="K897"/>
  <c r="G305" i="41"/>
  <c r="J305" s="1"/>
  <c r="E897" i="44"/>
  <c r="K895"/>
  <c r="E893"/>
  <c r="K889"/>
  <c r="G302" i="41"/>
  <c r="E889" i="44"/>
  <c r="I887"/>
  <c r="H887"/>
  <c r="F887"/>
  <c r="E884"/>
  <c r="K882"/>
  <c r="K880"/>
  <c r="G300" i="41"/>
  <c r="E880" i="44"/>
  <c r="K876"/>
  <c r="G298" i="41"/>
  <c r="E876" i="44"/>
  <c r="I874"/>
  <c r="H874"/>
  <c r="F874"/>
  <c r="E871"/>
  <c r="K869"/>
  <c r="K867"/>
  <c r="G296" i="41"/>
  <c r="E867" i="44"/>
  <c r="I863"/>
  <c r="H863"/>
  <c r="E860"/>
  <c r="K858"/>
  <c r="K856"/>
  <c r="G293" i="41"/>
  <c r="E856" i="44"/>
  <c r="E848"/>
  <c r="E844"/>
  <c r="E841"/>
  <c r="E837"/>
  <c r="H835"/>
  <c r="G835"/>
  <c r="F835"/>
  <c r="E835"/>
  <c r="E833"/>
  <c r="H831"/>
  <c r="F831"/>
  <c r="E828"/>
  <c r="I826"/>
  <c r="H826"/>
  <c r="F826"/>
  <c r="E823"/>
  <c r="E821"/>
  <c r="K819"/>
  <c r="K817"/>
  <c r="G283" i="41"/>
  <c r="E817" i="44"/>
  <c r="H815"/>
  <c r="F815"/>
  <c r="E813"/>
  <c r="F811"/>
  <c r="E811"/>
  <c r="E815"/>
  <c r="E809"/>
  <c r="K893"/>
  <c r="G304" i="41"/>
  <c r="G314"/>
  <c r="K915" i="44"/>
  <c r="G313" i="41"/>
  <c r="E345"/>
  <c r="F301"/>
  <c r="E341"/>
  <c r="H341"/>
  <c r="I341"/>
  <c r="F278"/>
  <c r="K835" i="44"/>
  <c r="K833"/>
  <c r="K831"/>
  <c r="K828"/>
  <c r="G286" i="41"/>
  <c r="K863" i="44"/>
  <c r="K860"/>
  <c r="G294" i="41"/>
  <c r="K973" i="44"/>
  <c r="K971"/>
  <c r="F321" i="41"/>
  <c r="F330"/>
  <c r="K1000" i="44"/>
  <c r="K997"/>
  <c r="K874"/>
  <c r="K871"/>
  <c r="I872"/>
  <c r="K887"/>
  <c r="K884"/>
  <c r="I885"/>
  <c r="F329" i="41"/>
  <c r="H326"/>
  <c r="I326" s="1"/>
  <c r="F337"/>
  <c r="H345"/>
  <c r="I345" s="1"/>
  <c r="H322"/>
  <c r="I322" s="1"/>
  <c r="K322" s="1"/>
  <c r="H337"/>
  <c r="I337" s="1"/>
  <c r="K337" s="1"/>
  <c r="H338"/>
  <c r="I338"/>
  <c r="I333"/>
  <c r="K333" s="1"/>
  <c r="J348"/>
  <c r="E346"/>
  <c r="F346"/>
  <c r="F348"/>
  <c r="F344"/>
  <c r="F340"/>
  <c r="E340"/>
  <c r="E348"/>
  <c r="E338"/>
  <c r="K1024" i="44"/>
  <c r="K1021"/>
  <c r="K1011"/>
  <c r="K1008"/>
  <c r="E323" i="41"/>
  <c r="K937" i="44"/>
  <c r="K934"/>
  <c r="G321" i="41"/>
  <c r="K321" s="1"/>
  <c r="G327"/>
  <c r="J327" s="1"/>
  <c r="G331"/>
  <c r="H294"/>
  <c r="I294" s="1"/>
  <c r="K964" i="44"/>
  <c r="K961"/>
  <c r="G329" i="41"/>
  <c r="K329" s="1"/>
  <c r="G312"/>
  <c r="E334"/>
  <c r="F333"/>
  <c r="E327"/>
  <c r="F325"/>
  <c r="E325"/>
  <c r="H330"/>
  <c r="I330"/>
  <c r="F332"/>
  <c r="F320"/>
  <c r="F319"/>
  <c r="F323"/>
  <c r="F327"/>
  <c r="E328"/>
  <c r="E332"/>
  <c r="K969" i="44"/>
  <c r="K966"/>
  <c r="G330" i="41"/>
  <c r="K941" i="44"/>
  <c r="K939"/>
  <c r="G932"/>
  <c r="K932"/>
  <c r="K930"/>
  <c r="G320" i="41"/>
  <c r="J320" s="1"/>
  <c r="M926" i="44"/>
  <c r="K949"/>
  <c r="K947"/>
  <c r="E953"/>
  <c r="K953"/>
  <c r="K951"/>
  <c r="K959"/>
  <c r="G328" i="41"/>
  <c r="F983" i="44"/>
  <c r="K983"/>
  <c r="K981"/>
  <c r="F281" i="41"/>
  <c r="H304"/>
  <c r="I304"/>
  <c r="H306"/>
  <c r="I306" s="1"/>
  <c r="K306" s="1"/>
  <c r="H314"/>
  <c r="I314" s="1"/>
  <c r="K314"/>
  <c r="H276"/>
  <c r="H282"/>
  <c r="I282" s="1"/>
  <c r="E285"/>
  <c r="F286"/>
  <c r="H290"/>
  <c r="I290" s="1"/>
  <c r="K290" s="1"/>
  <c r="F300"/>
  <c r="H278"/>
  <c r="I278" s="1"/>
  <c r="E293"/>
  <c r="H296"/>
  <c r="J296"/>
  <c r="F304"/>
  <c r="F306"/>
  <c r="F314"/>
  <c r="H286"/>
  <c r="I286" s="1"/>
  <c r="K286" s="1"/>
  <c r="H300"/>
  <c r="J300"/>
  <c r="E305"/>
  <c r="E312"/>
  <c r="H277"/>
  <c r="I277" s="1"/>
  <c r="K277" s="1"/>
  <c r="F279"/>
  <c r="I281"/>
  <c r="F283"/>
  <c r="H285"/>
  <c r="I285" s="1"/>
  <c r="F287"/>
  <c r="H289"/>
  <c r="I289"/>
  <c r="K289" s="1"/>
  <c r="H293"/>
  <c r="I293" s="1"/>
  <c r="K293" s="1"/>
  <c r="H301"/>
  <c r="I301" s="1"/>
  <c r="H305"/>
  <c r="I305"/>
  <c r="K305" s="1"/>
  <c r="F307"/>
  <c r="E279"/>
  <c r="E291"/>
  <c r="E283"/>
  <c r="E307"/>
  <c r="F846" i="44"/>
  <c r="K846"/>
  <c r="K844"/>
  <c r="F839"/>
  <c r="K821"/>
  <c r="G284" i="41"/>
  <c r="K815" i="44"/>
  <c r="K813"/>
  <c r="G826"/>
  <c r="K826"/>
  <c r="K823"/>
  <c r="K811"/>
  <c r="K809"/>
  <c r="E805"/>
  <c r="F803"/>
  <c r="E803"/>
  <c r="E801"/>
  <c r="H799"/>
  <c r="G799"/>
  <c r="E796"/>
  <c r="H794"/>
  <c r="F794"/>
  <c r="E792"/>
  <c r="K790"/>
  <c r="K788"/>
  <c r="G275" i="41"/>
  <c r="E788" i="44"/>
  <c r="E1378"/>
  <c r="K1378"/>
  <c r="E1380"/>
  <c r="E1388"/>
  <c r="K1390"/>
  <c r="K1392"/>
  <c r="K1394"/>
  <c r="G470" i="41"/>
  <c r="E1390" i="44"/>
  <c r="E1392"/>
  <c r="E1400"/>
  <c r="E1402"/>
  <c r="F1402"/>
  <c r="G1402"/>
  <c r="E1404"/>
  <c r="E1406"/>
  <c r="F1406"/>
  <c r="H1406"/>
  <c r="E1408"/>
  <c r="K1410"/>
  <c r="K1408"/>
  <c r="K1412"/>
  <c r="E1412"/>
  <c r="E1414"/>
  <c r="F1417"/>
  <c r="H1417"/>
  <c r="E1419"/>
  <c r="E1421"/>
  <c r="F1421"/>
  <c r="G1421"/>
  <c r="H1421"/>
  <c r="E1423"/>
  <c r="E1427"/>
  <c r="E1431"/>
  <c r="E229" i="41"/>
  <c r="E768" i="44"/>
  <c r="E764"/>
  <c r="K776"/>
  <c r="D271" i="41"/>
  <c r="D269"/>
  <c r="C271"/>
  <c r="F271"/>
  <c r="C269"/>
  <c r="F269" s="1"/>
  <c r="E268"/>
  <c r="E780" i="44"/>
  <c r="E776"/>
  <c r="E760"/>
  <c r="K760"/>
  <c r="K758"/>
  <c r="G261" i="41"/>
  <c r="K261" s="1"/>
  <c r="E758" i="44"/>
  <c r="D258" i="41"/>
  <c r="C258"/>
  <c r="F258"/>
  <c r="D254"/>
  <c r="C254"/>
  <c r="F254"/>
  <c r="K750" i="44"/>
  <c r="G258" i="41"/>
  <c r="K736" i="44"/>
  <c r="G254" i="41"/>
  <c r="E750" i="44"/>
  <c r="E736"/>
  <c r="H260" i="41"/>
  <c r="I260"/>
  <c r="E259"/>
  <c r="K756" i="44"/>
  <c r="K754"/>
  <c r="G260" i="41"/>
  <c r="E754" i="44"/>
  <c r="D257" i="41"/>
  <c r="D256"/>
  <c r="C257"/>
  <c r="F257" s="1"/>
  <c r="H257"/>
  <c r="I257" s="1"/>
  <c r="C256"/>
  <c r="F256" s="1"/>
  <c r="D253"/>
  <c r="D252"/>
  <c r="C253"/>
  <c r="E253" s="1"/>
  <c r="C252"/>
  <c r="E255"/>
  <c r="E251"/>
  <c r="I748" i="44"/>
  <c r="H748"/>
  <c r="F748"/>
  <c r="E745"/>
  <c r="K743"/>
  <c r="K741"/>
  <c r="G256" i="41"/>
  <c r="E741" i="44"/>
  <c r="F734"/>
  <c r="I734"/>
  <c r="H734"/>
  <c r="E731"/>
  <c r="K729"/>
  <c r="K727"/>
  <c r="G252" i="41"/>
  <c r="E727" i="44"/>
  <c r="D250" i="41"/>
  <c r="D249"/>
  <c r="C250"/>
  <c r="F250" s="1"/>
  <c r="C249"/>
  <c r="H249"/>
  <c r="J249" s="1"/>
  <c r="I249"/>
  <c r="K249" s="1"/>
  <c r="I723" i="44"/>
  <c r="H723"/>
  <c r="E720"/>
  <c r="K718"/>
  <c r="K716"/>
  <c r="G249" i="41"/>
  <c r="E716" i="44"/>
  <c r="E248" i="41"/>
  <c r="D247"/>
  <c r="D246"/>
  <c r="D245"/>
  <c r="D244"/>
  <c r="D243"/>
  <c r="D242"/>
  <c r="D241"/>
  <c r="D240"/>
  <c r="D237"/>
  <c r="D238"/>
  <c r="D239"/>
  <c r="C247"/>
  <c r="E247" s="1"/>
  <c r="C246"/>
  <c r="F246"/>
  <c r="C245"/>
  <c r="E245" s="1"/>
  <c r="C244"/>
  <c r="E244" s="1"/>
  <c r="H244"/>
  <c r="C243"/>
  <c r="E243" s="1"/>
  <c r="C242"/>
  <c r="H242" s="1"/>
  <c r="C241"/>
  <c r="C240"/>
  <c r="H240" s="1"/>
  <c r="F240"/>
  <c r="C239"/>
  <c r="H239" s="1"/>
  <c r="I239" s="1"/>
  <c r="K239" s="1"/>
  <c r="C238"/>
  <c r="H238" s="1"/>
  <c r="E238"/>
  <c r="C237"/>
  <c r="E237"/>
  <c r="F675" i="44"/>
  <c r="F671"/>
  <c r="E671"/>
  <c r="G687"/>
  <c r="E236" i="41"/>
  <c r="C124"/>
  <c r="E420" i="44"/>
  <c r="E416"/>
  <c r="D234" i="41"/>
  <c r="D233"/>
  <c r="D232"/>
  <c r="C235"/>
  <c r="H235"/>
  <c r="I235" s="1"/>
  <c r="C234"/>
  <c r="E234" s="1"/>
  <c r="C233"/>
  <c r="E233"/>
  <c r="C232"/>
  <c r="D235"/>
  <c r="D231"/>
  <c r="E230"/>
  <c r="E224"/>
  <c r="E665" i="44"/>
  <c r="E708"/>
  <c r="E704"/>
  <c r="E702"/>
  <c r="E698"/>
  <c r="H696"/>
  <c r="E694"/>
  <c r="H692"/>
  <c r="E689"/>
  <c r="I687"/>
  <c r="H687"/>
  <c r="E684"/>
  <c r="E682"/>
  <c r="G696"/>
  <c r="E677"/>
  <c r="H675"/>
  <c r="E673"/>
  <c r="E669"/>
  <c r="D227" i="41"/>
  <c r="D226"/>
  <c r="C227"/>
  <c r="F227"/>
  <c r="C226"/>
  <c r="F226"/>
  <c r="F663" i="44"/>
  <c r="E663"/>
  <c r="E661"/>
  <c r="F654"/>
  <c r="J470" i="41"/>
  <c r="K470"/>
  <c r="K1382" i="44"/>
  <c r="G297" i="41"/>
  <c r="K979" i="44"/>
  <c r="G333" i="41"/>
  <c r="K841" i="44"/>
  <c r="G289" i="41"/>
  <c r="I861" i="44"/>
  <c r="G269" i="41"/>
  <c r="K778" i="44"/>
  <c r="G287" i="41"/>
  <c r="K764" i="44"/>
  <c r="G263" i="41"/>
  <c r="K263" s="1"/>
  <c r="J337"/>
  <c r="J321"/>
  <c r="G301"/>
  <c r="G338"/>
  <c r="J338"/>
  <c r="I998" i="44"/>
  <c r="I1022"/>
  <c r="G345" i="41"/>
  <c r="J345"/>
  <c r="K1421" i="44"/>
  <c r="K1419"/>
  <c r="K803"/>
  <c r="K801"/>
  <c r="G278" i="41"/>
  <c r="I962" i="44"/>
  <c r="K345" i="41"/>
  <c r="I1009" i="44"/>
  <c r="G341" i="41"/>
  <c r="J341"/>
  <c r="K327"/>
  <c r="J329"/>
  <c r="J294"/>
  <c r="E839" i="44"/>
  <c r="K839"/>
  <c r="K837"/>
  <c r="G288" i="41"/>
  <c r="G281"/>
  <c r="K281" s="1"/>
  <c r="E987" i="44"/>
  <c r="K987"/>
  <c r="K985"/>
  <c r="G335" i="41"/>
  <c r="G334"/>
  <c r="F1425" i="44"/>
  <c r="K1417"/>
  <c r="K1414"/>
  <c r="I1415"/>
  <c r="K1406"/>
  <c r="K1404"/>
  <c r="M1404"/>
  <c r="I829"/>
  <c r="M813"/>
  <c r="G282" i="41"/>
  <c r="E850" i="44"/>
  <c r="K850"/>
  <c r="K848"/>
  <c r="G291" i="41"/>
  <c r="G290"/>
  <c r="E977" i="44"/>
  <c r="K977"/>
  <c r="K975"/>
  <c r="G332" i="41"/>
  <c r="J332" s="1"/>
  <c r="G325"/>
  <c r="J325" s="1"/>
  <c r="K1402" i="44"/>
  <c r="K1400"/>
  <c r="E1425"/>
  <c r="K799"/>
  <c r="K796"/>
  <c r="K330" i="41"/>
  <c r="I824" i="44"/>
  <c r="G285" i="41"/>
  <c r="K285"/>
  <c r="M951" i="44"/>
  <c r="G326" i="41"/>
  <c r="K943" i="44"/>
  <c r="G323" i="41"/>
  <c r="J323" s="1"/>
  <c r="G322"/>
  <c r="F1429" i="44"/>
  <c r="K1429"/>
  <c r="K1427"/>
  <c r="E1433"/>
  <c r="K1433"/>
  <c r="K1431"/>
  <c r="J330" i="41"/>
  <c r="I967" i="44"/>
  <c r="J931"/>
  <c r="I935"/>
  <c r="J314" i="41"/>
  <c r="J304"/>
  <c r="I300"/>
  <c r="K300" s="1"/>
  <c r="I296"/>
  <c r="K296"/>
  <c r="I276"/>
  <c r="J293"/>
  <c r="M788" i="44"/>
  <c r="G794"/>
  <c r="K794"/>
  <c r="K792"/>
  <c r="H271" i="41"/>
  <c r="I271" s="1"/>
  <c r="E258"/>
  <c r="E271"/>
  <c r="E254"/>
  <c r="E239"/>
  <c r="K748" i="44"/>
  <c r="K745"/>
  <c r="J260" i="41"/>
  <c r="K260"/>
  <c r="F260"/>
  <c r="E260"/>
  <c r="E257"/>
  <c r="F252"/>
  <c r="K734" i="44"/>
  <c r="K731"/>
  <c r="F249" i="41"/>
  <c r="E249"/>
  <c r="K723" i="44"/>
  <c r="K720"/>
  <c r="I721"/>
  <c r="E242" i="41"/>
  <c r="F244"/>
  <c r="E240"/>
  <c r="I242"/>
  <c r="K242" s="1"/>
  <c r="H246"/>
  <c r="E246"/>
  <c r="I244"/>
  <c r="F243"/>
  <c r="F239"/>
  <c r="H234"/>
  <c r="I234" s="1"/>
  <c r="K234" s="1"/>
  <c r="K671" i="44"/>
  <c r="K669"/>
  <c r="E675"/>
  <c r="K675"/>
  <c r="K673"/>
  <c r="H237" i="41"/>
  <c r="I237" s="1"/>
  <c r="K237" s="1"/>
  <c r="F237"/>
  <c r="E235"/>
  <c r="F235"/>
  <c r="F233"/>
  <c r="H233"/>
  <c r="I233"/>
  <c r="E232"/>
  <c r="K663" i="44"/>
  <c r="K661"/>
  <c r="F696"/>
  <c r="F687"/>
  <c r="K687"/>
  <c r="K684"/>
  <c r="G241" i="41"/>
  <c r="E696" i="44"/>
  <c r="K696"/>
  <c r="K679"/>
  <c r="K677"/>
  <c r="F692"/>
  <c r="K692"/>
  <c r="K689"/>
  <c r="G242" i="41"/>
  <c r="J242" s="1"/>
  <c r="E227"/>
  <c r="E226"/>
  <c r="H226"/>
  <c r="I226"/>
  <c r="H227"/>
  <c r="I227" s="1"/>
  <c r="K227" s="1"/>
  <c r="C648" i="44"/>
  <c r="H659"/>
  <c r="G659"/>
  <c r="E656"/>
  <c r="H654"/>
  <c r="E652"/>
  <c r="K650"/>
  <c r="K648"/>
  <c r="E638"/>
  <c r="E634"/>
  <c r="K632"/>
  <c r="F636"/>
  <c r="K636"/>
  <c r="K634"/>
  <c r="G203" i="41"/>
  <c r="D203"/>
  <c r="C585" i="44"/>
  <c r="E585"/>
  <c r="I140" i="43"/>
  <c r="I139"/>
  <c r="K474" i="44"/>
  <c r="E478"/>
  <c r="I138" i="43"/>
  <c r="H203" i="41" s="1"/>
  <c r="K1384" i="44"/>
  <c r="G466" i="41"/>
  <c r="G465"/>
  <c r="J333"/>
  <c r="J289"/>
  <c r="G270"/>
  <c r="K780" i="44"/>
  <c r="G271" i="41"/>
  <c r="J271"/>
  <c r="K476" i="44"/>
  <c r="G147" i="41"/>
  <c r="G146"/>
  <c r="J301"/>
  <c r="K1425" i="44"/>
  <c r="K1423"/>
  <c r="K805"/>
  <c r="G279" i="41"/>
  <c r="K279"/>
  <c r="K341"/>
  <c r="H312"/>
  <c r="H258"/>
  <c r="J258" s="1"/>
  <c r="H298"/>
  <c r="H342"/>
  <c r="H302"/>
  <c r="H346"/>
  <c r="J285"/>
  <c r="K325"/>
  <c r="J290"/>
  <c r="I797" i="44"/>
  <c r="G277" i="41"/>
  <c r="J281"/>
  <c r="J793" i="44"/>
  <c r="G276" i="41"/>
  <c r="J322"/>
  <c r="J326"/>
  <c r="K326"/>
  <c r="J291"/>
  <c r="H254"/>
  <c r="F700" i="44"/>
  <c r="G239" i="41"/>
  <c r="G250"/>
  <c r="E700" i="44"/>
  <c r="G237" i="41"/>
  <c r="G253"/>
  <c r="I732" i="44"/>
  <c r="M673"/>
  <c r="G238" i="41"/>
  <c r="I746" i="44"/>
  <c r="G257" i="41"/>
  <c r="I246"/>
  <c r="K665" i="44"/>
  <c r="G235" i="41"/>
  <c r="J235"/>
  <c r="G234"/>
  <c r="J234"/>
  <c r="M648" i="44"/>
  <c r="G231" i="41"/>
  <c r="I685" i="44"/>
  <c r="K694"/>
  <c r="K702"/>
  <c r="E648"/>
  <c r="C231" i="41"/>
  <c r="E640" i="44"/>
  <c r="K640"/>
  <c r="K638"/>
  <c r="G227" i="41"/>
  <c r="J227" s="1"/>
  <c r="G226"/>
  <c r="J226" s="1"/>
  <c r="F706" i="44"/>
  <c r="K706"/>
  <c r="K704"/>
  <c r="K682"/>
  <c r="K659"/>
  <c r="K656"/>
  <c r="G654"/>
  <c r="K654"/>
  <c r="C203" i="41"/>
  <c r="E203" s="1"/>
  <c r="D584"/>
  <c r="D583"/>
  <c r="D581"/>
  <c r="C584"/>
  <c r="F584" s="1"/>
  <c r="C583"/>
  <c r="F583"/>
  <c r="C582"/>
  <c r="E582" s="1"/>
  <c r="C581"/>
  <c r="F581" s="1"/>
  <c r="C580"/>
  <c r="F580" s="1"/>
  <c r="E579"/>
  <c r="G584"/>
  <c r="E1681" i="44"/>
  <c r="K1673"/>
  <c r="K1677"/>
  <c r="K1679"/>
  <c r="E1679"/>
  <c r="E1677"/>
  <c r="E1675"/>
  <c r="E1673"/>
  <c r="D578" i="41"/>
  <c r="D577"/>
  <c r="D576"/>
  <c r="D575"/>
  <c r="D574"/>
  <c r="D573"/>
  <c r="D572"/>
  <c r="D571"/>
  <c r="C578"/>
  <c r="F578" s="1"/>
  <c r="C577"/>
  <c r="E577"/>
  <c r="C576"/>
  <c r="E576" s="1"/>
  <c r="C575"/>
  <c r="F575"/>
  <c r="C574"/>
  <c r="C573"/>
  <c r="H573" s="1"/>
  <c r="C572"/>
  <c r="E572"/>
  <c r="C571"/>
  <c r="F571"/>
  <c r="E570"/>
  <c r="E567"/>
  <c r="H566"/>
  <c r="E565"/>
  <c r="H564"/>
  <c r="I564"/>
  <c r="H563"/>
  <c r="I563" s="1"/>
  <c r="E562"/>
  <c r="E560"/>
  <c r="F559"/>
  <c r="E558"/>
  <c r="E557"/>
  <c r="H556"/>
  <c r="H555"/>
  <c r="I555" s="1"/>
  <c r="E554"/>
  <c r="E553"/>
  <c r="G578"/>
  <c r="G574"/>
  <c r="G573"/>
  <c r="E1669" i="44"/>
  <c r="E1667"/>
  <c r="E1665"/>
  <c r="E1663"/>
  <c r="E1661"/>
  <c r="E1659"/>
  <c r="E1657"/>
  <c r="E1655"/>
  <c r="B1641"/>
  <c r="B1647"/>
  <c r="E1651"/>
  <c r="E1649"/>
  <c r="E1647"/>
  <c r="E1641"/>
  <c r="E1639"/>
  <c r="K1625"/>
  <c r="G556" i="41"/>
  <c r="J556" s="1"/>
  <c r="E1635" i="44"/>
  <c r="E1633"/>
  <c r="E1629"/>
  <c r="E1625"/>
  <c r="E1623"/>
  <c r="G550" i="41"/>
  <c r="G545"/>
  <c r="D551"/>
  <c r="D550"/>
  <c r="D549"/>
  <c r="D548"/>
  <c r="D547"/>
  <c r="D546"/>
  <c r="D545"/>
  <c r="D544"/>
  <c r="D543"/>
  <c r="D542"/>
  <c r="F551"/>
  <c r="C550"/>
  <c r="E550"/>
  <c r="C549"/>
  <c r="F549"/>
  <c r="C548"/>
  <c r="E548"/>
  <c r="C547"/>
  <c r="F547"/>
  <c r="C546"/>
  <c r="F546"/>
  <c r="C545"/>
  <c r="H545"/>
  <c r="I545" s="1"/>
  <c r="K545" s="1"/>
  <c r="C544"/>
  <c r="E544"/>
  <c r="C543"/>
  <c r="F543"/>
  <c r="E541"/>
  <c r="G549"/>
  <c r="K1609" i="44"/>
  <c r="G547" i="41"/>
  <c r="G543"/>
  <c r="E1617" i="44"/>
  <c r="E1615"/>
  <c r="C1599"/>
  <c r="C542" i="41" s="1"/>
  <c r="E1613" i="44"/>
  <c r="E1611"/>
  <c r="E1609"/>
  <c r="E1607"/>
  <c r="E1605"/>
  <c r="E1603"/>
  <c r="E1601"/>
  <c r="E540" i="41"/>
  <c r="E539"/>
  <c r="E537"/>
  <c r="F535"/>
  <c r="F534"/>
  <c r="E533"/>
  <c r="F530"/>
  <c r="F529"/>
  <c r="E1595" i="44"/>
  <c r="E528" i="41"/>
  <c r="C1587" i="44"/>
  <c r="C536" i="41" s="1"/>
  <c r="E1589" i="44"/>
  <c r="E1585"/>
  <c r="E1575"/>
  <c r="E1583"/>
  <c r="E1581"/>
  <c r="E1573"/>
  <c r="D527" i="41"/>
  <c r="D526"/>
  <c r="D525"/>
  <c r="D524"/>
  <c r="D523"/>
  <c r="C527"/>
  <c r="F527" s="1"/>
  <c r="C526"/>
  <c r="H526"/>
  <c r="C525"/>
  <c r="F525" s="1"/>
  <c r="C524"/>
  <c r="F524"/>
  <c r="C523"/>
  <c r="E523" s="1"/>
  <c r="E522"/>
  <c r="K1569" i="44"/>
  <c r="G527" i="41"/>
  <c r="K1561" i="44"/>
  <c r="G523" i="41"/>
  <c r="E1569" i="44"/>
  <c r="E1567"/>
  <c r="E1565"/>
  <c r="E1563"/>
  <c r="E1561"/>
  <c r="D521" i="41"/>
  <c r="D520"/>
  <c r="D519"/>
  <c r="D518"/>
  <c r="C521"/>
  <c r="E521" s="1"/>
  <c r="C520"/>
  <c r="E520"/>
  <c r="C519"/>
  <c r="F519" s="1"/>
  <c r="C518"/>
  <c r="H518"/>
  <c r="I518"/>
  <c r="E517"/>
  <c r="G518"/>
  <c r="E1557" i="44"/>
  <c r="E512"/>
  <c r="K1553"/>
  <c r="C49" i="33"/>
  <c r="C27" i="48"/>
  <c r="G582" i="41"/>
  <c r="K1555" i="44"/>
  <c r="K1557"/>
  <c r="K466" i="41"/>
  <c r="J466"/>
  <c r="J465"/>
  <c r="K465"/>
  <c r="K271"/>
  <c r="K700" i="44"/>
  <c r="K698"/>
  <c r="G244" i="41"/>
  <c r="J244"/>
  <c r="J307"/>
  <c r="E534"/>
  <c r="J279"/>
  <c r="I342"/>
  <c r="K342" s="1"/>
  <c r="J342"/>
  <c r="I302"/>
  <c r="K302"/>
  <c r="J302"/>
  <c r="I312"/>
  <c r="K312"/>
  <c r="J312"/>
  <c r="I346"/>
  <c r="K346"/>
  <c r="J346"/>
  <c r="I298"/>
  <c r="K298"/>
  <c r="J298"/>
  <c r="K276"/>
  <c r="J277"/>
  <c r="I254"/>
  <c r="K254"/>
  <c r="E710" i="44"/>
  <c r="K710"/>
  <c r="G246" i="41"/>
  <c r="J246"/>
  <c r="J257"/>
  <c r="K257"/>
  <c r="J239"/>
  <c r="I690" i="44"/>
  <c r="G240" i="41"/>
  <c r="G245"/>
  <c r="G243"/>
  <c r="I657" i="44"/>
  <c r="G233" i="41"/>
  <c r="K652" i="44"/>
  <c r="K235" i="41"/>
  <c r="E231"/>
  <c r="K226"/>
  <c r="H583"/>
  <c r="I583"/>
  <c r="E583"/>
  <c r="G544"/>
  <c r="F576"/>
  <c r="F203"/>
  <c r="F555"/>
  <c r="H578"/>
  <c r="I578" s="1"/>
  <c r="K578" s="1"/>
  <c r="K1641" i="44"/>
  <c r="F566" i="41"/>
  <c r="H574"/>
  <c r="I574"/>
  <c r="K574"/>
  <c r="E551"/>
  <c r="E578"/>
  <c r="F572"/>
  <c r="H549"/>
  <c r="J549" s="1"/>
  <c r="G583"/>
  <c r="E559"/>
  <c r="G572"/>
  <c r="G580"/>
  <c r="F545"/>
  <c r="G571"/>
  <c r="J555"/>
  <c r="F567"/>
  <c r="G581"/>
  <c r="K581" s="1"/>
  <c r="H581"/>
  <c r="J581" s="1"/>
  <c r="F582"/>
  <c r="E580"/>
  <c r="H580"/>
  <c r="I580"/>
  <c r="K580" s="1"/>
  <c r="E555"/>
  <c r="F560"/>
  <c r="E556"/>
  <c r="F564"/>
  <c r="F556"/>
  <c r="E575"/>
  <c r="H572"/>
  <c r="I572" s="1"/>
  <c r="E571"/>
  <c r="E573"/>
  <c r="F577"/>
  <c r="H575"/>
  <c r="I575"/>
  <c r="F573"/>
  <c r="H577"/>
  <c r="I577"/>
  <c r="E549"/>
  <c r="F563"/>
  <c r="H567"/>
  <c r="I566"/>
  <c r="E566"/>
  <c r="F565"/>
  <c r="E564"/>
  <c r="E563"/>
  <c r="K563"/>
  <c r="J563"/>
  <c r="H560"/>
  <c r="F558"/>
  <c r="H558"/>
  <c r="F557"/>
  <c r="H557"/>
  <c r="I557"/>
  <c r="K557"/>
  <c r="I556"/>
  <c r="K1663" i="44"/>
  <c r="H551" i="41"/>
  <c r="I551"/>
  <c r="K551" s="1"/>
  <c r="E545"/>
  <c r="F550"/>
  <c r="E547"/>
  <c r="G542"/>
  <c r="K1635" i="44"/>
  <c r="G561" i="41"/>
  <c r="G546"/>
  <c r="J546" s="1"/>
  <c r="H543"/>
  <c r="I543" s="1"/>
  <c r="K543" s="1"/>
  <c r="J543"/>
  <c r="E543"/>
  <c r="H547"/>
  <c r="J547"/>
  <c r="H550"/>
  <c r="I550" s="1"/>
  <c r="F548"/>
  <c r="H546"/>
  <c r="I546" s="1"/>
  <c r="F544"/>
  <c r="E546"/>
  <c r="H548"/>
  <c r="I548"/>
  <c r="H544"/>
  <c r="I544" s="1"/>
  <c r="K544" s="1"/>
  <c r="E529"/>
  <c r="F540"/>
  <c r="H540"/>
  <c r="J540"/>
  <c r="E526"/>
  <c r="H534"/>
  <c r="I534" s="1"/>
  <c r="K534" s="1"/>
  <c r="F539"/>
  <c r="H539"/>
  <c r="I539" s="1"/>
  <c r="K539" s="1"/>
  <c r="H530"/>
  <c r="I530" s="1"/>
  <c r="K530" s="1"/>
  <c r="J530"/>
  <c r="E530"/>
  <c r="F537"/>
  <c r="H535"/>
  <c r="I535"/>
  <c r="K535" s="1"/>
  <c r="F533"/>
  <c r="E535"/>
  <c r="H537"/>
  <c r="I537" s="1"/>
  <c r="K537" s="1"/>
  <c r="H533"/>
  <c r="J533" s="1"/>
  <c r="I533"/>
  <c r="K533" s="1"/>
  <c r="K1563" i="44"/>
  <c r="E527" i="41"/>
  <c r="H523"/>
  <c r="I523" s="1"/>
  <c r="K523" s="1"/>
  <c r="J523"/>
  <c r="I526"/>
  <c r="F526"/>
  <c r="H524"/>
  <c r="I524"/>
  <c r="H525"/>
  <c r="E524"/>
  <c r="F518"/>
  <c r="E518"/>
  <c r="H519"/>
  <c r="J519" s="1"/>
  <c r="G519"/>
  <c r="G521"/>
  <c r="J521" s="1"/>
  <c r="H521"/>
  <c r="I521" s="1"/>
  <c r="K521" s="1"/>
  <c r="F520"/>
  <c r="K518"/>
  <c r="J518"/>
  <c r="J583"/>
  <c r="J561"/>
  <c r="K561"/>
  <c r="K1647" i="44"/>
  <c r="G567" i="41"/>
  <c r="G564"/>
  <c r="J564"/>
  <c r="K1643" i="44"/>
  <c r="K556" i="41"/>
  <c r="G520"/>
  <c r="K244"/>
  <c r="K708" i="44"/>
  <c r="G247" i="41"/>
  <c r="K246"/>
  <c r="K233"/>
  <c r="J233"/>
  <c r="J653" i="44"/>
  <c r="G232" i="41"/>
  <c r="J237"/>
  <c r="K555"/>
  <c r="J574"/>
  <c r="I549"/>
  <c r="K549"/>
  <c r="K583"/>
  <c r="J560"/>
  <c r="K1665" i="44"/>
  <c r="G575" i="41"/>
  <c r="K575"/>
  <c r="I581"/>
  <c r="J580"/>
  <c r="J567"/>
  <c r="I567"/>
  <c r="K567" s="1"/>
  <c r="I560"/>
  <c r="K560" s="1"/>
  <c r="I558"/>
  <c r="K558"/>
  <c r="J558"/>
  <c r="J557"/>
  <c r="I547"/>
  <c r="K547"/>
  <c r="G548"/>
  <c r="K548" s="1"/>
  <c r="G551"/>
  <c r="J551"/>
  <c r="J544"/>
  <c r="I540"/>
  <c r="K540" s="1"/>
  <c r="F538"/>
  <c r="E538"/>
  <c r="J539"/>
  <c r="J535"/>
  <c r="K1565" i="44"/>
  <c r="G524" i="41"/>
  <c r="J524" s="1"/>
  <c r="I525"/>
  <c r="K1645" i="44"/>
  <c r="G566" i="41"/>
  <c r="K566" s="1"/>
  <c r="G565"/>
  <c r="K564"/>
  <c r="J575"/>
  <c r="K1667" i="44"/>
  <c r="G577" i="41"/>
  <c r="K577" s="1"/>
  <c r="G576"/>
  <c r="K1567" i="44"/>
  <c r="G526" i="41"/>
  <c r="G525"/>
  <c r="K525" s="1"/>
  <c r="J525"/>
  <c r="J566"/>
  <c r="J577"/>
  <c r="J526"/>
  <c r="K526"/>
  <c r="E1555" i="44"/>
  <c r="E1553"/>
  <c r="E1551"/>
  <c r="D515" i="41"/>
  <c r="D514"/>
  <c r="D512"/>
  <c r="D511"/>
  <c r="D510"/>
  <c r="D509"/>
  <c r="D508"/>
  <c r="F515"/>
  <c r="F514"/>
  <c r="H512"/>
  <c r="H511"/>
  <c r="I511" s="1"/>
  <c r="K511" s="1"/>
  <c r="C510"/>
  <c r="E510" s="1"/>
  <c r="C509"/>
  <c r="H509" s="1"/>
  <c r="F509"/>
  <c r="E511"/>
  <c r="C508"/>
  <c r="H508"/>
  <c r="I508"/>
  <c r="E507"/>
  <c r="K1543" i="44"/>
  <c r="G514" i="41"/>
  <c r="J514" s="1"/>
  <c r="E1545" i="44"/>
  <c r="E1543"/>
  <c r="E1539"/>
  <c r="E1537"/>
  <c r="K1531"/>
  <c r="K1533"/>
  <c r="E1535"/>
  <c r="E1533"/>
  <c r="E1531"/>
  <c r="F511" i="41"/>
  <c r="K1535" i="44"/>
  <c r="G510" i="41"/>
  <c r="G509"/>
  <c r="J512"/>
  <c r="G508"/>
  <c r="J508"/>
  <c r="E515"/>
  <c r="E512"/>
  <c r="F512"/>
  <c r="J511"/>
  <c r="H514"/>
  <c r="I514" s="1"/>
  <c r="K514" s="1"/>
  <c r="I512"/>
  <c r="H510"/>
  <c r="J510" s="1"/>
  <c r="E509"/>
  <c r="H515"/>
  <c r="J515" s="1"/>
  <c r="E514"/>
  <c r="F508"/>
  <c r="E508"/>
  <c r="E1505" i="44"/>
  <c r="F1505"/>
  <c r="G1505"/>
  <c r="F1500"/>
  <c r="H1500"/>
  <c r="I1500"/>
  <c r="H1505"/>
  <c r="F1494"/>
  <c r="K1486"/>
  <c r="I1486"/>
  <c r="G1494"/>
  <c r="B1494"/>
  <c r="B1500"/>
  <c r="B1505"/>
  <c r="H1494"/>
  <c r="D506" i="41"/>
  <c r="D505"/>
  <c r="D504"/>
  <c r="D503"/>
  <c r="D502"/>
  <c r="C506"/>
  <c r="F506"/>
  <c r="C505"/>
  <c r="E505"/>
  <c r="C504"/>
  <c r="E504"/>
  <c r="C503"/>
  <c r="E503"/>
  <c r="C502"/>
  <c r="H502"/>
  <c r="I502" s="1"/>
  <c r="K502" s="1"/>
  <c r="E501"/>
  <c r="E1511" i="44"/>
  <c r="E1527"/>
  <c r="G1527"/>
  <c r="F1527"/>
  <c r="E1525"/>
  <c r="H1523"/>
  <c r="E1520"/>
  <c r="H1518"/>
  <c r="F1518"/>
  <c r="E1515"/>
  <c r="E1513"/>
  <c r="E1509"/>
  <c r="D109" i="41"/>
  <c r="D108"/>
  <c r="D107"/>
  <c r="D106"/>
  <c r="C109"/>
  <c r="E109" s="1"/>
  <c r="F109"/>
  <c r="C108"/>
  <c r="F108"/>
  <c r="C107"/>
  <c r="H107"/>
  <c r="I107" s="1"/>
  <c r="C106"/>
  <c r="F106"/>
  <c r="D105"/>
  <c r="C105"/>
  <c r="H105"/>
  <c r="I105"/>
  <c r="E104"/>
  <c r="B374" i="44"/>
  <c r="B373"/>
  <c r="E374"/>
  <c r="F374"/>
  <c r="G374"/>
  <c r="B369"/>
  <c r="B368"/>
  <c r="F369"/>
  <c r="H369"/>
  <c r="F363"/>
  <c r="G363"/>
  <c r="H363"/>
  <c r="B363"/>
  <c r="B362"/>
  <c r="K355"/>
  <c r="G373"/>
  <c r="F373"/>
  <c r="F362"/>
  <c r="E354"/>
  <c r="E373"/>
  <c r="H368"/>
  <c r="E365"/>
  <c r="E371"/>
  <c r="H362"/>
  <c r="E359"/>
  <c r="E357"/>
  <c r="E352"/>
  <c r="D500" i="41"/>
  <c r="D499"/>
  <c r="D498"/>
  <c r="D497"/>
  <c r="D496"/>
  <c r="C500"/>
  <c r="F500"/>
  <c r="C499"/>
  <c r="F499"/>
  <c r="C498"/>
  <c r="E498"/>
  <c r="C497"/>
  <c r="E497"/>
  <c r="C496"/>
  <c r="F496"/>
  <c r="F1493" i="44"/>
  <c r="G1485"/>
  <c r="F1499"/>
  <c r="E494" i="41"/>
  <c r="E495"/>
  <c r="F1504" i="44"/>
  <c r="E1504"/>
  <c r="E1502"/>
  <c r="H1499"/>
  <c r="E1496"/>
  <c r="H1493"/>
  <c r="B1493"/>
  <c r="B1499"/>
  <c r="B1504"/>
  <c r="E1490"/>
  <c r="E1488"/>
  <c r="I1499"/>
  <c r="H1504"/>
  <c r="E1483"/>
  <c r="D493" i="41"/>
  <c r="D492"/>
  <c r="D491"/>
  <c r="D490"/>
  <c r="D489"/>
  <c r="D488"/>
  <c r="D487"/>
  <c r="D486"/>
  <c r="D485"/>
  <c r="D484"/>
  <c r="D483"/>
  <c r="C493"/>
  <c r="F493"/>
  <c r="C492"/>
  <c r="H492"/>
  <c r="I492" s="1"/>
  <c r="K492" s="1"/>
  <c r="C491"/>
  <c r="E491" s="1"/>
  <c r="H491"/>
  <c r="I491"/>
  <c r="C490"/>
  <c r="F490"/>
  <c r="C489"/>
  <c r="H489"/>
  <c r="I489" s="1"/>
  <c r="K489" s="1"/>
  <c r="C488"/>
  <c r="E488" s="1"/>
  <c r="H488"/>
  <c r="I488"/>
  <c r="C487"/>
  <c r="E487"/>
  <c r="C486"/>
  <c r="F486"/>
  <c r="C485"/>
  <c r="H485"/>
  <c r="I485"/>
  <c r="C484"/>
  <c r="E484" s="1"/>
  <c r="C483"/>
  <c r="F483"/>
  <c r="C481"/>
  <c r="H481" s="1"/>
  <c r="I481" s="1"/>
  <c r="K481" s="1"/>
  <c r="C480"/>
  <c r="H480" s="1"/>
  <c r="I480" s="1"/>
  <c r="F480"/>
  <c r="C479"/>
  <c r="H479" s="1"/>
  <c r="I479" s="1"/>
  <c r="K479" s="1"/>
  <c r="C478"/>
  <c r="F478"/>
  <c r="C477"/>
  <c r="F477" s="1"/>
  <c r="C476"/>
  <c r="H476"/>
  <c r="J476" s="1"/>
  <c r="I476"/>
  <c r="K476" s="1"/>
  <c r="C475"/>
  <c r="H475"/>
  <c r="I475"/>
  <c r="C474"/>
  <c r="E474" s="1"/>
  <c r="C473"/>
  <c r="E473"/>
  <c r="D481"/>
  <c r="D480"/>
  <c r="D479"/>
  <c r="D478"/>
  <c r="D477"/>
  <c r="D476"/>
  <c r="D475"/>
  <c r="D474"/>
  <c r="D473"/>
  <c r="E482"/>
  <c r="E472"/>
  <c r="E471"/>
  <c r="E462"/>
  <c r="E1439" i="44"/>
  <c r="K1439"/>
  <c r="K1437"/>
  <c r="E1467"/>
  <c r="G476" i="41"/>
  <c r="E1475" i="44"/>
  <c r="E1471"/>
  <c r="E1469"/>
  <c r="E1465"/>
  <c r="H1463"/>
  <c r="E1461"/>
  <c r="H1459"/>
  <c r="E1456"/>
  <c r="I1454"/>
  <c r="H1454"/>
  <c r="E1451"/>
  <c r="E1449"/>
  <c r="G1447"/>
  <c r="G1463"/>
  <c r="E1445"/>
  <c r="H1443"/>
  <c r="F1443"/>
  <c r="F1447"/>
  <c r="E1441"/>
  <c r="E1437"/>
  <c r="G463" i="41"/>
  <c r="D469"/>
  <c r="D468"/>
  <c r="D467"/>
  <c r="D464"/>
  <c r="D463"/>
  <c r="C469"/>
  <c r="C468"/>
  <c r="C467"/>
  <c r="C464"/>
  <c r="C463"/>
  <c r="G464"/>
  <c r="E461"/>
  <c r="C47" i="33"/>
  <c r="C26" i="48"/>
  <c r="K508" i="41"/>
  <c r="F503"/>
  <c r="H503"/>
  <c r="I503"/>
  <c r="K512"/>
  <c r="F505"/>
  <c r="K1494" i="44"/>
  <c r="K1505"/>
  <c r="K1500"/>
  <c r="I515" i="41"/>
  <c r="K515"/>
  <c r="E502"/>
  <c r="H505"/>
  <c r="H506"/>
  <c r="I506" s="1"/>
  <c r="F504"/>
  <c r="E506"/>
  <c r="H504"/>
  <c r="I504" s="1"/>
  <c r="K504" s="1"/>
  <c r="F502"/>
  <c r="K1527" i="44"/>
  <c r="K1525"/>
  <c r="G506" i="41"/>
  <c r="E107"/>
  <c r="G1518" i="44"/>
  <c r="K1518"/>
  <c r="K1515"/>
  <c r="G504" i="41"/>
  <c r="J504" s="1"/>
  <c r="K1511" i="44"/>
  <c r="K1509"/>
  <c r="F1523"/>
  <c r="K1523"/>
  <c r="K373"/>
  <c r="K374"/>
  <c r="K369"/>
  <c r="G362"/>
  <c r="E108" i="41"/>
  <c r="H108"/>
  <c r="I108" s="1"/>
  <c r="H106"/>
  <c r="I106"/>
  <c r="E106"/>
  <c r="F105"/>
  <c r="H109"/>
  <c r="I109"/>
  <c r="F107"/>
  <c r="E105"/>
  <c r="F368" i="44"/>
  <c r="K363"/>
  <c r="H498" i="41"/>
  <c r="I498"/>
  <c r="E485"/>
  <c r="H497"/>
  <c r="I497" s="1"/>
  <c r="H487"/>
  <c r="I487"/>
  <c r="E478"/>
  <c r="H493"/>
  <c r="I493"/>
  <c r="F487"/>
  <c r="H478"/>
  <c r="G1504" i="44"/>
  <c r="K1504"/>
  <c r="H499" i="41"/>
  <c r="E499"/>
  <c r="E493"/>
  <c r="E489"/>
  <c r="F497"/>
  <c r="H500"/>
  <c r="I500" s="1"/>
  <c r="F498"/>
  <c r="E500"/>
  <c r="E486"/>
  <c r="E490"/>
  <c r="E480"/>
  <c r="H496"/>
  <c r="I496"/>
  <c r="K496" s="1"/>
  <c r="E496"/>
  <c r="G478"/>
  <c r="I1485" i="44"/>
  <c r="G1493"/>
  <c r="G483" i="41"/>
  <c r="G475"/>
  <c r="J475"/>
  <c r="K1485" i="44"/>
  <c r="K1483"/>
  <c r="K1499"/>
  <c r="E476" i="41"/>
  <c r="F485"/>
  <c r="H473"/>
  <c r="I473"/>
  <c r="F491"/>
  <c r="H483"/>
  <c r="E483"/>
  <c r="F476"/>
  <c r="F489"/>
  <c r="F473"/>
  <c r="E492"/>
  <c r="E475"/>
  <c r="F492"/>
  <c r="H490"/>
  <c r="F488"/>
  <c r="H486"/>
  <c r="I486"/>
  <c r="K486" s="1"/>
  <c r="F479"/>
  <c r="F475"/>
  <c r="H484"/>
  <c r="I484" s="1"/>
  <c r="K484" s="1"/>
  <c r="I478"/>
  <c r="G1454" i="44"/>
  <c r="E1443"/>
  <c r="E1447"/>
  <c r="K1447"/>
  <c r="K1445"/>
  <c r="G485" i="41"/>
  <c r="J485" s="1"/>
  <c r="K485"/>
  <c r="F1463" i="44"/>
  <c r="F1454"/>
  <c r="G468" i="41"/>
  <c r="G467"/>
  <c r="J478"/>
  <c r="K1496" i="44"/>
  <c r="G499" i="41"/>
  <c r="K1513" i="44"/>
  <c r="G503" i="41"/>
  <c r="G502"/>
  <c r="J502" s="1"/>
  <c r="K506"/>
  <c r="K1502" i="44"/>
  <c r="G500" i="41"/>
  <c r="K500" s="1"/>
  <c r="I505"/>
  <c r="J506"/>
  <c r="I1516" i="44"/>
  <c r="K371"/>
  <c r="G109" i="41"/>
  <c r="K1520" i="44"/>
  <c r="K1488"/>
  <c r="G497" i="41"/>
  <c r="K497" s="1"/>
  <c r="G496"/>
  <c r="K475"/>
  <c r="G477"/>
  <c r="G474"/>
  <c r="G481"/>
  <c r="G480"/>
  <c r="K480" s="1"/>
  <c r="K478"/>
  <c r="E1463" i="44"/>
  <c r="G469" i="41"/>
  <c r="F1459" i="44"/>
  <c r="K1459"/>
  <c r="K1443"/>
  <c r="K1441"/>
  <c r="K1454"/>
  <c r="F1467"/>
  <c r="K1467"/>
  <c r="K1465"/>
  <c r="G490" i="41"/>
  <c r="F1473" i="44"/>
  <c r="K1473"/>
  <c r="K1471"/>
  <c r="K1449"/>
  <c r="K1463"/>
  <c r="K1461"/>
  <c r="I1497"/>
  <c r="J500" i="41"/>
  <c r="I1521" i="44"/>
  <c r="G505" i="41"/>
  <c r="J505"/>
  <c r="J496"/>
  <c r="K1456" i="44"/>
  <c r="I1457"/>
  <c r="G486" i="41"/>
  <c r="J486" s="1"/>
  <c r="K1451" i="44"/>
  <c r="G487" i="41"/>
  <c r="G479"/>
  <c r="J479" s="1"/>
  <c r="G473"/>
  <c r="K473" s="1"/>
  <c r="J481"/>
  <c r="E1477" i="44"/>
  <c r="K1477"/>
  <c r="K1475"/>
  <c r="G493" i="41"/>
  <c r="J493" s="1"/>
  <c r="G492"/>
  <c r="M1441" i="44"/>
  <c r="G484" i="41"/>
  <c r="J480"/>
  <c r="K1469" i="44"/>
  <c r="G491" i="41"/>
  <c r="K491" s="1"/>
  <c r="J491"/>
  <c r="G489"/>
  <c r="K505"/>
  <c r="G488"/>
  <c r="I1452" i="44"/>
  <c r="J484" i="41"/>
  <c r="K487"/>
  <c r="J487"/>
  <c r="G225"/>
  <c r="E223"/>
  <c r="C24" i="48" s="1"/>
  <c r="D225" i="41"/>
  <c r="C225"/>
  <c r="F225" s="1"/>
  <c r="H225"/>
  <c r="I225" s="1"/>
  <c r="K225" s="1"/>
  <c r="K228" s="1"/>
  <c r="E632" i="44"/>
  <c r="K626"/>
  <c r="G221" i="41"/>
  <c r="G220"/>
  <c r="D221"/>
  <c r="D220"/>
  <c r="C221"/>
  <c r="C624" i="44"/>
  <c r="C220" i="41"/>
  <c r="D127" i="43"/>
  <c r="E218" i="41"/>
  <c r="C23" i="48" s="1"/>
  <c r="G219" i="41"/>
  <c r="D219"/>
  <c r="K601" i="44"/>
  <c r="G210" i="41"/>
  <c r="D210"/>
  <c r="C210"/>
  <c r="H210" s="1"/>
  <c r="J210" s="1"/>
  <c r="F210"/>
  <c r="C622" i="44"/>
  <c r="E622"/>
  <c r="G103" i="43"/>
  <c r="I103"/>
  <c r="I102" s="1"/>
  <c r="E626" i="44"/>
  <c r="K607"/>
  <c r="K608"/>
  <c r="D214" i="41"/>
  <c r="C214"/>
  <c r="E214"/>
  <c r="K612" i="44"/>
  <c r="E610"/>
  <c r="C213" i="41"/>
  <c r="H213" s="1"/>
  <c r="I213" s="1"/>
  <c r="K213" s="1"/>
  <c r="E213"/>
  <c r="E212"/>
  <c r="C22" i="48" s="1"/>
  <c r="E605" i="44"/>
  <c r="E601"/>
  <c r="F127" i="43"/>
  <c r="E127"/>
  <c r="K610" i="44"/>
  <c r="G214" i="41"/>
  <c r="K605" i="44"/>
  <c r="E624"/>
  <c r="E225" i="41"/>
  <c r="C219"/>
  <c r="E210"/>
  <c r="K595" i="44"/>
  <c r="G209" i="41"/>
  <c r="F214"/>
  <c r="H214"/>
  <c r="I214" s="1"/>
  <c r="K214" s="1"/>
  <c r="F213"/>
  <c r="G202"/>
  <c r="K202" s="1"/>
  <c r="D202"/>
  <c r="C583" i="44"/>
  <c r="C202" i="41"/>
  <c r="E202"/>
  <c r="G201"/>
  <c r="K201" s="1"/>
  <c r="D201"/>
  <c r="C201"/>
  <c r="E201"/>
  <c r="E581" i="44"/>
  <c r="G206" i="41"/>
  <c r="D209"/>
  <c r="D208"/>
  <c r="D207"/>
  <c r="D206"/>
  <c r="C208"/>
  <c r="C207"/>
  <c r="C206"/>
  <c r="E205"/>
  <c r="C21" i="48"/>
  <c r="C595" i="44"/>
  <c r="E595"/>
  <c r="G207" i="41"/>
  <c r="E593" i="44"/>
  <c r="E591"/>
  <c r="E589"/>
  <c r="K568"/>
  <c r="G195" i="41"/>
  <c r="D196"/>
  <c r="C196"/>
  <c r="F196" s="1"/>
  <c r="D195"/>
  <c r="E193"/>
  <c r="C20" i="48"/>
  <c r="K570" i="44"/>
  <c r="G196" i="41"/>
  <c r="E570" i="44"/>
  <c r="C568"/>
  <c r="K562"/>
  <c r="E562"/>
  <c r="G189" i="41"/>
  <c r="C189"/>
  <c r="E188"/>
  <c r="C19" i="48"/>
  <c r="J214" i="41"/>
  <c r="G213"/>
  <c r="K616" i="44"/>
  <c r="K560"/>
  <c r="G190" i="41"/>
  <c r="G191"/>
  <c r="I210"/>
  <c r="K210" s="1"/>
  <c r="E583" i="44"/>
  <c r="F201" i="41"/>
  <c r="H201"/>
  <c r="K593" i="44"/>
  <c r="G208" i="41"/>
  <c r="F202"/>
  <c r="H202"/>
  <c r="I202" s="1"/>
  <c r="C209"/>
  <c r="E558" i="44"/>
  <c r="G185" i="41"/>
  <c r="G184"/>
  <c r="G183"/>
  <c r="G182"/>
  <c r="G181"/>
  <c r="G180"/>
  <c r="G177"/>
  <c r="J177" s="1"/>
  <c r="D186"/>
  <c r="D185"/>
  <c r="D184"/>
  <c r="D183"/>
  <c r="D182"/>
  <c r="D181"/>
  <c r="D180"/>
  <c r="D179"/>
  <c r="D178"/>
  <c r="D177"/>
  <c r="D176"/>
  <c r="C186"/>
  <c r="F186" s="1"/>
  <c r="C185"/>
  <c r="F185"/>
  <c r="C184"/>
  <c r="H184" s="1"/>
  <c r="C183"/>
  <c r="F183"/>
  <c r="C182"/>
  <c r="F182" s="1"/>
  <c r="C181"/>
  <c r="F181"/>
  <c r="C180"/>
  <c r="H180" s="1"/>
  <c r="I180" s="1"/>
  <c r="K180" s="1"/>
  <c r="C179"/>
  <c r="E179"/>
  <c r="C178"/>
  <c r="E178" s="1"/>
  <c r="C177"/>
  <c r="E177"/>
  <c r="K554" i="44"/>
  <c r="G186" i="41"/>
  <c r="E554" i="44"/>
  <c r="E175" i="41"/>
  <c r="G176"/>
  <c r="E536" i="44"/>
  <c r="C534"/>
  <c r="E534"/>
  <c r="E552"/>
  <c r="E550"/>
  <c r="E548"/>
  <c r="E546"/>
  <c r="E544"/>
  <c r="E542"/>
  <c r="E540"/>
  <c r="E538"/>
  <c r="E183" i="41"/>
  <c r="G215"/>
  <c r="K618" i="44"/>
  <c r="G216" i="41"/>
  <c r="K216" s="1"/>
  <c r="K191"/>
  <c r="J191"/>
  <c r="H183"/>
  <c r="I183" s="1"/>
  <c r="I201"/>
  <c r="G179"/>
  <c r="J179" s="1"/>
  <c r="E185"/>
  <c r="H185"/>
  <c r="J185" s="1"/>
  <c r="E184"/>
  <c r="C176"/>
  <c r="E176" s="1"/>
  <c r="F179"/>
  <c r="F177"/>
  <c r="H181"/>
  <c r="J181" s="1"/>
  <c r="E181"/>
  <c r="H179"/>
  <c r="I179" s="1"/>
  <c r="H177"/>
  <c r="I177" s="1"/>
  <c r="H182"/>
  <c r="J182" s="1"/>
  <c r="E500" i="44"/>
  <c r="E522"/>
  <c r="E528"/>
  <c r="E526"/>
  <c r="E166" i="41"/>
  <c r="E520" i="44"/>
  <c r="E518"/>
  <c r="J216" i="41"/>
  <c r="I185"/>
  <c r="K185"/>
  <c r="J183"/>
  <c r="G178"/>
  <c r="I181"/>
  <c r="K181" s="1"/>
  <c r="K177"/>
  <c r="C516" i="44"/>
  <c r="C167" i="41"/>
  <c r="F167" s="1"/>
  <c r="D163"/>
  <c r="D162"/>
  <c r="F165"/>
  <c r="E163"/>
  <c r="F162"/>
  <c r="D161"/>
  <c r="H161"/>
  <c r="I161"/>
  <c r="E160"/>
  <c r="E508" i="44"/>
  <c r="E506"/>
  <c r="E504"/>
  <c r="J161" i="41"/>
  <c r="E167"/>
  <c r="E516" i="44"/>
  <c r="H163" i="41"/>
  <c r="J163" s="1"/>
  <c r="E165"/>
  <c r="H165"/>
  <c r="I165" s="1"/>
  <c r="K165" s="1"/>
  <c r="H162"/>
  <c r="E162"/>
  <c r="F163"/>
  <c r="F161"/>
  <c r="E161"/>
  <c r="H153"/>
  <c r="I153"/>
  <c r="K153" s="1"/>
  <c r="E152"/>
  <c r="F150"/>
  <c r="F149"/>
  <c r="E148"/>
  <c r="F147"/>
  <c r="E150"/>
  <c r="C146"/>
  <c r="H146"/>
  <c r="J146" s="1"/>
  <c r="E145"/>
  <c r="H143"/>
  <c r="H142"/>
  <c r="F141"/>
  <c r="F140"/>
  <c r="E139"/>
  <c r="E138"/>
  <c r="E128"/>
  <c r="C18" i="48" s="1"/>
  <c r="E496" i="44"/>
  <c r="K490"/>
  <c r="G154" i="41"/>
  <c r="J154" s="1"/>
  <c r="E488" i="44"/>
  <c r="E490"/>
  <c r="E498"/>
  <c r="E480"/>
  <c r="E476"/>
  <c r="E474"/>
  <c r="E484"/>
  <c r="E468"/>
  <c r="E464"/>
  <c r="E462"/>
  <c r="E460"/>
  <c r="G124" i="41"/>
  <c r="K124" s="1"/>
  <c r="D124"/>
  <c r="F126"/>
  <c r="H125"/>
  <c r="I125" s="1"/>
  <c r="K125" s="1"/>
  <c r="F124"/>
  <c r="E123"/>
  <c r="C121"/>
  <c r="G121"/>
  <c r="E412" i="44"/>
  <c r="G119" i="41"/>
  <c r="C408" i="44"/>
  <c r="E408"/>
  <c r="D116" i="41"/>
  <c r="D115"/>
  <c r="D114"/>
  <c r="D113"/>
  <c r="D112"/>
  <c r="C116"/>
  <c r="C115"/>
  <c r="C114"/>
  <c r="C113"/>
  <c r="C112"/>
  <c r="H382" i="44"/>
  <c r="I382"/>
  <c r="E111" i="41"/>
  <c r="E110"/>
  <c r="D103"/>
  <c r="D102"/>
  <c r="D101"/>
  <c r="D100"/>
  <c r="D99"/>
  <c r="C103"/>
  <c r="C102"/>
  <c r="C101"/>
  <c r="C100"/>
  <c r="C99"/>
  <c r="E97"/>
  <c r="G404" i="44"/>
  <c r="F404"/>
  <c r="E404"/>
  <c r="G403"/>
  <c r="F403"/>
  <c r="E403"/>
  <c r="E401"/>
  <c r="I399"/>
  <c r="H404"/>
  <c r="H399"/>
  <c r="F399"/>
  <c r="I398"/>
  <c r="H403"/>
  <c r="H398"/>
  <c r="F398"/>
  <c r="E395"/>
  <c r="H392"/>
  <c r="F392"/>
  <c r="B392"/>
  <c r="B399"/>
  <c r="B404"/>
  <c r="H391"/>
  <c r="F391"/>
  <c r="B391"/>
  <c r="B398"/>
  <c r="B403"/>
  <c r="E388"/>
  <c r="E386"/>
  <c r="K383"/>
  <c r="I383"/>
  <c r="E380"/>
  <c r="C23" i="33"/>
  <c r="C17" i="48"/>
  <c r="G165" i="41"/>
  <c r="J165"/>
  <c r="K510" i="44"/>
  <c r="G164" i="41"/>
  <c r="K496" i="44"/>
  <c r="G157" i="41"/>
  <c r="K157" s="1"/>
  <c r="K494" i="44"/>
  <c r="G156" i="41"/>
  <c r="J142"/>
  <c r="K161"/>
  <c r="G391" i="44"/>
  <c r="K1493"/>
  <c r="K1490"/>
  <c r="G392"/>
  <c r="F153" i="41"/>
  <c r="I162"/>
  <c r="K162" s="1"/>
  <c r="J162"/>
  <c r="E153"/>
  <c r="H149"/>
  <c r="F146"/>
  <c r="E146"/>
  <c r="J143"/>
  <c r="H150"/>
  <c r="J153"/>
  <c r="F142"/>
  <c r="E142"/>
  <c r="H147"/>
  <c r="J147" s="1"/>
  <c r="E149"/>
  <c r="F148"/>
  <c r="H148"/>
  <c r="I148" s="1"/>
  <c r="K148" s="1"/>
  <c r="E147"/>
  <c r="E143"/>
  <c r="F143"/>
  <c r="H140"/>
  <c r="E140"/>
  <c r="H141"/>
  <c r="I141" s="1"/>
  <c r="K141" s="1"/>
  <c r="E141"/>
  <c r="I143"/>
  <c r="K143"/>
  <c r="I142"/>
  <c r="K142" s="1"/>
  <c r="H139"/>
  <c r="I139" s="1"/>
  <c r="K139" s="1"/>
  <c r="F139"/>
  <c r="F125"/>
  <c r="E126"/>
  <c r="K382" i="44"/>
  <c r="K380"/>
  <c r="H124" i="41"/>
  <c r="I124"/>
  <c r="E124"/>
  <c r="H126"/>
  <c r="J126"/>
  <c r="E125"/>
  <c r="C119"/>
  <c r="K399" i="44"/>
  <c r="K403"/>
  <c r="K398"/>
  <c r="I384"/>
  <c r="K404"/>
  <c r="I342"/>
  <c r="H348"/>
  <c r="I341"/>
  <c r="H347"/>
  <c r="I340"/>
  <c r="H346"/>
  <c r="F342"/>
  <c r="F341"/>
  <c r="F340"/>
  <c r="I323"/>
  <c r="I324"/>
  <c r="I322"/>
  <c r="K323"/>
  <c r="K324"/>
  <c r="D93" i="41"/>
  <c r="D92"/>
  <c r="D91"/>
  <c r="D90"/>
  <c r="D88"/>
  <c r="D87"/>
  <c r="D86"/>
  <c r="D85"/>
  <c r="D84"/>
  <c r="C94"/>
  <c r="E94"/>
  <c r="C93"/>
  <c r="C92"/>
  <c r="C91"/>
  <c r="C90"/>
  <c r="C89"/>
  <c r="C88"/>
  <c r="C87"/>
  <c r="C86"/>
  <c r="C85"/>
  <c r="C84"/>
  <c r="D82"/>
  <c r="D81"/>
  <c r="D79"/>
  <c r="D78"/>
  <c r="C82"/>
  <c r="C81"/>
  <c r="C80"/>
  <c r="C79"/>
  <c r="C78"/>
  <c r="E76"/>
  <c r="E77"/>
  <c r="J157"/>
  <c r="J156"/>
  <c r="K156"/>
  <c r="I1491" i="44"/>
  <c r="G498" i="41"/>
  <c r="J498" s="1"/>
  <c r="J140"/>
  <c r="J149"/>
  <c r="I149"/>
  <c r="K149" s="1"/>
  <c r="I140"/>
  <c r="K140" s="1"/>
  <c r="J148"/>
  <c r="I126"/>
  <c r="K126" s="1"/>
  <c r="K386" i="44"/>
  <c r="G113" i="41"/>
  <c r="J113" s="1"/>
  <c r="G112"/>
  <c r="I325" i="44"/>
  <c r="K395"/>
  <c r="K401"/>
  <c r="G116" i="41"/>
  <c r="H94"/>
  <c r="I94" s="1"/>
  <c r="F94"/>
  <c r="E178" i="44"/>
  <c r="G187"/>
  <c r="E309"/>
  <c r="E305"/>
  <c r="E302"/>
  <c r="E298"/>
  <c r="H296"/>
  <c r="E294"/>
  <c r="H292"/>
  <c r="E289"/>
  <c r="I287"/>
  <c r="H287"/>
  <c r="E284"/>
  <c r="E282"/>
  <c r="G296"/>
  <c r="E277"/>
  <c r="E273"/>
  <c r="K271"/>
  <c r="K269"/>
  <c r="E269"/>
  <c r="E264"/>
  <c r="E260"/>
  <c r="H258"/>
  <c r="G258"/>
  <c r="F258"/>
  <c r="E255"/>
  <c r="H252"/>
  <c r="F252"/>
  <c r="E250"/>
  <c r="E246"/>
  <c r="D75" i="41"/>
  <c r="D74"/>
  <c r="D73"/>
  <c r="D72"/>
  <c r="D71"/>
  <c r="D70"/>
  <c r="D68"/>
  <c r="D67"/>
  <c r="D66"/>
  <c r="D65"/>
  <c r="C74"/>
  <c r="H74" s="1"/>
  <c r="I74" s="1"/>
  <c r="K74" s="1"/>
  <c r="C75"/>
  <c r="F75"/>
  <c r="C73"/>
  <c r="E73" s="1"/>
  <c r="C72"/>
  <c r="E72"/>
  <c r="C71"/>
  <c r="E71" s="1"/>
  <c r="C70"/>
  <c r="F70"/>
  <c r="C69"/>
  <c r="F69" s="1"/>
  <c r="C68"/>
  <c r="E68"/>
  <c r="C67"/>
  <c r="H67" s="1"/>
  <c r="C66"/>
  <c r="F66"/>
  <c r="D69"/>
  <c r="C65"/>
  <c r="D63"/>
  <c r="D62"/>
  <c r="D61"/>
  <c r="D60"/>
  <c r="D59"/>
  <c r="E64"/>
  <c r="C63"/>
  <c r="C62"/>
  <c r="C61"/>
  <c r="C60"/>
  <c r="C59"/>
  <c r="E58"/>
  <c r="F187" i="44"/>
  <c r="E57" i="41"/>
  <c r="E238" i="44"/>
  <c r="E234"/>
  <c r="E231"/>
  <c r="E227"/>
  <c r="H225"/>
  <c r="E223"/>
  <c r="H221"/>
  <c r="E218"/>
  <c r="I216"/>
  <c r="H216"/>
  <c r="E213"/>
  <c r="E211"/>
  <c r="G225"/>
  <c r="E206"/>
  <c r="E202"/>
  <c r="E198"/>
  <c r="E193"/>
  <c r="E189"/>
  <c r="H187"/>
  <c r="E184"/>
  <c r="H182"/>
  <c r="F182"/>
  <c r="E180"/>
  <c r="E176"/>
  <c r="D56" i="41"/>
  <c r="D55"/>
  <c r="D54"/>
  <c r="D53"/>
  <c r="D52"/>
  <c r="D51"/>
  <c r="D50"/>
  <c r="D49"/>
  <c r="D48"/>
  <c r="D47"/>
  <c r="D46"/>
  <c r="E168" i="44"/>
  <c r="C56" i="41"/>
  <c r="F56" s="1"/>
  <c r="C55"/>
  <c r="H55"/>
  <c r="I55"/>
  <c r="C54"/>
  <c r="F54" s="1"/>
  <c r="C53"/>
  <c r="H53"/>
  <c r="I53"/>
  <c r="C52"/>
  <c r="F52"/>
  <c r="C51"/>
  <c r="E51" s="1"/>
  <c r="H51"/>
  <c r="I51" s="1"/>
  <c r="C50"/>
  <c r="F50" s="1"/>
  <c r="C49"/>
  <c r="C48"/>
  <c r="C47"/>
  <c r="C46"/>
  <c r="B134" i="44"/>
  <c r="B138"/>
  <c r="E45" i="41"/>
  <c r="D43"/>
  <c r="D44"/>
  <c r="D42"/>
  <c r="D41"/>
  <c r="D40"/>
  <c r="C44"/>
  <c r="C43"/>
  <c r="C42"/>
  <c r="C41"/>
  <c r="C40"/>
  <c r="E39"/>
  <c r="E38"/>
  <c r="G117" i="44"/>
  <c r="F117"/>
  <c r="F112"/>
  <c r="D35" i="41"/>
  <c r="D34"/>
  <c r="D33"/>
  <c r="D32"/>
  <c r="D31"/>
  <c r="D30"/>
  <c r="C35"/>
  <c r="E35" s="1"/>
  <c r="C34"/>
  <c r="F34" s="1"/>
  <c r="C33"/>
  <c r="E33" s="1"/>
  <c r="F33"/>
  <c r="C32"/>
  <c r="F32" s="1"/>
  <c r="C31"/>
  <c r="C30"/>
  <c r="K368" i="44"/>
  <c r="K365"/>
  <c r="G108" i="41"/>
  <c r="K108" s="1"/>
  <c r="K1128" i="44"/>
  <c r="K498" i="41"/>
  <c r="K391" i="44"/>
  <c r="K362"/>
  <c r="K359"/>
  <c r="G107" i="41"/>
  <c r="F73"/>
  <c r="I396" i="44"/>
  <c r="G115" i="41"/>
  <c r="G333" i="44"/>
  <c r="G334"/>
  <c r="G332"/>
  <c r="K392"/>
  <c r="E300"/>
  <c r="G84" i="41"/>
  <c r="J84" s="1"/>
  <c r="E75"/>
  <c r="E296" i="44"/>
  <c r="K296"/>
  <c r="G287"/>
  <c r="G146"/>
  <c r="K128"/>
  <c r="H70" i="41"/>
  <c r="I70" s="1"/>
  <c r="K70" s="1"/>
  <c r="K258" i="44"/>
  <c r="K255"/>
  <c r="G80" i="41"/>
  <c r="K248" i="44"/>
  <c r="K246"/>
  <c r="G252"/>
  <c r="K252"/>
  <c r="K250"/>
  <c r="H75" i="41"/>
  <c r="F287" i="44"/>
  <c r="F296"/>
  <c r="H66" i="41"/>
  <c r="H68"/>
  <c r="F68"/>
  <c r="E66"/>
  <c r="F72"/>
  <c r="H72"/>
  <c r="E70"/>
  <c r="H69"/>
  <c r="I69" s="1"/>
  <c r="G216" i="44"/>
  <c r="F216"/>
  <c r="K200"/>
  <c r="K198"/>
  <c r="K204"/>
  <c r="K202"/>
  <c r="K178"/>
  <c r="K176"/>
  <c r="G59" i="41"/>
  <c r="K187" i="44"/>
  <c r="K184"/>
  <c r="G61" i="41"/>
  <c r="F221" i="44"/>
  <c r="K221"/>
  <c r="K218"/>
  <c r="G70" i="41"/>
  <c r="F225" i="44"/>
  <c r="H54" i="41"/>
  <c r="I54" s="1"/>
  <c r="E55"/>
  <c r="F55"/>
  <c r="H50"/>
  <c r="I50" s="1"/>
  <c r="H52"/>
  <c r="I52"/>
  <c r="F51"/>
  <c r="E52"/>
  <c r="E53"/>
  <c r="E49"/>
  <c r="F53"/>
  <c r="E54"/>
  <c r="B141" i="44"/>
  <c r="B146"/>
  <c r="J108" i="41"/>
  <c r="K1125" i="44"/>
  <c r="K388"/>
  <c r="I389"/>
  <c r="J107" i="41"/>
  <c r="K107"/>
  <c r="G79"/>
  <c r="M246" i="44"/>
  <c r="F262"/>
  <c r="K262"/>
  <c r="K260"/>
  <c r="G81" i="41"/>
  <c r="G78"/>
  <c r="K287" i="44"/>
  <c r="K284"/>
  <c r="G88" i="41"/>
  <c r="K279" i="44"/>
  <c r="K277"/>
  <c r="F292"/>
  <c r="K292"/>
  <c r="K289"/>
  <c r="G89" i="41"/>
  <c r="K275" i="44"/>
  <c r="K273"/>
  <c r="E229"/>
  <c r="G65" i="41"/>
  <c r="K294" i="44"/>
  <c r="M202"/>
  <c r="G66" i="41"/>
  <c r="J66"/>
  <c r="I75"/>
  <c r="I68"/>
  <c r="I66"/>
  <c r="I72"/>
  <c r="I67"/>
  <c r="M176" i="44"/>
  <c r="F191"/>
  <c r="K191"/>
  <c r="G182"/>
  <c r="K216"/>
  <c r="K213"/>
  <c r="G69" i="41"/>
  <c r="J69" s="1"/>
  <c r="E225" i="44"/>
  <c r="K208"/>
  <c r="K206"/>
  <c r="G67" i="41"/>
  <c r="J67" s="1"/>
  <c r="I1126" i="44"/>
  <c r="G377" i="41"/>
  <c r="K225" i="44"/>
  <c r="K223"/>
  <c r="G114" i="41"/>
  <c r="E266" i="44"/>
  <c r="K266"/>
  <c r="K264"/>
  <c r="G82" i="41"/>
  <c r="I256" i="44"/>
  <c r="F300"/>
  <c r="K300"/>
  <c r="K298"/>
  <c r="G91" i="41"/>
  <c r="G86"/>
  <c r="J86" s="1"/>
  <c r="K302" i="44"/>
  <c r="G92" i="41"/>
  <c r="G90"/>
  <c r="J251" i="44"/>
  <c r="M273"/>
  <c r="G85" i="41"/>
  <c r="F307" i="44"/>
  <c r="K307"/>
  <c r="K305"/>
  <c r="I285"/>
  <c r="K282"/>
  <c r="K66" i="41"/>
  <c r="K189" i="44"/>
  <c r="I214"/>
  <c r="F229"/>
  <c r="K229"/>
  <c r="K227"/>
  <c r="G72" i="41"/>
  <c r="J72" s="1"/>
  <c r="K211" i="44"/>
  <c r="F236"/>
  <c r="K236"/>
  <c r="K234"/>
  <c r="E240"/>
  <c r="K240"/>
  <c r="K238"/>
  <c r="D16" i="41"/>
  <c r="D13"/>
  <c r="J377"/>
  <c r="K377"/>
  <c r="G71"/>
  <c r="K231" i="44"/>
  <c r="G73" i="41"/>
  <c r="E311" i="44"/>
  <c r="K311"/>
  <c r="K309"/>
  <c r="G94" i="41"/>
  <c r="G93"/>
  <c r="I290" i="44"/>
  <c r="G87" i="41"/>
  <c r="I219" i="44"/>
  <c r="G68" i="41"/>
  <c r="K68" s="1"/>
  <c r="G74"/>
  <c r="E195" i="44"/>
  <c r="K195"/>
  <c r="K193"/>
  <c r="G63" i="41"/>
  <c r="G62"/>
  <c r="D12"/>
  <c r="C13"/>
  <c r="H13" s="1"/>
  <c r="I13" s="1"/>
  <c r="K13" s="1"/>
  <c r="C12"/>
  <c r="C11"/>
  <c r="J94"/>
  <c r="K94"/>
  <c r="J68"/>
  <c r="H10" i="44"/>
  <c r="K88"/>
  <c r="C48" i="45"/>
  <c r="C47"/>
  <c r="B7" i="48"/>
  <c r="B6"/>
  <c r="B5"/>
  <c r="B4"/>
  <c r="B3"/>
  <c r="K26" i="44"/>
  <c r="K24"/>
  <c r="G16" i="41"/>
  <c r="E24" i="44"/>
  <c r="H34" i="41"/>
  <c r="E34"/>
  <c r="H33"/>
  <c r="F25"/>
  <c r="E25"/>
  <c r="H24"/>
  <c r="F24"/>
  <c r="E24"/>
  <c r="F23"/>
  <c r="E23"/>
  <c r="F22"/>
  <c r="E22"/>
  <c r="H21"/>
  <c r="F21"/>
  <c r="E21"/>
  <c r="E20"/>
  <c r="H19"/>
  <c r="F19"/>
  <c r="E19"/>
  <c r="E18"/>
  <c r="H17"/>
  <c r="F17"/>
  <c r="E17"/>
  <c r="H16"/>
  <c r="J16"/>
  <c r="F16"/>
  <c r="E16"/>
  <c r="F13"/>
  <c r="E13"/>
  <c r="H12"/>
  <c r="F12"/>
  <c r="E12"/>
  <c r="H831"/>
  <c r="J831" s="1"/>
  <c r="J832" s="1"/>
  <c r="F831"/>
  <c r="E831"/>
  <c r="H469"/>
  <c r="J469"/>
  <c r="F469"/>
  <c r="E469"/>
  <c r="H468"/>
  <c r="J468"/>
  <c r="F468"/>
  <c r="E468"/>
  <c r="H467"/>
  <c r="J467"/>
  <c r="F467"/>
  <c r="E467"/>
  <c r="F464"/>
  <c r="E464"/>
  <c r="H463"/>
  <c r="J463" s="1"/>
  <c r="F463"/>
  <c r="E463"/>
  <c r="H221"/>
  <c r="J221" s="1"/>
  <c r="F221"/>
  <c r="E221"/>
  <c r="F220"/>
  <c r="E220"/>
  <c r="H219"/>
  <c r="J219"/>
  <c r="F219"/>
  <c r="E219"/>
  <c r="H209"/>
  <c r="J209"/>
  <c r="F209"/>
  <c r="E209"/>
  <c r="H208"/>
  <c r="J208" s="1"/>
  <c r="F208"/>
  <c r="E208"/>
  <c r="H207"/>
  <c r="J207" s="1"/>
  <c r="F207"/>
  <c r="E207"/>
  <c r="H206"/>
  <c r="J206" s="1"/>
  <c r="F206"/>
  <c r="E206"/>
  <c r="H189"/>
  <c r="J189" s="1"/>
  <c r="F189"/>
  <c r="E189"/>
  <c r="D189"/>
  <c r="H121"/>
  <c r="I121" s="1"/>
  <c r="K121" s="1"/>
  <c r="F121"/>
  <c r="E121"/>
  <c r="H119"/>
  <c r="J119" s="1"/>
  <c r="F119"/>
  <c r="E119"/>
  <c r="E118"/>
  <c r="C21" i="33" s="1"/>
  <c r="H116" i="41"/>
  <c r="J116" s="1"/>
  <c r="F116"/>
  <c r="E116"/>
  <c r="H115"/>
  <c r="J115" s="1"/>
  <c r="F115"/>
  <c r="E115"/>
  <c r="H114"/>
  <c r="J114" s="1"/>
  <c r="F114"/>
  <c r="E114"/>
  <c r="H113"/>
  <c r="F113"/>
  <c r="E113"/>
  <c r="H112"/>
  <c r="J112" s="1"/>
  <c r="F112"/>
  <c r="E112"/>
  <c r="H103"/>
  <c r="F103"/>
  <c r="E103"/>
  <c r="H102"/>
  <c r="F102"/>
  <c r="E102"/>
  <c r="H101"/>
  <c r="F101"/>
  <c r="E101"/>
  <c r="H100"/>
  <c r="F100"/>
  <c r="E100"/>
  <c r="H99"/>
  <c r="F99"/>
  <c r="E99"/>
  <c r="E98"/>
  <c r="E96"/>
  <c r="C15" i="48" s="1"/>
  <c r="E83" i="41"/>
  <c r="H93"/>
  <c r="I93" s="1"/>
  <c r="K93" s="1"/>
  <c r="F93"/>
  <c r="E93"/>
  <c r="H92"/>
  <c r="J92" s="1"/>
  <c r="F92"/>
  <c r="E92"/>
  <c r="H91"/>
  <c r="J91" s="1"/>
  <c r="F91"/>
  <c r="E91"/>
  <c r="H90"/>
  <c r="J90" s="1"/>
  <c r="F90"/>
  <c r="E90"/>
  <c r="H89"/>
  <c r="I89" s="1"/>
  <c r="K89" s="1"/>
  <c r="F89"/>
  <c r="E89"/>
  <c r="D89"/>
  <c r="H88"/>
  <c r="J88" s="1"/>
  <c r="F88"/>
  <c r="E88"/>
  <c r="H87"/>
  <c r="J87" s="1"/>
  <c r="F87"/>
  <c r="E87"/>
  <c r="H86"/>
  <c r="F86"/>
  <c r="E86"/>
  <c r="H85"/>
  <c r="J85" s="1"/>
  <c r="F85"/>
  <c r="E85"/>
  <c r="H84"/>
  <c r="F84"/>
  <c r="E84"/>
  <c r="H82"/>
  <c r="J82" s="1"/>
  <c r="F82"/>
  <c r="E82"/>
  <c r="H81"/>
  <c r="J81" s="1"/>
  <c r="F81"/>
  <c r="E81"/>
  <c r="H80"/>
  <c r="J80" s="1"/>
  <c r="F80"/>
  <c r="E80"/>
  <c r="D80"/>
  <c r="H79"/>
  <c r="J79" s="1"/>
  <c r="F79"/>
  <c r="E79"/>
  <c r="H78"/>
  <c r="J78" s="1"/>
  <c r="F78"/>
  <c r="E78"/>
  <c r="H65"/>
  <c r="J65" s="1"/>
  <c r="F65"/>
  <c r="E65"/>
  <c r="H63"/>
  <c r="J63" s="1"/>
  <c r="F63"/>
  <c r="E63"/>
  <c r="H62"/>
  <c r="J62" s="1"/>
  <c r="F62"/>
  <c r="E62"/>
  <c r="H61"/>
  <c r="J61" s="1"/>
  <c r="F61"/>
  <c r="E61"/>
  <c r="H60"/>
  <c r="F60"/>
  <c r="E60"/>
  <c r="H59"/>
  <c r="J59" s="1"/>
  <c r="F59"/>
  <c r="E59"/>
  <c r="H56"/>
  <c r="E56"/>
  <c r="H48"/>
  <c r="F48"/>
  <c r="E48"/>
  <c r="H47"/>
  <c r="F47"/>
  <c r="E47"/>
  <c r="H46"/>
  <c r="F46"/>
  <c r="E46"/>
  <c r="H44"/>
  <c r="I44" s="1"/>
  <c r="K44" s="1"/>
  <c r="F44"/>
  <c r="E44"/>
  <c r="H43"/>
  <c r="F43"/>
  <c r="E43"/>
  <c r="H42"/>
  <c r="F42"/>
  <c r="E42"/>
  <c r="H41"/>
  <c r="F41"/>
  <c r="E41"/>
  <c r="H40"/>
  <c r="I40" s="1"/>
  <c r="K40" s="1"/>
  <c r="F40"/>
  <c r="E40"/>
  <c r="E37"/>
  <c r="E32"/>
  <c r="H31"/>
  <c r="F31"/>
  <c r="E31"/>
  <c r="H30"/>
  <c r="I30" s="1"/>
  <c r="F30"/>
  <c r="E30"/>
  <c r="E27"/>
  <c r="C13" i="48"/>
  <c r="F11" i="41"/>
  <c r="H11"/>
  <c r="E11"/>
  <c r="C17" i="33"/>
  <c r="C14" i="48"/>
  <c r="C19" i="33"/>
  <c r="H25" i="41"/>
  <c r="H14" i="43"/>
  <c r="I14" s="1"/>
  <c r="I13" s="1"/>
  <c r="H18" i="41" s="1"/>
  <c r="F14" i="43"/>
  <c r="E14"/>
  <c r="H706" i="41"/>
  <c r="I706" s="1"/>
  <c r="K706" s="1"/>
  <c r="H199"/>
  <c r="I199"/>
  <c r="K199" s="1"/>
  <c r="H643"/>
  <c r="H445"/>
  <c r="H827"/>
  <c r="I827" s="1"/>
  <c r="K827" s="1"/>
  <c r="K829" s="1"/>
  <c r="H135"/>
  <c r="I135" s="1"/>
  <c r="K135" s="1"/>
  <c r="H127" i="43"/>
  <c r="I127" s="1"/>
  <c r="I126" s="1"/>
  <c r="H220" i="41" s="1"/>
  <c r="H659"/>
  <c r="J659" s="1"/>
  <c r="J199"/>
  <c r="I643"/>
  <c r="K643" s="1"/>
  <c r="J643"/>
  <c r="I445"/>
  <c r="K445" s="1"/>
  <c r="J445"/>
  <c r="I659"/>
  <c r="K659" s="1"/>
  <c r="J135"/>
  <c r="H167"/>
  <c r="I167" s="1"/>
  <c r="K167" s="1"/>
  <c r="H529"/>
  <c r="J529" s="1"/>
  <c r="H542"/>
  <c r="H571"/>
  <c r="H464"/>
  <c r="J464" s="1"/>
  <c r="H32"/>
  <c r="I32" s="1"/>
  <c r="K32" s="1"/>
  <c r="H176"/>
  <c r="E344" i="44"/>
  <c r="E337"/>
  <c r="H342"/>
  <c r="H341"/>
  <c r="H340"/>
  <c r="I146"/>
  <c r="F334"/>
  <c r="F333"/>
  <c r="F332"/>
  <c r="E329"/>
  <c r="E327"/>
  <c r="E320"/>
  <c r="H151"/>
  <c r="E164"/>
  <c r="E161"/>
  <c r="E157"/>
  <c r="E153"/>
  <c r="E148"/>
  <c r="E143"/>
  <c r="E141"/>
  <c r="E136"/>
  <c r="E132"/>
  <c r="E128"/>
  <c r="E123"/>
  <c r="E119"/>
  <c r="E114"/>
  <c r="E110"/>
  <c r="K108"/>
  <c r="E106"/>
  <c r="J167" i="41"/>
  <c r="I529"/>
  <c r="K529" s="1"/>
  <c r="I542"/>
  <c r="K542" s="1"/>
  <c r="J542"/>
  <c r="I571"/>
  <c r="K571"/>
  <c r="J571"/>
  <c r="I176"/>
  <c r="K176" s="1"/>
  <c r="J176"/>
  <c r="K342" i="44"/>
  <c r="K340"/>
  <c r="K341"/>
  <c r="F151"/>
  <c r="E94"/>
  <c r="E90"/>
  <c r="E86"/>
  <c r="E82"/>
  <c r="E80"/>
  <c r="E78"/>
  <c r="E74"/>
  <c r="E70"/>
  <c r="E58"/>
  <c r="E54"/>
  <c r="E49"/>
  <c r="E44"/>
  <c r="E40"/>
  <c r="E36"/>
  <c r="E32"/>
  <c r="E28"/>
  <c r="E16"/>
  <c r="E12"/>
  <c r="E8"/>
  <c r="K151"/>
  <c r="K86"/>
  <c r="M86"/>
  <c r="G33" i="41"/>
  <c r="J33" s="1"/>
  <c r="B3" i="44"/>
  <c r="B2"/>
  <c r="B7" i="43"/>
  <c r="B5"/>
  <c r="B4"/>
  <c r="B3"/>
  <c r="G31" i="41"/>
  <c r="J31" s="1"/>
  <c r="H14" i="44"/>
  <c r="K12"/>
  <c r="G12" i="41"/>
  <c r="J12" s="1"/>
  <c r="G348" i="44"/>
  <c r="F348"/>
  <c r="E348"/>
  <c r="G347"/>
  <c r="F347"/>
  <c r="E347"/>
  <c r="G346"/>
  <c r="K354"/>
  <c r="F346"/>
  <c r="E346"/>
  <c r="H334"/>
  <c r="K334"/>
  <c r="B334"/>
  <c r="B342"/>
  <c r="B348"/>
  <c r="H333"/>
  <c r="K333"/>
  <c r="B333"/>
  <c r="B341"/>
  <c r="B347"/>
  <c r="H332"/>
  <c r="K332"/>
  <c r="B332"/>
  <c r="B340"/>
  <c r="B346"/>
  <c r="H155"/>
  <c r="F155"/>
  <c r="E155"/>
  <c r="K155"/>
  <c r="B155"/>
  <c r="H146"/>
  <c r="F146"/>
  <c r="B151"/>
  <c r="K138"/>
  <c r="H117"/>
  <c r="H112"/>
  <c r="H96"/>
  <c r="K84"/>
  <c r="K65"/>
  <c r="E63"/>
  <c r="K60"/>
  <c r="K56"/>
  <c r="K52"/>
  <c r="K51"/>
  <c r="K49"/>
  <c r="G22" i="41"/>
  <c r="K22" s="1"/>
  <c r="K47" i="44"/>
  <c r="K46"/>
  <c r="K44"/>
  <c r="G21" i="41"/>
  <c r="K42" i="44"/>
  <c r="K38"/>
  <c r="K34"/>
  <c r="K30"/>
  <c r="H19"/>
  <c r="K19"/>
  <c r="H18"/>
  <c r="K18"/>
  <c r="K10"/>
  <c r="K8"/>
  <c r="G11" i="41"/>
  <c r="K11" s="1"/>
  <c r="H665"/>
  <c r="I665" s="1"/>
  <c r="K665" s="1"/>
  <c r="G15" i="43"/>
  <c r="I15"/>
  <c r="F13"/>
  <c r="B6"/>
  <c r="E2143" i="44"/>
  <c r="H536" i="41"/>
  <c r="F20"/>
  <c r="F18"/>
  <c r="H20"/>
  <c r="I20" s="1"/>
  <c r="K20" s="1"/>
  <c r="H23"/>
  <c r="I23" s="1"/>
  <c r="K23" s="1"/>
  <c r="H22"/>
  <c r="J22"/>
  <c r="K352" i="44"/>
  <c r="K357"/>
  <c r="G106" i="41"/>
  <c r="I366" i="44"/>
  <c r="G28" i="41"/>
  <c r="K28" s="1"/>
  <c r="K58" i="44"/>
  <c r="G24" i="41"/>
  <c r="K63" i="44"/>
  <c r="G25" i="41"/>
  <c r="K25" s="1"/>
  <c r="K146" i="44"/>
  <c r="K136"/>
  <c r="G48" i="41"/>
  <c r="J48" s="1"/>
  <c r="G29"/>
  <c r="K36" i="44"/>
  <c r="G19" i="41"/>
  <c r="G30"/>
  <c r="J30" s="1"/>
  <c r="K348" i="44"/>
  <c r="K28"/>
  <c r="G17" i="41"/>
  <c r="J17" s="1"/>
  <c r="K54" i="44"/>
  <c r="G23" i="41"/>
  <c r="J23" s="1"/>
  <c r="K32" i="44"/>
  <c r="G18" i="41"/>
  <c r="K346" i="44"/>
  <c r="K347"/>
  <c r="K40"/>
  <c r="G20" i="41"/>
  <c r="J20" s="1"/>
  <c r="K16" i="44"/>
  <c r="G13" i="41"/>
  <c r="K82" i="44"/>
  <c r="K322"/>
  <c r="K134"/>
  <c r="J536" i="41"/>
  <c r="I536"/>
  <c r="K536" s="1"/>
  <c r="J29"/>
  <c r="K29"/>
  <c r="J25"/>
  <c r="J19"/>
  <c r="J24"/>
  <c r="J21"/>
  <c r="J106"/>
  <c r="K106"/>
  <c r="I360" i="44"/>
  <c r="G105" i="41"/>
  <c r="K105" s="1"/>
  <c r="K344" i="44"/>
  <c r="G103" i="41"/>
  <c r="J103"/>
  <c r="M82" i="44"/>
  <c r="E92"/>
  <c r="G32" i="41"/>
  <c r="J32" s="1"/>
  <c r="K141" i="44"/>
  <c r="G49" i="41"/>
  <c r="K320" i="44"/>
  <c r="G99" i="41"/>
  <c r="J99" s="1"/>
  <c r="F166" i="44"/>
  <c r="K166"/>
  <c r="K148"/>
  <c r="G51" i="41"/>
  <c r="K329" i="44"/>
  <c r="G101" i="41"/>
  <c r="J101" s="1"/>
  <c r="K132" i="44"/>
  <c r="K143"/>
  <c r="G50" i="41"/>
  <c r="J50" s="1"/>
  <c r="K153" i="44"/>
  <c r="G52" i="41"/>
  <c r="F159" i="44"/>
  <c r="K337"/>
  <c r="G102" i="41"/>
  <c r="J102" s="1"/>
  <c r="K106" i="44"/>
  <c r="K182"/>
  <c r="K180"/>
  <c r="G60" i="41"/>
  <c r="J60" s="1"/>
  <c r="B4" i="33"/>
  <c r="B5"/>
  <c r="B6"/>
  <c r="B7"/>
  <c r="B3"/>
  <c r="K92" i="44"/>
  <c r="K90"/>
  <c r="G34" i="41"/>
  <c r="J34" s="1"/>
  <c r="E159" i="44"/>
  <c r="K159"/>
  <c r="G46" i="41"/>
  <c r="J46" s="1"/>
  <c r="J52"/>
  <c r="K52"/>
  <c r="M132" i="44"/>
  <c r="G47" i="41"/>
  <c r="J47"/>
  <c r="K51"/>
  <c r="J51"/>
  <c r="M106" i="44"/>
  <c r="F121"/>
  <c r="K121"/>
  <c r="K119"/>
  <c r="G40" i="41"/>
  <c r="J40"/>
  <c r="I144" i="44"/>
  <c r="I330"/>
  <c r="K327"/>
  <c r="I338"/>
  <c r="K161"/>
  <c r="G54" i="41"/>
  <c r="K54" s="1"/>
  <c r="I149" i="44"/>
  <c r="K164"/>
  <c r="G55" i="41"/>
  <c r="K55" s="1"/>
  <c r="G112" i="44"/>
  <c r="K112"/>
  <c r="G75" i="41"/>
  <c r="J75" s="1"/>
  <c r="G100"/>
  <c r="J100" s="1"/>
  <c r="J54"/>
  <c r="J55"/>
  <c r="E96" i="44"/>
  <c r="K96"/>
  <c r="K94"/>
  <c r="G35" i="41"/>
  <c r="K157" i="44"/>
  <c r="G53" i="41"/>
  <c r="E170" i="44"/>
  <c r="K170"/>
  <c r="K168"/>
  <c r="K117"/>
  <c r="K110"/>
  <c r="G41" i="41"/>
  <c r="J41" s="1"/>
  <c r="G43"/>
  <c r="J43" s="1"/>
  <c r="K75"/>
  <c r="K53"/>
  <c r="J53"/>
  <c r="G56"/>
  <c r="J56"/>
  <c r="K114" i="44"/>
  <c r="G42" i="41"/>
  <c r="J42" s="1"/>
  <c r="E125" i="44"/>
  <c r="K125"/>
  <c r="K123"/>
  <c r="G44" i="41"/>
  <c r="J44"/>
  <c r="C33" i="33"/>
  <c r="C31"/>
  <c r="C29"/>
  <c r="C27"/>
  <c r="C25"/>
  <c r="C37"/>
  <c r="C35"/>
  <c r="C15"/>
  <c r="E15" i="41"/>
  <c r="C12" i="48" s="1"/>
  <c r="D9" i="45"/>
  <c r="C13" i="33"/>
  <c r="D11" i="41"/>
  <c r="E10"/>
  <c r="C11" i="48"/>
  <c r="C11" i="33"/>
  <c r="D17" i="45"/>
  <c r="I206" i="41"/>
  <c r="K206"/>
  <c r="I467"/>
  <c r="K467" s="1"/>
  <c r="I114"/>
  <c r="K114"/>
  <c r="I34"/>
  <c r="K34"/>
  <c r="I22"/>
  <c r="I12"/>
  <c r="K12" s="1"/>
  <c r="I468"/>
  <c r="K468"/>
  <c r="I115"/>
  <c r="K115" s="1"/>
  <c r="I221"/>
  <c r="K221"/>
  <c r="I33"/>
  <c r="K33" s="1"/>
  <c r="I21"/>
  <c r="K21"/>
  <c r="I17"/>
  <c r="I119"/>
  <c r="K119" s="1"/>
  <c r="I463"/>
  <c r="K463"/>
  <c r="I469"/>
  <c r="K469" s="1"/>
  <c r="I112"/>
  <c r="K112"/>
  <c r="I116"/>
  <c r="K116" s="1"/>
  <c r="I189"/>
  <c r="K189"/>
  <c r="I24"/>
  <c r="K24" s="1"/>
  <c r="I16"/>
  <c r="K16" s="1"/>
  <c r="I207"/>
  <c r="K207"/>
  <c r="I208"/>
  <c r="K208" s="1"/>
  <c r="I209"/>
  <c r="K209"/>
  <c r="I113"/>
  <c r="K113"/>
  <c r="I219"/>
  <c r="K219" s="1"/>
  <c r="I831"/>
  <c r="K831"/>
  <c r="K832" s="1"/>
  <c r="I25"/>
  <c r="I19"/>
  <c r="K19" s="1"/>
  <c r="I61"/>
  <c r="K61" s="1"/>
  <c r="I42"/>
  <c r="K42"/>
  <c r="I84"/>
  <c r="K84" s="1"/>
  <c r="I88"/>
  <c r="K88"/>
  <c r="I92"/>
  <c r="K92" s="1"/>
  <c r="I56"/>
  <c r="K56"/>
  <c r="I99"/>
  <c r="I103"/>
  <c r="K103"/>
  <c r="I63"/>
  <c r="K63" s="1"/>
  <c r="I78"/>
  <c r="K78"/>
  <c r="I11"/>
  <c r="I81"/>
  <c r="K81"/>
  <c r="I85"/>
  <c r="K85" s="1"/>
  <c r="I46"/>
  <c r="K46" s="1"/>
  <c r="I100"/>
  <c r="K100"/>
  <c r="I59"/>
  <c r="K59" s="1"/>
  <c r="I62"/>
  <c r="K62"/>
  <c r="I65"/>
  <c r="K65" s="1"/>
  <c r="I79"/>
  <c r="K79"/>
  <c r="I43"/>
  <c r="K43"/>
  <c r="I82"/>
  <c r="K82" s="1"/>
  <c r="I86"/>
  <c r="K86"/>
  <c r="I90"/>
  <c r="K90" s="1"/>
  <c r="I47"/>
  <c r="K47"/>
  <c r="I101"/>
  <c r="I31"/>
  <c r="K31" s="1"/>
  <c r="I60"/>
  <c r="K60"/>
  <c r="I80"/>
  <c r="K80" s="1"/>
  <c r="I41"/>
  <c r="K41"/>
  <c r="I87"/>
  <c r="K87"/>
  <c r="I91"/>
  <c r="K91" s="1"/>
  <c r="I48"/>
  <c r="K48"/>
  <c r="I102"/>
  <c r="B39" i="33"/>
  <c r="B41"/>
  <c r="B43"/>
  <c r="F1254" i="44"/>
  <c r="K1252"/>
  <c r="F1245"/>
  <c r="K1245"/>
  <c r="K1242"/>
  <c r="G412" i="41"/>
  <c r="J412" s="1"/>
  <c r="F1230" i="44"/>
  <c r="K1234"/>
  <c r="K1232"/>
  <c r="K1238"/>
  <c r="K1236"/>
  <c r="G410" i="41"/>
  <c r="M1232" i="44"/>
  <c r="G409" i="41"/>
  <c r="K409" s="1"/>
  <c r="J410"/>
  <c r="K410"/>
  <c r="K1260" i="44"/>
  <c r="G416" i="41"/>
  <c r="J416" s="1"/>
  <c r="G414"/>
  <c r="J414" s="1"/>
  <c r="K1230" i="44"/>
  <c r="K1228"/>
  <c r="K1240"/>
  <c r="F1264"/>
  <c r="K1264"/>
  <c r="K1262"/>
  <c r="F1258"/>
  <c r="I1243"/>
  <c r="E1258"/>
  <c r="K1258"/>
  <c r="K1256"/>
  <c r="G415" i="41"/>
  <c r="G408"/>
  <c r="K408" s="1"/>
  <c r="I1248" i="44"/>
  <c r="G411" i="41"/>
  <c r="K411" s="1"/>
  <c r="K414"/>
  <c r="J409"/>
  <c r="E1268" i="44"/>
  <c r="K1268"/>
  <c r="K1266"/>
  <c r="G418" i="41"/>
  <c r="J418" s="1"/>
  <c r="G417"/>
  <c r="K417" s="1"/>
  <c r="K415"/>
  <c r="J415"/>
  <c r="J411"/>
  <c r="K418"/>
  <c r="D61" i="33" l="1"/>
  <c r="D33" i="48"/>
  <c r="K211" i="41"/>
  <c r="I18"/>
  <c r="K18" s="1"/>
  <c r="J18"/>
  <c r="D63" i="33"/>
  <c r="D34" i="48"/>
  <c r="J26" i="41"/>
  <c r="K14"/>
  <c r="J211"/>
  <c r="J220"/>
  <c r="J222" s="1"/>
  <c r="I220"/>
  <c r="K220" s="1"/>
  <c r="K222" s="1"/>
  <c r="K127"/>
  <c r="I184"/>
  <c r="K184" s="1"/>
  <c r="J184"/>
  <c r="J13"/>
  <c r="J488"/>
  <c r="K488"/>
  <c r="I509"/>
  <c r="J509"/>
  <c r="E536"/>
  <c r="F536"/>
  <c r="I573"/>
  <c r="K573" s="1"/>
  <c r="J573"/>
  <c r="J11"/>
  <c r="J14" s="1"/>
  <c r="J706"/>
  <c r="J89"/>
  <c r="J93"/>
  <c r="C16" i="48"/>
  <c r="J121" i="41"/>
  <c r="H35"/>
  <c r="I35" s="1"/>
  <c r="K35" s="1"/>
  <c r="K72"/>
  <c r="K67"/>
  <c r="H71"/>
  <c r="F35"/>
  <c r="E67"/>
  <c r="E69"/>
  <c r="F71"/>
  <c r="H73"/>
  <c r="E74"/>
  <c r="J141"/>
  <c r="I147"/>
  <c r="K147" s="1"/>
  <c r="I146"/>
  <c r="K146" s="1"/>
  <c r="I182"/>
  <c r="K182" s="1"/>
  <c r="E180"/>
  <c r="F180"/>
  <c r="E182"/>
  <c r="F184"/>
  <c r="E186"/>
  <c r="J201"/>
  <c r="J213"/>
  <c r="K493"/>
  <c r="K572"/>
  <c r="J503"/>
  <c r="K503"/>
  <c r="I499"/>
  <c r="K499" s="1"/>
  <c r="J499"/>
  <c r="J203"/>
  <c r="I203"/>
  <c r="K203" s="1"/>
  <c r="J417"/>
  <c r="J408"/>
  <c r="K416"/>
  <c r="K412"/>
  <c r="K102"/>
  <c r="K101"/>
  <c r="K30"/>
  <c r="K36" s="1"/>
  <c r="K99"/>
  <c r="K17"/>
  <c r="K26" s="1"/>
  <c r="K50"/>
  <c r="J105"/>
  <c r="J117" s="1"/>
  <c r="J28"/>
  <c r="J827"/>
  <c r="J829" s="1"/>
  <c r="J74"/>
  <c r="K69"/>
  <c r="E50"/>
  <c r="F67"/>
  <c r="J139"/>
  <c r="J125"/>
  <c r="K179"/>
  <c r="H186"/>
  <c r="F176"/>
  <c r="K509"/>
  <c r="H49"/>
  <c r="F49"/>
  <c r="J150"/>
  <c r="I150"/>
  <c r="K150" s="1"/>
  <c r="C195"/>
  <c r="E568" i="44"/>
  <c r="K109" i="41"/>
  <c r="J109"/>
  <c r="I490"/>
  <c r="K490" s="1"/>
  <c r="J490"/>
  <c r="I483"/>
  <c r="K483" s="1"/>
  <c r="J483"/>
  <c r="E542"/>
  <c r="F542"/>
  <c r="I238"/>
  <c r="K238" s="1"/>
  <c r="J238"/>
  <c r="I464"/>
  <c r="K464" s="1"/>
  <c r="J665"/>
  <c r="J70"/>
  <c r="F74"/>
  <c r="J124"/>
  <c r="J127" s="1"/>
  <c r="K154"/>
  <c r="I163"/>
  <c r="K163" s="1"/>
  <c r="J180"/>
  <c r="J497"/>
  <c r="K550"/>
  <c r="F178"/>
  <c r="H178"/>
  <c r="E196"/>
  <c r="H196"/>
  <c r="I196" s="1"/>
  <c r="K196" s="1"/>
  <c r="I240"/>
  <c r="K240" s="1"/>
  <c r="J240"/>
  <c r="K183"/>
  <c r="J225"/>
  <c r="J228" s="1"/>
  <c r="F574"/>
  <c r="E574"/>
  <c r="H232"/>
  <c r="I232" s="1"/>
  <c r="K232" s="1"/>
  <c r="F232"/>
  <c r="E276"/>
  <c r="F276"/>
  <c r="F289"/>
  <c r="E289"/>
  <c r="H331"/>
  <c r="I331" s="1"/>
  <c r="K331" s="1"/>
  <c r="F331"/>
  <c r="H344"/>
  <c r="E344"/>
  <c r="J367"/>
  <c r="K367"/>
  <c r="K600"/>
  <c r="J600"/>
  <c r="K368"/>
  <c r="J368"/>
  <c r="J423"/>
  <c r="K423"/>
  <c r="E310"/>
  <c r="H310"/>
  <c r="J637"/>
  <c r="I637"/>
  <c r="K637" s="1"/>
  <c r="I657"/>
  <c r="K657" s="1"/>
  <c r="J657"/>
  <c r="J489"/>
  <c r="E481"/>
  <c r="H474"/>
  <c r="F510"/>
  <c r="K524"/>
  <c r="J232"/>
  <c r="J537"/>
  <c r="J534"/>
  <c r="K546"/>
  <c r="H256"/>
  <c r="I256" s="1"/>
  <c r="K256" s="1"/>
  <c r="E256"/>
  <c r="H253"/>
  <c r="I253" s="1"/>
  <c r="K253" s="1"/>
  <c r="E269"/>
  <c r="H335"/>
  <c r="I335" s="1"/>
  <c r="K335" s="1"/>
  <c r="E321"/>
  <c r="E302"/>
  <c r="J349"/>
  <c r="J136"/>
  <c r="J398"/>
  <c r="J612"/>
  <c r="J200"/>
  <c r="K282"/>
  <c r="J282"/>
  <c r="F245"/>
  <c r="H245"/>
  <c r="I245" s="1"/>
  <c r="K245" s="1"/>
  <c r="F275"/>
  <c r="E275"/>
  <c r="F288"/>
  <c r="H288"/>
  <c r="I288" s="1"/>
  <c r="K385"/>
  <c r="J385"/>
  <c r="F267"/>
  <c r="E267"/>
  <c r="H267"/>
  <c r="I450"/>
  <c r="K450" s="1"/>
  <c r="J450"/>
  <c r="I420"/>
  <c r="K420" s="1"/>
  <c r="J420"/>
  <c r="J597"/>
  <c r="I597"/>
  <c r="K597" s="1"/>
  <c r="I170"/>
  <c r="K170" s="1"/>
  <c r="J170"/>
  <c r="I674"/>
  <c r="K674" s="1"/>
  <c r="J674"/>
  <c r="I742"/>
  <c r="K742" s="1"/>
  <c r="J742"/>
  <c r="K278"/>
  <c r="J256"/>
  <c r="J331"/>
  <c r="K340"/>
  <c r="K401"/>
  <c r="K169"/>
  <c r="E282"/>
  <c r="F282"/>
  <c r="E294"/>
  <c r="F294"/>
  <c r="H328"/>
  <c r="I328" s="1"/>
  <c r="K328" s="1"/>
  <c r="F328"/>
  <c r="C155"/>
  <c r="E492" i="44"/>
  <c r="J624" i="41"/>
  <c r="K624"/>
  <c r="J158"/>
  <c r="I158"/>
  <c r="K158" s="1"/>
  <c r="J308"/>
  <c r="I308"/>
  <c r="K308" s="1"/>
  <c r="K388"/>
  <c r="J388"/>
  <c r="I454"/>
  <c r="K454" s="1"/>
  <c r="J454"/>
  <c r="I433"/>
  <c r="K433" s="1"/>
  <c r="J433"/>
  <c r="J202"/>
  <c r="J473"/>
  <c r="J492"/>
  <c r="H477"/>
  <c r="F484"/>
  <c r="F474"/>
  <c r="E477"/>
  <c r="E479"/>
  <c r="F481"/>
  <c r="I510"/>
  <c r="K510" s="1"/>
  <c r="J548"/>
  <c r="I519"/>
  <c r="K519" s="1"/>
  <c r="J550"/>
  <c r="J572"/>
  <c r="J578"/>
  <c r="J245"/>
  <c r="F521"/>
  <c r="F523"/>
  <c r="E525"/>
  <c r="J545"/>
  <c r="E581"/>
  <c r="E1587" i="44"/>
  <c r="E519" i="41"/>
  <c r="H527"/>
  <c r="I527" s="1"/>
  <c r="K527" s="1"/>
  <c r="E1599" i="44"/>
  <c r="J276" i="41"/>
  <c r="J306"/>
  <c r="H269"/>
  <c r="J263"/>
  <c r="F247"/>
  <c r="F238"/>
  <c r="H250"/>
  <c r="I250" s="1"/>
  <c r="K250" s="1"/>
  <c r="H243"/>
  <c r="J286"/>
  <c r="K288"/>
  <c r="K301"/>
  <c r="J261"/>
  <c r="F242"/>
  <c r="H247"/>
  <c r="E250"/>
  <c r="F253"/>
  <c r="J328"/>
  <c r="K320"/>
  <c r="J340"/>
  <c r="E342"/>
  <c r="E335"/>
  <c r="K294"/>
  <c r="E326"/>
  <c r="K304"/>
  <c r="E284"/>
  <c r="E288"/>
  <c r="E298"/>
  <c r="E29"/>
  <c r="C144"/>
  <c r="K384"/>
  <c r="K392"/>
  <c r="J370"/>
  <c r="K366"/>
  <c r="K262"/>
  <c r="I197" i="43"/>
  <c r="H679" i="41" s="1"/>
  <c r="F241"/>
  <c r="H241"/>
  <c r="I241" s="1"/>
  <c r="K241" s="1"/>
  <c r="E241"/>
  <c r="H252"/>
  <c r="I252" s="1"/>
  <c r="K252" s="1"/>
  <c r="E252"/>
  <c r="H287"/>
  <c r="E287"/>
  <c r="F297"/>
  <c r="E297"/>
  <c r="H297"/>
  <c r="F334"/>
  <c r="H334"/>
  <c r="I334" s="1"/>
  <c r="K334" s="1"/>
  <c r="J371"/>
  <c r="K371"/>
  <c r="K615"/>
  <c r="J615"/>
  <c r="K610"/>
  <c r="J610"/>
  <c r="J688"/>
  <c r="K688"/>
  <c r="K429"/>
  <c r="J429"/>
  <c r="I568"/>
  <c r="K568" s="1"/>
  <c r="J568"/>
  <c r="H576"/>
  <c r="H584"/>
  <c r="E584"/>
  <c r="F231"/>
  <c r="I258"/>
  <c r="K258" s="1"/>
  <c r="J278"/>
  <c r="F234"/>
  <c r="K338"/>
  <c r="J254"/>
  <c r="H284"/>
  <c r="I284" s="1"/>
  <c r="K284" s="1"/>
  <c r="E277"/>
  <c r="J283"/>
  <c r="E290"/>
  <c r="J131"/>
  <c r="K364"/>
  <c r="J616"/>
  <c r="J598"/>
  <c r="K599"/>
  <c r="E723"/>
  <c r="H723"/>
  <c r="H731"/>
  <c r="I731" s="1"/>
  <c r="K731" s="1"/>
  <c r="E731"/>
  <c r="E734"/>
  <c r="H734"/>
  <c r="J770"/>
  <c r="I770"/>
  <c r="K770" s="1"/>
  <c r="I766"/>
  <c r="K766" s="1"/>
  <c r="J766"/>
  <c r="I794"/>
  <c r="K794" s="1"/>
  <c r="J794"/>
  <c r="H772"/>
  <c r="F772"/>
  <c r="E772"/>
  <c r="E776"/>
  <c r="F776"/>
  <c r="F780"/>
  <c r="E780"/>
  <c r="H780"/>
  <c r="H796"/>
  <c r="E796"/>
  <c r="F796"/>
  <c r="E800"/>
  <c r="H800"/>
  <c r="E655"/>
  <c r="J731"/>
  <c r="H761"/>
  <c r="J757"/>
  <c r="I228" i="43"/>
  <c r="I311"/>
  <c r="H738" i="41" s="1"/>
  <c r="I374" i="43"/>
  <c r="H691" i="41"/>
  <c r="F691"/>
  <c r="F722"/>
  <c r="E722"/>
  <c r="J732"/>
  <c r="K732"/>
  <c r="H775"/>
  <c r="E775"/>
  <c r="F775"/>
  <c r="H783"/>
  <c r="E783"/>
  <c r="E799"/>
  <c r="H799"/>
  <c r="I799" s="1"/>
  <c r="K799" s="1"/>
  <c r="F799"/>
  <c r="E803"/>
  <c r="H803"/>
  <c r="F803"/>
  <c r="F807"/>
  <c r="H807"/>
  <c r="H817"/>
  <c r="I817" s="1"/>
  <c r="K817" s="1"/>
  <c r="E817"/>
  <c r="H821"/>
  <c r="E821"/>
  <c r="F821"/>
  <c r="F813"/>
  <c r="H813"/>
  <c r="K779"/>
  <c r="J779"/>
  <c r="F749"/>
  <c r="E749"/>
  <c r="J169"/>
  <c r="K446"/>
  <c r="J531"/>
  <c r="J631"/>
  <c r="J663"/>
  <c r="J648"/>
  <c r="K651"/>
  <c r="K681"/>
  <c r="K703"/>
  <c r="K697"/>
  <c r="E157"/>
  <c r="E156"/>
  <c r="F158"/>
  <c r="E134"/>
  <c r="E170"/>
  <c r="F172"/>
  <c r="H171"/>
  <c r="E909" i="44"/>
  <c r="E351" i="41"/>
  <c r="H359"/>
  <c r="H369"/>
  <c r="I369" s="1"/>
  <c r="K369" s="1"/>
  <c r="F369"/>
  <c r="E365"/>
  <c r="E375"/>
  <c r="E388"/>
  <c r="E371"/>
  <c r="F388"/>
  <c r="F398"/>
  <c r="E420"/>
  <c r="E415"/>
  <c r="J434"/>
  <c r="H413"/>
  <c r="H451"/>
  <c r="E417"/>
  <c r="F682"/>
  <c r="H690"/>
  <c r="I690" s="1"/>
  <c r="K690" s="1"/>
  <c r="F723"/>
  <c r="E711"/>
  <c r="J736"/>
  <c r="J810"/>
  <c r="J805"/>
  <c r="J784"/>
  <c r="F782"/>
  <c r="H802"/>
  <c r="J771"/>
  <c r="K784"/>
  <c r="J791"/>
  <c r="J799"/>
  <c r="J815"/>
  <c r="E755"/>
  <c r="H744"/>
  <c r="K758"/>
  <c r="F710"/>
  <c r="E710"/>
  <c r="H721"/>
  <c r="F721"/>
  <c r="I733"/>
  <c r="K733" s="1"/>
  <c r="J733"/>
  <c r="J735"/>
  <c r="I735"/>
  <c r="K735" s="1"/>
  <c r="F732"/>
  <c r="E732"/>
  <c r="E742"/>
  <c r="F742"/>
  <c r="I808"/>
  <c r="K808" s="1"/>
  <c r="J808"/>
  <c r="H774"/>
  <c r="E774"/>
  <c r="E778"/>
  <c r="F778"/>
  <c r="H778"/>
  <c r="F806"/>
  <c r="H806"/>
  <c r="J820"/>
  <c r="I820"/>
  <c r="K820" s="1"/>
  <c r="F824"/>
  <c r="F748"/>
  <c r="H748"/>
  <c r="E748"/>
  <c r="F757"/>
  <c r="E757"/>
  <c r="K760"/>
  <c r="J760"/>
  <c r="K702"/>
  <c r="J755"/>
  <c r="I216" i="43"/>
  <c r="H695" i="41"/>
  <c r="F695"/>
  <c r="F712"/>
  <c r="H712"/>
  <c r="F741"/>
  <c r="E730"/>
  <c r="H730"/>
  <c r="I730" s="1"/>
  <c r="K730" s="1"/>
  <c r="H740"/>
  <c r="E740"/>
  <c r="I782"/>
  <c r="K782" s="1"/>
  <c r="J782"/>
  <c r="I818"/>
  <c r="K818" s="1"/>
  <c r="J818"/>
  <c r="I804"/>
  <c r="K804" s="1"/>
  <c r="J804"/>
  <c r="F781"/>
  <c r="H781"/>
  <c r="E781"/>
  <c r="H797"/>
  <c r="E797"/>
  <c r="F797"/>
  <c r="F801"/>
  <c r="E801"/>
  <c r="F819"/>
  <c r="H819"/>
  <c r="I819" s="1"/>
  <c r="K819" s="1"/>
  <c r="F823"/>
  <c r="E823"/>
  <c r="H823"/>
  <c r="K789"/>
  <c r="J789"/>
  <c r="K798"/>
  <c r="J798"/>
  <c r="K809"/>
  <c r="J809"/>
  <c r="E120"/>
  <c r="F120"/>
  <c r="H747"/>
  <c r="F747"/>
  <c r="H751"/>
  <c r="E751"/>
  <c r="J629"/>
  <c r="J621"/>
  <c r="E367"/>
  <c r="H458"/>
  <c r="E1924" i="44"/>
  <c r="F731" i="41"/>
  <c r="I739"/>
  <c r="K739" s="1"/>
  <c r="J729"/>
  <c r="J822"/>
  <c r="J765"/>
  <c r="K769"/>
  <c r="J773"/>
  <c r="K786"/>
  <c r="J801"/>
  <c r="J817"/>
  <c r="F744"/>
  <c r="K759"/>
  <c r="I185" i="43"/>
  <c r="I223"/>
  <c r="I271"/>
  <c r="H173" i="41" s="1"/>
  <c r="I318" i="43"/>
  <c r="H741" i="41" s="1"/>
  <c r="I391" i="43"/>
  <c r="H824" i="41" s="1"/>
  <c r="I741" l="1"/>
  <c r="K741" s="1"/>
  <c r="J741"/>
  <c r="J824"/>
  <c r="I824"/>
  <c r="K824" s="1"/>
  <c r="D13" i="48"/>
  <c r="D15" i="33"/>
  <c r="D12" i="48"/>
  <c r="D13" i="33"/>
  <c r="D23" i="48"/>
  <c r="D35" i="33"/>
  <c r="I173" i="41"/>
  <c r="K173" s="1"/>
  <c r="J173"/>
  <c r="I458"/>
  <c r="K458" s="1"/>
  <c r="J458"/>
  <c r="J823"/>
  <c r="I823"/>
  <c r="K823" s="1"/>
  <c r="J740"/>
  <c r="I740"/>
  <c r="K740" s="1"/>
  <c r="J695"/>
  <c r="I695"/>
  <c r="K695" s="1"/>
  <c r="J691"/>
  <c r="I691"/>
  <c r="K691" s="1"/>
  <c r="I297"/>
  <c r="K297" s="1"/>
  <c r="J297"/>
  <c r="I287"/>
  <c r="K287" s="1"/>
  <c r="J287"/>
  <c r="I243"/>
  <c r="K243" s="1"/>
  <c r="J243"/>
  <c r="I477"/>
  <c r="K477" s="1"/>
  <c r="J477"/>
  <c r="J474"/>
  <c r="I474"/>
  <c r="K474" s="1"/>
  <c r="I344"/>
  <c r="K344" s="1"/>
  <c r="J344"/>
  <c r="D11" i="48"/>
  <c r="D11" i="33"/>
  <c r="K61"/>
  <c r="J250" i="41"/>
  <c r="J334"/>
  <c r="J335"/>
  <c r="J288"/>
  <c r="J527"/>
  <c r="I751"/>
  <c r="K751" s="1"/>
  <c r="J751"/>
  <c r="I747"/>
  <c r="K747" s="1"/>
  <c r="J747"/>
  <c r="I781"/>
  <c r="K781" s="1"/>
  <c r="J781"/>
  <c r="J806"/>
  <c r="I806"/>
  <c r="K806" s="1"/>
  <c r="I413"/>
  <c r="K413" s="1"/>
  <c r="J413"/>
  <c r="J359"/>
  <c r="I359"/>
  <c r="K359" s="1"/>
  <c r="I813"/>
  <c r="K813" s="1"/>
  <c r="J813"/>
  <c r="I821"/>
  <c r="K821" s="1"/>
  <c r="J821"/>
  <c r="I783"/>
  <c r="K783" s="1"/>
  <c r="J783"/>
  <c r="H151"/>
  <c r="H635"/>
  <c r="H437"/>
  <c r="H516"/>
  <c r="H513"/>
  <c r="H265"/>
  <c r="H559"/>
  <c r="H309"/>
  <c r="H393"/>
  <c r="H632"/>
  <c r="H353"/>
  <c r="I780"/>
  <c r="K780" s="1"/>
  <c r="J780"/>
  <c r="I576"/>
  <c r="K576" s="1"/>
  <c r="J576"/>
  <c r="I679"/>
  <c r="K679" s="1"/>
  <c r="J679"/>
  <c r="J310"/>
  <c r="I310"/>
  <c r="K310" s="1"/>
  <c r="J178"/>
  <c r="I178"/>
  <c r="K178" s="1"/>
  <c r="J284"/>
  <c r="J369"/>
  <c r="J252"/>
  <c r="J253"/>
  <c r="J196"/>
  <c r="H394"/>
  <c r="H266"/>
  <c r="H354"/>
  <c r="H319"/>
  <c r="H275"/>
  <c r="H357"/>
  <c r="I802"/>
  <c r="K802" s="1"/>
  <c r="J802"/>
  <c r="I451"/>
  <c r="K451" s="1"/>
  <c r="J451"/>
  <c r="J171"/>
  <c r="I171"/>
  <c r="K171" s="1"/>
  <c r="I807"/>
  <c r="K807" s="1"/>
  <c r="J807"/>
  <c r="I775"/>
  <c r="K775" s="1"/>
  <c r="J775"/>
  <c r="I738"/>
  <c r="K738" s="1"/>
  <c r="J738"/>
  <c r="I800"/>
  <c r="K800" s="1"/>
  <c r="J800"/>
  <c r="J796"/>
  <c r="I796"/>
  <c r="K796" s="1"/>
  <c r="J772"/>
  <c r="J825" s="1"/>
  <c r="I772"/>
  <c r="K772" s="1"/>
  <c r="K825" s="1"/>
  <c r="J584"/>
  <c r="I584"/>
  <c r="K584" s="1"/>
  <c r="H144"/>
  <c r="E144"/>
  <c r="F144"/>
  <c r="I247"/>
  <c r="K247" s="1"/>
  <c r="J247"/>
  <c r="J267"/>
  <c r="I267"/>
  <c r="K267" s="1"/>
  <c r="F195"/>
  <c r="H195"/>
  <c r="E195"/>
  <c r="I49"/>
  <c r="K49" s="1"/>
  <c r="J49"/>
  <c r="I71"/>
  <c r="K71" s="1"/>
  <c r="J71"/>
  <c r="D21" i="48"/>
  <c r="D31" i="33"/>
  <c r="J819" i="41"/>
  <c r="J730"/>
  <c r="J745" s="1"/>
  <c r="J690"/>
  <c r="K117"/>
  <c r="J35"/>
  <c r="J36" s="1"/>
  <c r="J797"/>
  <c r="I797"/>
  <c r="K797" s="1"/>
  <c r="J712"/>
  <c r="I712"/>
  <c r="K712" s="1"/>
  <c r="H455"/>
  <c r="H441"/>
  <c r="H653"/>
  <c r="H313"/>
  <c r="H520"/>
  <c r="H639"/>
  <c r="H270"/>
  <c r="H565"/>
  <c r="H120"/>
  <c r="H215"/>
  <c r="H190"/>
  <c r="H717"/>
  <c r="H164"/>
  <c r="H582"/>
  <c r="H538"/>
  <c r="J748"/>
  <c r="I748"/>
  <c r="K748" s="1"/>
  <c r="J778"/>
  <c r="I778"/>
  <c r="K778" s="1"/>
  <c r="J774"/>
  <c r="I774"/>
  <c r="K774" s="1"/>
  <c r="I721"/>
  <c r="K721" s="1"/>
  <c r="J721"/>
  <c r="J725" s="1"/>
  <c r="J744"/>
  <c r="I744"/>
  <c r="K744" s="1"/>
  <c r="J803"/>
  <c r="I803"/>
  <c r="K803" s="1"/>
  <c r="I761"/>
  <c r="K761" s="1"/>
  <c r="J761"/>
  <c r="I734"/>
  <c r="K734" s="1"/>
  <c r="J734"/>
  <c r="I723"/>
  <c r="K723" s="1"/>
  <c r="J723"/>
  <c r="I269"/>
  <c r="K269" s="1"/>
  <c r="J269"/>
  <c r="F155"/>
  <c r="E155"/>
  <c r="H155"/>
  <c r="I186"/>
  <c r="K186" s="1"/>
  <c r="J186"/>
  <c r="J73"/>
  <c r="I73"/>
  <c r="K73" s="1"/>
  <c r="D17" i="48"/>
  <c r="D23" i="33"/>
  <c r="H63"/>
  <c r="K63"/>
  <c r="F63"/>
  <c r="G63"/>
  <c r="J63"/>
  <c r="I63"/>
  <c r="K745" i="41"/>
  <c r="J241"/>
  <c r="H231"/>
  <c r="D59" i="33" l="1"/>
  <c r="D32" i="48"/>
  <c r="J231" i="41"/>
  <c r="I231"/>
  <c r="K231" s="1"/>
  <c r="G23" i="33"/>
  <c r="I164" i="41"/>
  <c r="K164" s="1"/>
  <c r="J164"/>
  <c r="I120"/>
  <c r="K120" s="1"/>
  <c r="K122" s="1"/>
  <c r="J120"/>
  <c r="J122" s="1"/>
  <c r="I520"/>
  <c r="K520" s="1"/>
  <c r="J520"/>
  <c r="I455"/>
  <c r="K455" s="1"/>
  <c r="J455"/>
  <c r="J195"/>
  <c r="J204" s="1"/>
  <c r="I195"/>
  <c r="K195" s="1"/>
  <c r="K204" s="1"/>
  <c r="I144"/>
  <c r="K144" s="1"/>
  <c r="J144"/>
  <c r="I354"/>
  <c r="K354" s="1"/>
  <c r="J354"/>
  <c r="J353"/>
  <c r="I353"/>
  <c r="K353" s="1"/>
  <c r="J559"/>
  <c r="I559"/>
  <c r="K559" s="1"/>
  <c r="I437"/>
  <c r="K437" s="1"/>
  <c r="K460" s="1"/>
  <c r="J437"/>
  <c r="F13" i="33"/>
  <c r="J155" i="41"/>
  <c r="I155"/>
  <c r="K155" s="1"/>
  <c r="I582"/>
  <c r="K582" s="1"/>
  <c r="J582"/>
  <c r="I215"/>
  <c r="K215" s="1"/>
  <c r="K217" s="1"/>
  <c r="J215"/>
  <c r="J217" s="1"/>
  <c r="I639"/>
  <c r="K639" s="1"/>
  <c r="J639"/>
  <c r="I441"/>
  <c r="K441" s="1"/>
  <c r="J441"/>
  <c r="J319"/>
  <c r="I319"/>
  <c r="K319" s="1"/>
  <c r="J309"/>
  <c r="I309"/>
  <c r="K309" s="1"/>
  <c r="I516"/>
  <c r="K516" s="1"/>
  <c r="J516"/>
  <c r="F15" i="33"/>
  <c r="K725" i="41"/>
  <c r="I538"/>
  <c r="K538" s="1"/>
  <c r="J538"/>
  <c r="J552" s="1"/>
  <c r="I190"/>
  <c r="K190" s="1"/>
  <c r="K192" s="1"/>
  <c r="J190"/>
  <c r="J192" s="1"/>
  <c r="I270"/>
  <c r="K270" s="1"/>
  <c r="J270"/>
  <c r="I653"/>
  <c r="K653" s="1"/>
  <c r="J653"/>
  <c r="D15" i="48"/>
  <c r="D19" i="33"/>
  <c r="J275" i="41"/>
  <c r="I275"/>
  <c r="K275" s="1"/>
  <c r="K315" s="1"/>
  <c r="I394"/>
  <c r="K394" s="1"/>
  <c r="J394"/>
  <c r="I393"/>
  <c r="K393" s="1"/>
  <c r="J393"/>
  <c r="J513"/>
  <c r="I513"/>
  <c r="K513" s="1"/>
  <c r="I151"/>
  <c r="K151" s="1"/>
  <c r="J151"/>
  <c r="I11" i="33"/>
  <c r="H11"/>
  <c r="J11"/>
  <c r="G11"/>
  <c r="K11"/>
  <c r="F11"/>
  <c r="H35"/>
  <c r="I35"/>
  <c r="J272" i="41"/>
  <c r="K95"/>
  <c r="J719"/>
  <c r="K762"/>
  <c r="D31" i="48" s="1"/>
  <c r="I717" i="41"/>
  <c r="K717" s="1"/>
  <c r="K719" s="1"/>
  <c r="J717"/>
  <c r="I565"/>
  <c r="K565" s="1"/>
  <c r="J565"/>
  <c r="I313"/>
  <c r="K313" s="1"/>
  <c r="J313"/>
  <c r="J315" s="1"/>
  <c r="G31" i="33"/>
  <c r="H31"/>
  <c r="I357" i="41"/>
  <c r="K357" s="1"/>
  <c r="J357"/>
  <c r="J266"/>
  <c r="I266"/>
  <c r="K266" s="1"/>
  <c r="J632"/>
  <c r="I632"/>
  <c r="K632" s="1"/>
  <c r="K676" s="1"/>
  <c r="J265"/>
  <c r="I265"/>
  <c r="K265" s="1"/>
  <c r="I635"/>
  <c r="K635" s="1"/>
  <c r="J635"/>
  <c r="J95"/>
  <c r="J762"/>
  <c r="D53" i="33" l="1"/>
  <c r="D29" i="48"/>
  <c r="D25"/>
  <c r="D45" i="33"/>
  <c r="K395" i="41"/>
  <c r="J460"/>
  <c r="J187"/>
  <c r="J834" s="1"/>
  <c r="F19" i="33"/>
  <c r="G19"/>
  <c r="D30" i="48"/>
  <c r="D55" i="33"/>
  <c r="D22" i="48"/>
  <c r="D33" i="33"/>
  <c r="J59"/>
  <c r="K59"/>
  <c r="G59"/>
  <c r="H59"/>
  <c r="I59"/>
  <c r="K552" i="41"/>
  <c r="J588"/>
  <c r="D14" i="48"/>
  <c r="D17" i="33"/>
  <c r="D27"/>
  <c r="D19" i="48"/>
  <c r="D29" i="33"/>
  <c r="D20" i="48"/>
  <c r="J676" i="41"/>
  <c r="K588"/>
  <c r="K272"/>
  <c r="D37" i="33" s="1"/>
  <c r="D28" i="48"/>
  <c r="D51" i="33"/>
  <c r="D16" i="48"/>
  <c r="D21" i="33"/>
  <c r="J395" i="41"/>
  <c r="D57" i="33"/>
  <c r="K187" i="41"/>
  <c r="H57" i="33" l="1"/>
  <c r="F57"/>
  <c r="G57"/>
  <c r="I57"/>
  <c r="D18" i="48"/>
  <c r="D25" i="33"/>
  <c r="H21"/>
  <c r="G21"/>
  <c r="G27"/>
  <c r="J55"/>
  <c r="K55"/>
  <c r="H45"/>
  <c r="I45"/>
  <c r="J53"/>
  <c r="K53"/>
  <c r="I53"/>
  <c r="D24" i="48"/>
  <c r="J51" i="33"/>
  <c r="H51"/>
  <c r="I51"/>
  <c r="D27" i="48"/>
  <c r="D49" i="33"/>
  <c r="K29"/>
  <c r="J29"/>
  <c r="F17"/>
  <c r="J33"/>
  <c r="I33"/>
  <c r="J37"/>
  <c r="K37"/>
  <c r="G37"/>
  <c r="F37"/>
  <c r="H37"/>
  <c r="I37"/>
  <c r="D26" i="48"/>
  <c r="D47" i="33"/>
  <c r="K835" i="41"/>
  <c r="D67" i="33" l="1"/>
  <c r="E51"/>
  <c r="E17"/>
  <c r="K65"/>
  <c r="K66" s="1"/>
  <c r="I49"/>
  <c r="E49"/>
  <c r="J49"/>
  <c r="J65" s="1"/>
  <c r="H49"/>
  <c r="E33"/>
  <c r="F65"/>
  <c r="E27"/>
  <c r="E21"/>
  <c r="D35" i="48"/>
  <c r="E53" i="33"/>
  <c r="E45"/>
  <c r="J47"/>
  <c r="I47"/>
  <c r="H47"/>
  <c r="E47"/>
  <c r="E18" i="48"/>
  <c r="E39" i="33"/>
  <c r="E43"/>
  <c r="E41"/>
  <c r="E61"/>
  <c r="E63"/>
  <c r="E13"/>
  <c r="E35"/>
  <c r="E31"/>
  <c r="E11"/>
  <c r="E23"/>
  <c r="E15"/>
  <c r="E59"/>
  <c r="E19"/>
  <c r="I25"/>
  <c r="H25"/>
  <c r="G25"/>
  <c r="G65" s="1"/>
  <c r="E25"/>
  <c r="E26" i="48"/>
  <c r="E37" i="33"/>
  <c r="E29"/>
  <c r="E27" i="48"/>
  <c r="E55" i="33"/>
  <c r="E57"/>
  <c r="H65" l="1"/>
  <c r="H66"/>
  <c r="G66"/>
  <c r="J66"/>
  <c r="E34" i="48"/>
  <c r="E33"/>
  <c r="E23"/>
  <c r="E17"/>
  <c r="E11"/>
  <c r="E21"/>
  <c r="E13"/>
  <c r="E12"/>
  <c r="E31"/>
  <c r="E15"/>
  <c r="E32"/>
  <c r="E16"/>
  <c r="E19"/>
  <c r="E20"/>
  <c r="E28"/>
  <c r="E29"/>
  <c r="E25"/>
  <c r="E14"/>
  <c r="E22"/>
  <c r="E30"/>
  <c r="F67" i="33"/>
  <c r="G67" s="1"/>
  <c r="H67" s="1"/>
  <c r="F66"/>
  <c r="E67"/>
  <c r="I65"/>
  <c r="E24" i="48"/>
  <c r="I67" i="33" l="1"/>
  <c r="J67" s="1"/>
  <c r="K67" s="1"/>
  <c r="I66"/>
  <c r="E35" i="48"/>
</calcChain>
</file>

<file path=xl/comments1.xml><?xml version="1.0" encoding="utf-8"?>
<comments xmlns="http://schemas.openxmlformats.org/spreadsheetml/2006/main">
  <authors>
    <author>OBRASEDU</author>
    <author>Marcelo França Martins</author>
  </authors>
  <commentList>
    <comment ref="H10" authorId="0">
      <text>
        <r>
          <rPr>
            <b/>
            <sz val="9"/>
            <color indexed="81"/>
            <rFont val="Tahoma"/>
            <family val="2"/>
          </rPr>
          <t>Verificar a hora que o profissional ficará na obra.</t>
        </r>
        <r>
          <rPr>
            <sz val="9"/>
            <color indexed="81"/>
            <rFont val="Tahoma"/>
            <family val="2"/>
          </rPr>
          <t xml:space="preserve">
</t>
        </r>
      </text>
    </comment>
    <comment ref="E54" authorId="0">
      <text>
        <r>
          <rPr>
            <b/>
            <sz val="9"/>
            <color indexed="81"/>
            <rFont val="Tahoma"/>
            <family val="2"/>
          </rPr>
          <t>Obra Médio -Grande porte 3x2 m;
Obra Pequeno porte 2,5x1,25 m</t>
        </r>
      </text>
    </comment>
    <comment ref="E114" authorId="0">
      <text>
        <r>
          <rPr>
            <b/>
            <sz val="9"/>
            <color indexed="81"/>
            <rFont val="Tahoma"/>
            <family val="2"/>
          </rPr>
          <t>CÓD. SINAPI OUTRAS BITOLAS
10 mm - 95577
12,5 mm - 95578
16 mm - 95579</t>
        </r>
      </text>
    </comment>
    <comment ref="F129" authorId="0">
      <text>
        <r>
          <rPr>
            <b/>
            <sz val="9"/>
            <color indexed="81"/>
            <rFont val="Tahoma"/>
            <family val="2"/>
          </rPr>
          <t>Acrescentar 10 cm para facilitar a montagem da forma.</t>
        </r>
      </text>
    </comment>
    <comment ref="G129" authorId="0">
      <text>
        <r>
          <rPr>
            <b/>
            <sz val="9"/>
            <color indexed="81"/>
            <rFont val="Tahoma"/>
            <family val="2"/>
          </rPr>
          <t>Acrescentar 10 cm para facilitar a montagem da forma.</t>
        </r>
      </text>
    </comment>
    <comment ref="F137" authorId="0">
      <text>
        <r>
          <rPr>
            <b/>
            <sz val="9"/>
            <color indexed="81"/>
            <rFont val="Tahoma"/>
            <family val="2"/>
          </rPr>
          <t>Largura da peça.</t>
        </r>
      </text>
    </comment>
    <comment ref="G137" authorId="0">
      <text>
        <r>
          <rPr>
            <b/>
            <sz val="9"/>
            <color indexed="81"/>
            <rFont val="Tahoma"/>
            <family val="2"/>
          </rPr>
          <t>Altura da peça.</t>
        </r>
      </text>
    </comment>
    <comment ref="M143" authorId="1">
      <text>
        <r>
          <rPr>
            <b/>
            <sz val="9"/>
            <color indexed="81"/>
            <rFont val="Segoe UI"/>
            <family val="2"/>
          </rPr>
          <t>Preencher com o valor do projeto.</t>
        </r>
      </text>
    </comment>
    <comment ref="M148" authorId="1">
      <text>
        <r>
          <rPr>
            <b/>
            <sz val="9"/>
            <color indexed="81"/>
            <rFont val="Segoe UI"/>
            <family val="2"/>
          </rPr>
          <t>Preencher com o valor do projeto.</t>
        </r>
      </text>
    </comment>
    <comment ref="E176" authorId="0">
      <text>
        <r>
          <rPr>
            <b/>
            <sz val="9"/>
            <color indexed="81"/>
            <rFont val="Tahoma"/>
            <family val="2"/>
          </rPr>
          <t>CÓD. SINAPI OUTRAS BITOLAS
10 mm - 95577
12,5 mm - 95578
16 mm - 95579</t>
        </r>
      </text>
    </comment>
    <comment ref="E184" authorId="0">
      <text>
        <r>
          <rPr>
            <b/>
            <sz val="9"/>
            <color indexed="81"/>
            <rFont val="Tahoma"/>
            <family val="2"/>
          </rPr>
          <t>CÓD. SINAPI OUTRAS BITOLAS
10 mm - 95577
12,5 mm - 95578
16 mm - 95579</t>
        </r>
      </text>
    </comment>
    <comment ref="F199" authorId="0">
      <text>
        <r>
          <rPr>
            <b/>
            <sz val="9"/>
            <color indexed="81"/>
            <rFont val="Tahoma"/>
            <family val="2"/>
          </rPr>
          <t>Acrescentar 10 cm para facilitar a montagem da forma.</t>
        </r>
      </text>
    </comment>
    <comment ref="G199" authorId="0">
      <text>
        <r>
          <rPr>
            <b/>
            <sz val="9"/>
            <color indexed="81"/>
            <rFont val="Tahoma"/>
            <family val="2"/>
          </rPr>
          <t>Acrescentar 10 cm para facilitar a montagem da forma.</t>
        </r>
      </text>
    </comment>
    <comment ref="F207" authorId="0">
      <text>
        <r>
          <rPr>
            <b/>
            <sz val="9"/>
            <color indexed="81"/>
            <rFont val="Tahoma"/>
            <family val="2"/>
          </rPr>
          <t>Largura da peça.</t>
        </r>
      </text>
    </comment>
    <comment ref="G207" authorId="0">
      <text>
        <r>
          <rPr>
            <b/>
            <sz val="9"/>
            <color indexed="81"/>
            <rFont val="Tahoma"/>
            <family val="2"/>
          </rPr>
          <t>Altura da peça.</t>
        </r>
      </text>
    </comment>
    <comment ref="M213" authorId="1">
      <text>
        <r>
          <rPr>
            <b/>
            <sz val="9"/>
            <color indexed="81"/>
            <rFont val="Segoe UI"/>
            <family val="2"/>
          </rPr>
          <t>Preencher com o valor do projeto.</t>
        </r>
      </text>
    </comment>
    <comment ref="M218" authorId="1">
      <text>
        <r>
          <rPr>
            <b/>
            <sz val="9"/>
            <color indexed="81"/>
            <rFont val="Segoe UI"/>
            <family val="2"/>
          </rPr>
          <t>Preencher com o valor do projeto.</t>
        </r>
      </text>
    </comment>
    <comment ref="E246" authorId="0">
      <text>
        <r>
          <rPr>
            <b/>
            <sz val="9"/>
            <color indexed="81"/>
            <rFont val="Tahoma"/>
            <family val="2"/>
          </rPr>
          <t>CÓD. SINAPI OUTRAS BITOLAS
10 mm - 95577
12,5 mm - 95578
16 mm - 95579</t>
        </r>
      </text>
    </comment>
    <comment ref="E255" authorId="0">
      <text>
        <r>
          <rPr>
            <b/>
            <sz val="9"/>
            <color indexed="81"/>
            <rFont val="Tahoma"/>
            <family val="2"/>
          </rPr>
          <t>CÓD. SINAPI OUTRAS BITOLAS
10 mm - 95577
12,5 mm - 95578
16 mm - 95579</t>
        </r>
      </text>
    </comment>
    <comment ref="F270" authorId="0">
      <text>
        <r>
          <rPr>
            <b/>
            <sz val="9"/>
            <color indexed="81"/>
            <rFont val="Tahoma"/>
            <family val="2"/>
          </rPr>
          <t>Acrescentar 10 cm para facilitar a montagem da forma.</t>
        </r>
      </text>
    </comment>
    <comment ref="G270" authorId="0">
      <text>
        <r>
          <rPr>
            <b/>
            <sz val="9"/>
            <color indexed="81"/>
            <rFont val="Tahoma"/>
            <family val="2"/>
          </rPr>
          <t>Acrescentar 10 cm para facilitar a montagem da forma.</t>
        </r>
      </text>
    </comment>
    <comment ref="F278" authorId="0">
      <text>
        <r>
          <rPr>
            <b/>
            <sz val="9"/>
            <color indexed="81"/>
            <rFont val="Tahoma"/>
            <family val="2"/>
          </rPr>
          <t>Largura da peça.</t>
        </r>
      </text>
    </comment>
    <comment ref="G278" authorId="0">
      <text>
        <r>
          <rPr>
            <b/>
            <sz val="9"/>
            <color indexed="81"/>
            <rFont val="Tahoma"/>
            <family val="2"/>
          </rPr>
          <t>Altura da peça.</t>
        </r>
      </text>
    </comment>
    <comment ref="M284" authorId="1">
      <text>
        <r>
          <rPr>
            <b/>
            <sz val="9"/>
            <color indexed="81"/>
            <rFont val="Segoe UI"/>
            <family val="2"/>
          </rPr>
          <t>Preencher com o valor do projeto.</t>
        </r>
      </text>
    </comment>
    <comment ref="M289" authorId="1">
      <text>
        <r>
          <rPr>
            <b/>
            <sz val="9"/>
            <color indexed="81"/>
            <rFont val="Segoe UI"/>
            <family val="2"/>
          </rPr>
          <t>Preencher com o valor do projeto.</t>
        </r>
      </text>
    </comment>
    <comment ref="M337" authorId="0">
      <text>
        <r>
          <rPr>
            <b/>
            <sz val="9"/>
            <color indexed="81"/>
            <rFont val="Tahoma"/>
            <family val="2"/>
          </rPr>
          <t>Preencher com o valor de projeto.</t>
        </r>
      </text>
    </comment>
    <comment ref="E434" authorId="0">
      <text>
        <r>
          <rPr>
            <b/>
            <sz val="9"/>
            <color indexed="81"/>
            <rFont val="Tahoma"/>
            <family val="2"/>
          </rPr>
          <t xml:space="preserve">CASO VÃO MAIOR QUE 8 M UTILIZAR
CÓDIGO SINAPI </t>
        </r>
        <r>
          <rPr>
            <b/>
            <sz val="10"/>
            <color indexed="81"/>
            <rFont val="Tahoma"/>
            <family val="2"/>
          </rPr>
          <t>97652</t>
        </r>
      </text>
    </comment>
    <comment ref="E648" authorId="0">
      <text>
        <r>
          <rPr>
            <b/>
            <sz val="9"/>
            <color indexed="81"/>
            <rFont val="Tahoma"/>
            <family val="2"/>
          </rPr>
          <t>CÓD. SINAPI OUTRAS BITOLAS
10 mm - 95577
12,5 mm - 95578
16 mm - 95579</t>
        </r>
      </text>
    </comment>
    <comment ref="E656" authorId="0">
      <text>
        <r>
          <rPr>
            <b/>
            <sz val="9"/>
            <color indexed="81"/>
            <rFont val="Tahoma"/>
            <family val="2"/>
          </rPr>
          <t>CÓD. SINAPI OUTRAS BITOLAS
10 mm - 95577
12,5 mm - 95578
16 mm - 95579</t>
        </r>
      </text>
    </comment>
    <comment ref="F670" authorId="0">
      <text>
        <r>
          <rPr>
            <b/>
            <sz val="9"/>
            <color indexed="81"/>
            <rFont val="Tahoma"/>
            <family val="2"/>
          </rPr>
          <t>Acrescentar 10 cm para facilitar a montagem da forma.</t>
        </r>
      </text>
    </comment>
    <comment ref="G670" authorId="0">
      <text>
        <r>
          <rPr>
            <b/>
            <sz val="9"/>
            <color indexed="81"/>
            <rFont val="Tahoma"/>
            <family val="2"/>
          </rPr>
          <t>Acrescentar 10 cm para facilitar a montagem da forma.</t>
        </r>
      </text>
    </comment>
    <comment ref="F678" authorId="0">
      <text>
        <r>
          <rPr>
            <b/>
            <sz val="9"/>
            <color indexed="81"/>
            <rFont val="Tahoma"/>
            <family val="2"/>
          </rPr>
          <t>Largura da peça.</t>
        </r>
      </text>
    </comment>
    <comment ref="G678" authorId="0">
      <text>
        <r>
          <rPr>
            <b/>
            <sz val="9"/>
            <color indexed="81"/>
            <rFont val="Tahoma"/>
            <family val="2"/>
          </rPr>
          <t>Altura da peça.</t>
        </r>
      </text>
    </comment>
    <comment ref="M684" authorId="1">
      <text>
        <r>
          <rPr>
            <b/>
            <sz val="9"/>
            <color indexed="81"/>
            <rFont val="Segoe UI"/>
            <family val="2"/>
          </rPr>
          <t>Preencher com o valor do projeto.</t>
        </r>
      </text>
    </comment>
    <comment ref="M689" authorId="1">
      <text>
        <r>
          <rPr>
            <b/>
            <sz val="9"/>
            <color indexed="81"/>
            <rFont val="Segoe UI"/>
            <family val="2"/>
          </rPr>
          <t>Preencher com o valor do projeto.</t>
        </r>
      </text>
    </comment>
    <comment ref="E788" authorId="0">
      <text>
        <r>
          <rPr>
            <b/>
            <sz val="9"/>
            <color indexed="81"/>
            <rFont val="Tahoma"/>
            <family val="2"/>
          </rPr>
          <t>CÓD. SINAPI OUTRAS BITOLAS
10 mm - 95577
12,5 mm - 95578
16 mm - 95579</t>
        </r>
      </text>
    </comment>
    <comment ref="E796" authorId="0">
      <text>
        <r>
          <rPr>
            <b/>
            <sz val="9"/>
            <color indexed="81"/>
            <rFont val="Tahoma"/>
            <family val="2"/>
          </rPr>
          <t>CÓD. SINAPI OUTRAS BITOLAS
10 mm - 95577
12,5 mm - 95578
16 mm - 95579</t>
        </r>
      </text>
    </comment>
    <comment ref="F810" authorId="0">
      <text>
        <r>
          <rPr>
            <b/>
            <sz val="9"/>
            <color indexed="81"/>
            <rFont val="Tahoma"/>
            <family val="2"/>
          </rPr>
          <t>Acrescentar 10 cm para facilitar a montagem da forma.</t>
        </r>
      </text>
    </comment>
    <comment ref="G810" authorId="0">
      <text>
        <r>
          <rPr>
            <b/>
            <sz val="9"/>
            <color indexed="81"/>
            <rFont val="Tahoma"/>
            <family val="2"/>
          </rPr>
          <t>Acrescentar 10 cm para facilitar a montagem da forma.</t>
        </r>
      </text>
    </comment>
    <comment ref="F818" authorId="0">
      <text>
        <r>
          <rPr>
            <b/>
            <sz val="9"/>
            <color indexed="81"/>
            <rFont val="Tahoma"/>
            <family val="2"/>
          </rPr>
          <t>Largura da peça.</t>
        </r>
      </text>
    </comment>
    <comment ref="G818" authorId="0">
      <text>
        <r>
          <rPr>
            <b/>
            <sz val="9"/>
            <color indexed="81"/>
            <rFont val="Tahoma"/>
            <family val="2"/>
          </rPr>
          <t>Altura da peça.</t>
        </r>
      </text>
    </comment>
    <comment ref="M823" authorId="1">
      <text>
        <r>
          <rPr>
            <b/>
            <sz val="9"/>
            <color indexed="81"/>
            <rFont val="Segoe UI"/>
            <family val="2"/>
          </rPr>
          <t>Preencher com o valor do projeto.</t>
        </r>
      </text>
    </comment>
    <comment ref="M828" authorId="1">
      <text>
        <r>
          <rPr>
            <b/>
            <sz val="9"/>
            <color indexed="81"/>
            <rFont val="Segoe UI"/>
            <family val="2"/>
          </rPr>
          <t>Preencher com o valor do projeto.</t>
        </r>
      </text>
    </comment>
    <comment ref="E926" authorId="0">
      <text>
        <r>
          <rPr>
            <b/>
            <sz val="9"/>
            <color indexed="81"/>
            <rFont val="Tahoma"/>
            <family val="2"/>
          </rPr>
          <t>CÓD. SINAPI OUTRAS BITOLAS
10 mm - 95577
12,5 mm - 95578
16 mm - 95579</t>
        </r>
      </text>
    </comment>
    <comment ref="E934" authorId="0">
      <text>
        <r>
          <rPr>
            <b/>
            <sz val="9"/>
            <color indexed="81"/>
            <rFont val="Tahoma"/>
            <family val="2"/>
          </rPr>
          <t>CÓD. SINAPI OUTRAS BITOLAS
10 mm - 95577
12,5 mm - 95578
16 mm - 95579</t>
        </r>
      </text>
    </comment>
    <comment ref="F948" authorId="0">
      <text>
        <r>
          <rPr>
            <b/>
            <sz val="9"/>
            <color indexed="81"/>
            <rFont val="Tahoma"/>
            <family val="2"/>
          </rPr>
          <t>Acrescentar 10 cm para facilitar a montagem da forma.</t>
        </r>
      </text>
    </comment>
    <comment ref="G948" authorId="0">
      <text>
        <r>
          <rPr>
            <b/>
            <sz val="9"/>
            <color indexed="81"/>
            <rFont val="Tahoma"/>
            <family val="2"/>
          </rPr>
          <t>Acrescentar 10 cm para facilitar a montagem da forma.</t>
        </r>
      </text>
    </comment>
    <comment ref="F956" authorId="0">
      <text>
        <r>
          <rPr>
            <b/>
            <sz val="9"/>
            <color indexed="81"/>
            <rFont val="Tahoma"/>
            <family val="2"/>
          </rPr>
          <t>Largura da peça.</t>
        </r>
      </text>
    </comment>
    <comment ref="G956" authorId="0">
      <text>
        <r>
          <rPr>
            <b/>
            <sz val="9"/>
            <color indexed="81"/>
            <rFont val="Tahoma"/>
            <family val="2"/>
          </rPr>
          <t>Altura da peça.</t>
        </r>
      </text>
    </comment>
    <comment ref="M961" authorId="1">
      <text>
        <r>
          <rPr>
            <b/>
            <sz val="9"/>
            <color indexed="81"/>
            <rFont val="Segoe UI"/>
            <family val="2"/>
          </rPr>
          <t>Preencher com o valor do projeto.</t>
        </r>
      </text>
    </comment>
    <comment ref="M966" authorId="1">
      <text>
        <r>
          <rPr>
            <b/>
            <sz val="9"/>
            <color indexed="81"/>
            <rFont val="Segoe UI"/>
            <family val="2"/>
          </rPr>
          <t>Preencher com o valor do projeto.</t>
        </r>
      </text>
    </comment>
    <comment ref="E1054" authorId="0">
      <text>
        <r>
          <rPr>
            <b/>
            <sz val="9"/>
            <color indexed="81"/>
            <rFont val="Tahoma"/>
            <family val="2"/>
          </rPr>
          <t>CÓD. SINAPI OUTRAS BITOLAS
10 mm - 95577
12,5 mm - 95578
16 mm - 95579</t>
        </r>
      </text>
    </comment>
    <comment ref="E1062" authorId="0">
      <text>
        <r>
          <rPr>
            <b/>
            <sz val="9"/>
            <color indexed="81"/>
            <rFont val="Tahoma"/>
            <family val="2"/>
          </rPr>
          <t>CÓD. SINAPI OUTRAS BITOLAS
10 mm - 95577
12,5 mm - 95578
16 mm - 95579</t>
        </r>
      </text>
    </comment>
    <comment ref="F1076" authorId="0">
      <text>
        <r>
          <rPr>
            <b/>
            <sz val="9"/>
            <color indexed="81"/>
            <rFont val="Tahoma"/>
            <family val="2"/>
          </rPr>
          <t>Acrescentar 10 cm para facilitar a montagem da forma.</t>
        </r>
      </text>
    </comment>
    <comment ref="G1076" authorId="0">
      <text>
        <r>
          <rPr>
            <b/>
            <sz val="9"/>
            <color indexed="81"/>
            <rFont val="Tahoma"/>
            <family val="2"/>
          </rPr>
          <t>Acrescentar 10 cm para facilitar a montagem da forma.</t>
        </r>
      </text>
    </comment>
    <comment ref="F1084" authorId="0">
      <text>
        <r>
          <rPr>
            <b/>
            <sz val="9"/>
            <color indexed="81"/>
            <rFont val="Tahoma"/>
            <family val="2"/>
          </rPr>
          <t>Largura da peça.</t>
        </r>
      </text>
    </comment>
    <comment ref="G1084" authorId="0">
      <text>
        <r>
          <rPr>
            <b/>
            <sz val="9"/>
            <color indexed="81"/>
            <rFont val="Tahoma"/>
            <family val="2"/>
          </rPr>
          <t>Altura da peça.</t>
        </r>
      </text>
    </comment>
    <comment ref="M1089" authorId="1">
      <text>
        <r>
          <rPr>
            <b/>
            <sz val="9"/>
            <color indexed="81"/>
            <rFont val="Segoe UI"/>
            <family val="2"/>
          </rPr>
          <t>Preencher com o valor do projeto.</t>
        </r>
      </text>
    </comment>
    <comment ref="M1094" authorId="1">
      <text>
        <r>
          <rPr>
            <b/>
            <sz val="9"/>
            <color indexed="81"/>
            <rFont val="Segoe UI"/>
            <family val="2"/>
          </rPr>
          <t>Preencher com o valor do projeto.</t>
        </r>
      </text>
    </comment>
    <comment ref="M1130" authorId="0">
      <text>
        <r>
          <rPr>
            <b/>
            <sz val="9"/>
            <color indexed="81"/>
            <rFont val="Tahoma"/>
            <family val="2"/>
          </rPr>
          <t>Preencher com o valor de projeto.</t>
        </r>
      </text>
    </comment>
    <comment ref="F1229" authorId="0">
      <text>
        <r>
          <rPr>
            <b/>
            <sz val="9"/>
            <color indexed="81"/>
            <rFont val="Tahoma"/>
            <family val="2"/>
          </rPr>
          <t>Acrescentar 10 cm para facilitar a montagem da forma.</t>
        </r>
      </text>
    </comment>
    <comment ref="G1229" authorId="0">
      <text>
        <r>
          <rPr>
            <b/>
            <sz val="9"/>
            <color indexed="81"/>
            <rFont val="Tahoma"/>
            <family val="2"/>
          </rPr>
          <t>Acrescentar 10 cm para facilitar a montagem da forma.</t>
        </r>
      </text>
    </comment>
    <comment ref="F1237" authorId="0">
      <text>
        <r>
          <rPr>
            <b/>
            <sz val="9"/>
            <color indexed="81"/>
            <rFont val="Tahoma"/>
            <family val="2"/>
          </rPr>
          <t>Largura da peça.</t>
        </r>
      </text>
    </comment>
    <comment ref="G1237" authorId="0">
      <text>
        <r>
          <rPr>
            <b/>
            <sz val="9"/>
            <color indexed="81"/>
            <rFont val="Tahoma"/>
            <family val="2"/>
          </rPr>
          <t>Altura da peça.</t>
        </r>
      </text>
    </comment>
    <comment ref="M1242" authorId="1">
      <text>
        <r>
          <rPr>
            <b/>
            <sz val="9"/>
            <color indexed="81"/>
            <rFont val="Segoe UI"/>
            <family val="2"/>
          </rPr>
          <t>Preencher com o valor do projeto.</t>
        </r>
      </text>
    </comment>
    <comment ref="M1247" authorId="1">
      <text>
        <r>
          <rPr>
            <b/>
            <sz val="9"/>
            <color indexed="81"/>
            <rFont val="Segoe UI"/>
            <family val="2"/>
          </rPr>
          <t>Preencher com o valor do projeto.</t>
        </r>
      </text>
    </comment>
    <comment ref="M1285" authorId="0">
      <text>
        <r>
          <rPr>
            <b/>
            <sz val="9"/>
            <color indexed="81"/>
            <rFont val="Tahoma"/>
            <family val="2"/>
          </rPr>
          <t>Preencher com o valor de projeto.</t>
        </r>
      </text>
    </comment>
    <comment ref="F1297" authorId="0">
      <text>
        <r>
          <rPr>
            <b/>
            <sz val="9"/>
            <color indexed="81"/>
            <rFont val="Tahoma"/>
            <family val="2"/>
          </rPr>
          <t>Largura da peça.</t>
        </r>
      </text>
    </comment>
    <comment ref="G1297" authorId="0">
      <text>
        <r>
          <rPr>
            <b/>
            <sz val="9"/>
            <color indexed="81"/>
            <rFont val="Tahoma"/>
            <family val="2"/>
          </rPr>
          <t>Altura da peça.</t>
        </r>
      </text>
    </comment>
    <comment ref="F1438" authorId="0">
      <text>
        <r>
          <rPr>
            <b/>
            <sz val="9"/>
            <color indexed="81"/>
            <rFont val="Tahoma"/>
            <family val="2"/>
          </rPr>
          <t>Acrescentar 10 cm para facilitar a montagem da forma.</t>
        </r>
      </text>
    </comment>
    <comment ref="G1438" authorId="0">
      <text>
        <r>
          <rPr>
            <b/>
            <sz val="9"/>
            <color indexed="81"/>
            <rFont val="Tahoma"/>
            <family val="2"/>
          </rPr>
          <t>Acrescentar 10 cm para facilitar a montagem da forma.</t>
        </r>
      </text>
    </comment>
    <comment ref="F1446" authorId="0">
      <text>
        <r>
          <rPr>
            <b/>
            <sz val="9"/>
            <color indexed="81"/>
            <rFont val="Tahoma"/>
            <family val="2"/>
          </rPr>
          <t>Largura da peça.</t>
        </r>
      </text>
    </comment>
    <comment ref="G1446" authorId="0">
      <text>
        <r>
          <rPr>
            <b/>
            <sz val="9"/>
            <color indexed="81"/>
            <rFont val="Tahoma"/>
            <family val="2"/>
          </rPr>
          <t>Altura da peça.</t>
        </r>
      </text>
    </comment>
    <comment ref="M1451" authorId="1">
      <text>
        <r>
          <rPr>
            <b/>
            <sz val="9"/>
            <color indexed="81"/>
            <rFont val="Segoe UI"/>
            <family val="2"/>
          </rPr>
          <t>Preencher com o valor do projeto.</t>
        </r>
      </text>
    </comment>
    <comment ref="M1456" authorId="1">
      <text>
        <r>
          <rPr>
            <b/>
            <sz val="9"/>
            <color indexed="81"/>
            <rFont val="Segoe UI"/>
            <family val="2"/>
          </rPr>
          <t>Preencher com o valor do projeto.</t>
        </r>
      </text>
    </comment>
    <comment ref="M1496" authorId="0">
      <text>
        <r>
          <rPr>
            <b/>
            <sz val="9"/>
            <color indexed="81"/>
            <rFont val="Tahoma"/>
            <family val="2"/>
          </rPr>
          <t>Preencher com o valor de projeto.</t>
        </r>
      </text>
    </comment>
    <comment ref="F1510" authorId="0">
      <text>
        <r>
          <rPr>
            <b/>
            <sz val="9"/>
            <color indexed="81"/>
            <rFont val="Tahoma"/>
            <family val="2"/>
          </rPr>
          <t>Largura da peça.</t>
        </r>
      </text>
    </comment>
    <comment ref="G1510" authorId="0">
      <text>
        <r>
          <rPr>
            <b/>
            <sz val="9"/>
            <color indexed="81"/>
            <rFont val="Tahoma"/>
            <family val="2"/>
          </rPr>
          <t>Altura da peça.</t>
        </r>
      </text>
    </comment>
    <comment ref="F1733" authorId="0">
      <text>
        <r>
          <rPr>
            <b/>
            <sz val="9"/>
            <color indexed="81"/>
            <rFont val="Tahoma"/>
            <family val="2"/>
          </rPr>
          <t>Acrescentar 10 cm para facilitar a montagem da forma.</t>
        </r>
      </text>
    </comment>
    <comment ref="G1733" authorId="0">
      <text>
        <r>
          <rPr>
            <b/>
            <sz val="9"/>
            <color indexed="81"/>
            <rFont val="Tahoma"/>
            <family val="2"/>
          </rPr>
          <t>Acrescentar 10 cm para facilitar a montagem da forma.</t>
        </r>
      </text>
    </comment>
    <comment ref="F1741" authorId="0">
      <text>
        <r>
          <rPr>
            <b/>
            <sz val="9"/>
            <color indexed="81"/>
            <rFont val="Tahoma"/>
            <family val="2"/>
          </rPr>
          <t>Largura da peça.</t>
        </r>
      </text>
    </comment>
    <comment ref="G1741" authorId="0">
      <text>
        <r>
          <rPr>
            <b/>
            <sz val="9"/>
            <color indexed="81"/>
            <rFont val="Tahoma"/>
            <family val="2"/>
          </rPr>
          <t>Altura da peça.</t>
        </r>
      </text>
    </comment>
    <comment ref="M1746" authorId="1">
      <text>
        <r>
          <rPr>
            <b/>
            <sz val="9"/>
            <color indexed="81"/>
            <rFont val="Segoe UI"/>
            <family val="2"/>
          </rPr>
          <t>Preencher com o valor do projeto.</t>
        </r>
      </text>
    </comment>
    <comment ref="M1751" authorId="1">
      <text>
        <r>
          <rPr>
            <b/>
            <sz val="9"/>
            <color indexed="81"/>
            <rFont val="Segoe UI"/>
            <family val="2"/>
          </rPr>
          <t>Preencher com o valor do projeto.</t>
        </r>
      </text>
    </comment>
    <comment ref="M1789" authorId="0">
      <text>
        <r>
          <rPr>
            <b/>
            <sz val="9"/>
            <color indexed="81"/>
            <rFont val="Tahoma"/>
            <family val="2"/>
          </rPr>
          <t>Preencher com o valor de projeto.</t>
        </r>
      </text>
    </comment>
    <comment ref="F1801" authorId="0">
      <text>
        <r>
          <rPr>
            <b/>
            <sz val="9"/>
            <color indexed="81"/>
            <rFont val="Tahoma"/>
            <family val="2"/>
          </rPr>
          <t>Largura da peça.</t>
        </r>
      </text>
    </comment>
    <comment ref="G1801" authorId="0">
      <text>
        <r>
          <rPr>
            <b/>
            <sz val="9"/>
            <color indexed="81"/>
            <rFont val="Tahoma"/>
            <family val="2"/>
          </rPr>
          <t>Altura da peça.</t>
        </r>
      </text>
    </comment>
    <comment ref="E1924" authorId="0">
      <text>
        <r>
          <rPr>
            <b/>
            <sz val="9"/>
            <color indexed="81"/>
            <rFont val="Tahoma"/>
            <family val="2"/>
          </rPr>
          <t>CÓD. SINAPI OUTRAS BITOLAS
10 mm - 95577
12,5 mm - 95578
16 mm - 95579</t>
        </r>
      </text>
    </comment>
    <comment ref="F1931" authorId="0">
      <text>
        <r>
          <rPr>
            <b/>
            <sz val="9"/>
            <color indexed="81"/>
            <rFont val="Tahoma"/>
            <family val="2"/>
          </rPr>
          <t>Acrescentar 10 cm para facilitar a montagem da forma.</t>
        </r>
      </text>
    </comment>
    <comment ref="G1931" authorId="0">
      <text>
        <r>
          <rPr>
            <b/>
            <sz val="9"/>
            <color indexed="81"/>
            <rFont val="Tahoma"/>
            <family val="2"/>
          </rPr>
          <t>Acrescentar 10 cm para facilitar a montagem da forma.</t>
        </r>
      </text>
    </comment>
    <comment ref="F1939" authorId="0">
      <text>
        <r>
          <rPr>
            <b/>
            <sz val="9"/>
            <color indexed="81"/>
            <rFont val="Tahoma"/>
            <family val="2"/>
          </rPr>
          <t>Largura da peça.</t>
        </r>
      </text>
    </comment>
    <comment ref="G1939" authorId="0">
      <text>
        <r>
          <rPr>
            <b/>
            <sz val="9"/>
            <color indexed="81"/>
            <rFont val="Tahoma"/>
            <family val="2"/>
          </rPr>
          <t>Altura da peça.</t>
        </r>
      </text>
    </comment>
    <comment ref="M1944" authorId="1">
      <text>
        <r>
          <rPr>
            <b/>
            <sz val="9"/>
            <color indexed="81"/>
            <rFont val="Segoe UI"/>
            <family val="2"/>
          </rPr>
          <t>Preencher com o valor do projeto.</t>
        </r>
      </text>
    </comment>
    <comment ref="M1949" authorId="1">
      <text>
        <r>
          <rPr>
            <b/>
            <sz val="9"/>
            <color indexed="81"/>
            <rFont val="Segoe UI"/>
            <family val="2"/>
          </rPr>
          <t>Preencher com o valor do projeto.</t>
        </r>
      </text>
    </comment>
    <comment ref="M1989" authorId="0">
      <text>
        <r>
          <rPr>
            <b/>
            <sz val="9"/>
            <color indexed="81"/>
            <rFont val="Tahoma"/>
            <family val="2"/>
          </rPr>
          <t>Preencher com o valor de projeto.</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sharedStrings.xml><?xml version="1.0" encoding="utf-8"?>
<sst xmlns="http://schemas.openxmlformats.org/spreadsheetml/2006/main" count="28576" uniqueCount="13594">
  <si>
    <t>INFORMAÇÕES/INDICAÇÕES</t>
  </si>
  <si>
    <t>CÓDIGO/SINAPI</t>
  </si>
  <si>
    <t xml:space="preserve">REFERENCIA </t>
  </si>
  <si>
    <t xml:space="preserve">ETAPA CONSTRUTIVA </t>
  </si>
  <si>
    <t>QUANT</t>
  </si>
  <si>
    <t>UNI</t>
  </si>
  <si>
    <t>QT.DE.PROJ OU VARI.</t>
  </si>
  <si>
    <t>ADIMINISTRAÇÃO LOCAL</t>
  </si>
  <si>
    <t>SINAPI</t>
  </si>
  <si>
    <t>H</t>
  </si>
  <si>
    <t xml:space="preserve">Considerado sua classificação de acordo com a amplitude e complexidade da obra </t>
  </si>
  <si>
    <t>período de execução (meses)</t>
  </si>
  <si>
    <t>quant/obra</t>
  </si>
  <si>
    <t>horas por mês</t>
  </si>
  <si>
    <t>VERIFICAR SE MENSALISTA É MIAS VANTAJOSO</t>
  </si>
  <si>
    <t>Carga horaria de 8h diária</t>
  </si>
  <si>
    <t>horas</t>
  </si>
  <si>
    <t xml:space="preserve">Deve ser considerado sempre pois a obra não pode estar sem as condções minimas de proteção </t>
  </si>
  <si>
    <t>periodo de trabalho por noite (h)</t>
  </si>
  <si>
    <t>dias trabalhados por mês (dias)</t>
  </si>
  <si>
    <t>horas trabalhadas por mês (h)</t>
  </si>
  <si>
    <t xml:space="preserve">Todas as noites </t>
  </si>
  <si>
    <t>Todos os FDS</t>
  </si>
  <si>
    <t>INSTALAÇÕES DE CANTEIRO E SERVIÇOS PRELIMINARES</t>
  </si>
  <si>
    <t>73992/1</t>
  </si>
  <si>
    <t>m2</t>
  </si>
  <si>
    <t>larg (m)</t>
  </si>
  <si>
    <t>comp (m)</t>
  </si>
  <si>
    <t>quant (uni)</t>
  </si>
  <si>
    <t>73847/1</t>
  </si>
  <si>
    <t xml:space="preserve">meses </t>
  </si>
  <si>
    <t>Geralmente considerado o total de meses de execução da obra</t>
  </si>
  <si>
    <t>tempo estimado (mêses)</t>
  </si>
  <si>
    <t>quant. De containers</t>
  </si>
  <si>
    <t>CP-IP-01</t>
  </si>
  <si>
    <t>PRÓRPIA</t>
  </si>
  <si>
    <t>Geralmente solicitado para área de vivencia dos funcionários, pessoalmente sempre considerado devido o conforto e melhor acomodação no momento das refeições</t>
  </si>
  <si>
    <t xml:space="preserve">comp (m) </t>
  </si>
  <si>
    <t>quant(uni)</t>
  </si>
  <si>
    <t>minimo</t>
  </si>
  <si>
    <t>74220/1</t>
  </si>
  <si>
    <t xml:space="preserve">Geralmente considerado em todos os lados - Ver necessidade de todos os lados serem fechados </t>
  </si>
  <si>
    <t xml:space="preserve">altura (m) </t>
  </si>
  <si>
    <t xml:space="preserve">perimetro externo </t>
  </si>
  <si>
    <t>uni</t>
  </si>
  <si>
    <t xml:space="preserve">Caso não haja um projeto de instalações de canteiro de obra - Deve-se compor e planejar a melhor forma de instalar os suportes provisórios </t>
  </si>
  <si>
    <t>consumo por obra (conj)</t>
  </si>
  <si>
    <t>quant ou repetições</t>
  </si>
  <si>
    <t>CP-IP-02</t>
  </si>
  <si>
    <t>74209/1</t>
  </si>
  <si>
    <t>Obra convencional 3x2 m; Obras menores 2,5x1,25</t>
  </si>
  <si>
    <t xml:space="preserve">largura (m) </t>
  </si>
  <si>
    <t>73775/2</t>
  </si>
  <si>
    <t xml:space="preserve">Considerado no canteiro para defesa em casos de fogo de incidente </t>
  </si>
  <si>
    <t>repetições</t>
  </si>
  <si>
    <t>local de serviçoes áreas de trabalho a quente</t>
  </si>
  <si>
    <t>CP-TX-01</t>
  </si>
  <si>
    <t>consumo por obra (uni)</t>
  </si>
  <si>
    <t>DEMOLIÇÕES E RETIRADAS</t>
  </si>
  <si>
    <t xml:space="preserve">RETIRADA DE POSTES EXETRNOS </t>
  </si>
  <si>
    <t>INCLUSO TRANSPORTE</t>
  </si>
  <si>
    <t>QUANT. POSTES</t>
  </si>
  <si>
    <t>HORA POR POSTE</t>
  </si>
  <si>
    <t>m</t>
  </si>
  <si>
    <t>CP-DEM-01</t>
  </si>
  <si>
    <t>m3</t>
  </si>
  <si>
    <t>larg(m) ou área (m2)</t>
  </si>
  <si>
    <t>comp(m) ou uni</t>
  </si>
  <si>
    <t>esp (m)</t>
  </si>
  <si>
    <t xml:space="preserve">quant ou repetições </t>
  </si>
  <si>
    <t>ARQUBANCADA E MURO QUE FAZ CONTATO COM ARQUIBANCADA</t>
  </si>
  <si>
    <t>comp(m) ou perimetro (m)</t>
  </si>
  <si>
    <t>larg(m) ou altura (m)</t>
  </si>
  <si>
    <t>MURETA COM ALAMBRADO DOIS LADOS</t>
  </si>
  <si>
    <t>Geralmente considera-se o dobro da quantidade demolida - devido após a demolição o material praticamente dobra seu volume por aumentar os vazios</t>
  </si>
  <si>
    <t>volumes de demolições e retiradas (m3)</t>
  </si>
  <si>
    <t>empolamenteo p/demolições</t>
  </si>
  <si>
    <t>soma de todos os volumes gereados pelas retiradas e demolições</t>
  </si>
  <si>
    <t>m3xkm</t>
  </si>
  <si>
    <t xml:space="preserve">Exatamente o volume total da caga x a distancia de transporte </t>
  </si>
  <si>
    <t xml:space="preserve">volume total da carga (m3) </t>
  </si>
  <si>
    <t>DMT 5-10 (km)</t>
  </si>
  <si>
    <t xml:space="preserve">FUNDAÇÕES </t>
  </si>
  <si>
    <t xml:space="preserve">BLOCOS OU SAPATAS </t>
  </si>
  <si>
    <t>PREENCHER O ITEm CONCRETO  E AÇO</t>
  </si>
  <si>
    <t>FUNDAÇÃO DE MURETA PARA ALAMBRADO</t>
  </si>
  <si>
    <t>ESTACA TIPO BROCA</t>
  </si>
  <si>
    <t xml:space="preserve">ESTACAS EQUIDISTANTES 2,5 M </t>
  </si>
  <si>
    <t xml:space="preserve">quanti </t>
  </si>
  <si>
    <t>prof estac</t>
  </si>
  <si>
    <t>diâmetro</t>
  </si>
  <si>
    <t>ESPAÇAMENTO DE 20 CM ENTRE ESTRIBOS</t>
  </si>
  <si>
    <t>kg</t>
  </si>
  <si>
    <t>diam Ø (mm)</t>
  </si>
  <si>
    <t>quant uni</t>
  </si>
  <si>
    <t>kg/m</t>
  </si>
  <si>
    <t xml:space="preserve">taxa </t>
  </si>
  <si>
    <t xml:space="preserve">SINAPI </t>
  </si>
  <si>
    <t>Neste caso oconsidera-se exatamente o volume de carga de bota fora, onde o seu cálculo é exatamente o volume de concreto acrescido de empolamento</t>
  </si>
  <si>
    <t>volume</t>
  </si>
  <si>
    <t>empolamento</t>
  </si>
  <si>
    <t>M3xkm</t>
  </si>
  <si>
    <t>Exatamente o volume total da caga x a distancia de transporte</t>
  </si>
  <si>
    <t>BALDRAMES</t>
  </si>
  <si>
    <t>PREENCHER O ITEN CONCRETO  E AÇO</t>
  </si>
  <si>
    <t>Algumas vigas possuem trechos, por isso inserir a nomeclatrura do trecho. EX: Nome da viga - trecho 01.....</t>
  </si>
  <si>
    <t>comp(m)</t>
  </si>
  <si>
    <t>larg(m)</t>
  </si>
  <si>
    <t>alt(m)</t>
  </si>
  <si>
    <t>BALDRAMES PARA MURETAS</t>
  </si>
  <si>
    <t>Algumas vigas possuem trechos, por isso inserir a nomeclatrura do trecho 01.....</t>
  </si>
  <si>
    <t>74157/4</t>
  </si>
  <si>
    <t>Taxa cálculada kg/m3</t>
  </si>
  <si>
    <t xml:space="preserve">Em casos de não houver o projeto de fundações, para estimar, use esta equação </t>
  </si>
  <si>
    <t xml:space="preserve">Utiliza-se para este item a subtração do volume escavado do volume concretado, onde esta diferença é que será utilizada para o reaterro </t>
  </si>
  <si>
    <t>volume escavado(m3)</t>
  </si>
  <si>
    <t>volume concretado (m3)</t>
  </si>
  <si>
    <t>74106/1</t>
  </si>
  <si>
    <t>Considera-se exatamente a ára de forma da fundação</t>
  </si>
  <si>
    <t>empol</t>
  </si>
  <si>
    <t>FUNDAÇÃO PARA VEDAÇÃO LATERAL DE ARQUIBANCADA</t>
  </si>
  <si>
    <t>LATERAIS DA PARTE A SER DEMOLIDA DA ARQUIBANCADA</t>
  </si>
  <si>
    <t>empola</t>
  </si>
  <si>
    <t>FUNDAÇÃO PARA ALVENARIA DE MURO A DEMOLIR</t>
  </si>
  <si>
    <t>taxa</t>
  </si>
  <si>
    <t xml:space="preserve">SUPERESTRUTURA </t>
  </si>
  <si>
    <t xml:space="preserve">ESTRUTURA PARA VEDAÇÃO LATERAL DE ARQUIBANCADA E MURO </t>
  </si>
  <si>
    <t>PILARES</t>
  </si>
  <si>
    <t>METROS</t>
  </si>
  <si>
    <t xml:space="preserve">P1=P10 </t>
  </si>
  <si>
    <t>P2=P9</t>
  </si>
  <si>
    <t>P3=P4=P5=P6=P7=P8</t>
  </si>
  <si>
    <t>ESPAÇAMENTO DE 15 CM ENTRE ESTRIBOS</t>
  </si>
  <si>
    <t>VIGAS DE AMARRAÇÃO</t>
  </si>
  <si>
    <t>VIGA ARQUIBANCADA</t>
  </si>
  <si>
    <t>VIGA MURO</t>
  </si>
  <si>
    <t>ESTRUTURA DE MURETA PARA ALAMBRADO</t>
  </si>
  <si>
    <t>PILAR TIPO 01</t>
  </si>
  <si>
    <t>PILAR TIPO 02</t>
  </si>
  <si>
    <t>ALAMBRADO</t>
  </si>
  <si>
    <t>(201,2 x 1,35 = MURETA)</t>
  </si>
  <si>
    <t>CP-LIX-02</t>
  </si>
  <si>
    <t>73924/1</t>
  </si>
  <si>
    <t xml:space="preserve">MURETA </t>
  </si>
  <si>
    <t>ALVENARIA MENOS PILARES</t>
  </si>
  <si>
    <t>M2</t>
  </si>
  <si>
    <t>PINTURA ATE 0,7 M DE TODA A MURETA INCLUSIVE PILARES</t>
  </si>
  <si>
    <t>REFORMA DE VESTIARIOS E BILHETERIA EXISTENTES</t>
  </si>
  <si>
    <t>RETIRADAS</t>
  </si>
  <si>
    <t>TELHA DE FIBROCIMENTO  E CERÂMICA MANUAL</t>
  </si>
  <si>
    <t>coef de inclinação</t>
  </si>
  <si>
    <t xml:space="preserve">Considerado a mesma área de cobertura </t>
  </si>
  <si>
    <t>TODAS AS TESOURAS</t>
  </si>
  <si>
    <t>alt (m)</t>
  </si>
  <si>
    <t>TODAS AS JANELAS</t>
  </si>
  <si>
    <t>TODAS AS PORTAS</t>
  </si>
  <si>
    <t>MICTORIOS, VASOS E LAVATÓRIOS</t>
  </si>
  <si>
    <t>CP-DEM-02</t>
  </si>
  <si>
    <t>Qt/amb</t>
  </si>
  <si>
    <t>TODOS OS APARELHOS EXISTENTES</t>
  </si>
  <si>
    <t>REVESTIMENTO E PINTURAS INTERNAS</t>
  </si>
  <si>
    <t>20% DA ÁREA</t>
  </si>
  <si>
    <t>TODA AREA</t>
  </si>
  <si>
    <t>DE 1 M ATÉ 3 M</t>
  </si>
  <si>
    <t>DO PISO ATÉ 1,2 M</t>
  </si>
  <si>
    <t>REVESTIMENTO E PINTURAS EXTERNAS</t>
  </si>
  <si>
    <t>70% DA ÁREA</t>
  </si>
  <si>
    <t>CP-LIX-01</t>
  </si>
  <si>
    <t>CP-PIN-02</t>
  </si>
  <si>
    <t xml:space="preserve">COBETURA </t>
  </si>
  <si>
    <t>BILHETERIA + VESTIARIOS A E B INCLUSO BEIRAIS</t>
  </si>
  <si>
    <t xml:space="preserve">BILHETERIA + VESTIARIOS A E B </t>
  </si>
  <si>
    <t>M</t>
  </si>
  <si>
    <t>ESQUADRIAS</t>
  </si>
  <si>
    <t>LOUÇAS, METAIS, GRADIS E DIVISORIAS</t>
  </si>
  <si>
    <t>73774/1</t>
  </si>
  <si>
    <t>PISOS E REVESTIMENTOS</t>
  </si>
  <si>
    <t>TODO PISO MENOS 1 º ANDAR DA BILHETRIA</t>
  </si>
  <si>
    <t>M3</t>
  </si>
  <si>
    <t>1º ANDAR DA BILHETERIA</t>
  </si>
  <si>
    <t>73872/1</t>
  </si>
  <si>
    <t>73850/1</t>
  </si>
  <si>
    <t xml:space="preserve">GUARDA CORPO </t>
  </si>
  <si>
    <t>74195/1</t>
  </si>
  <si>
    <t>URBANIZAÇÃO</t>
  </si>
  <si>
    <t>CAMPO</t>
  </si>
  <si>
    <t xml:space="preserve">3 CM DE SOLO VEGETAL EM TODO GRAMADO </t>
  </si>
  <si>
    <t>TODA AREA ENTORNO DO CAMPO E 40% DO CAMPO</t>
  </si>
  <si>
    <t>BANCO DE RESERVAS</t>
  </si>
  <si>
    <t>CP-TRP-01</t>
  </si>
  <si>
    <t>ATERRO PARA BANCOS DE RESERVA E REATERRO APÓS RETIRADA DE POSTES</t>
  </si>
  <si>
    <t>quat ou repetições</t>
  </si>
  <si>
    <t>PISOS EXTERNOS E CALÇAMENTOS</t>
  </si>
  <si>
    <t>M3XKM</t>
  </si>
  <si>
    <t>PISO CONCRETO INTERNO DO ESTADIO</t>
  </si>
  <si>
    <t>CALÇADA EXTERNA</t>
  </si>
  <si>
    <t>PREVISTO 20% DOS GUIAS</t>
  </si>
  <si>
    <t>PORTÕES DE ACESSO</t>
  </si>
  <si>
    <t>74238/2</t>
  </si>
  <si>
    <t>ALTURA</t>
  </si>
  <si>
    <t>COMP.</t>
  </si>
  <si>
    <t>QUANT.</t>
  </si>
  <si>
    <t>PORTÃO ACESSO VEICULOS</t>
  </si>
  <si>
    <t>PORTÃO ACESSO PESSOAS</t>
  </si>
  <si>
    <t>PORTÃO ENTRADA PRINCIPAL PESSOAS</t>
  </si>
  <si>
    <t>PORTÃO ENTRADA SECUNDARIA PESSOAS</t>
  </si>
  <si>
    <t>PORTÃO ENTRADA SECUNDARIA VEICULOS</t>
  </si>
  <si>
    <t>TODOS OS PORTÕES</t>
  </si>
  <si>
    <t>ARQUIBANCADA</t>
  </si>
  <si>
    <t>PINTURA DE TODA ARQUIBANCADA</t>
  </si>
  <si>
    <t>79500/2</t>
  </si>
  <si>
    <t>MURO DE VEDAÇÃO</t>
  </si>
  <si>
    <t>DEMOLIÇÕES</t>
  </si>
  <si>
    <t>TODO MURO DE VEDAÇÃO EXISTENTE</t>
  </si>
  <si>
    <t>MURO FRONTAL</t>
  </si>
  <si>
    <t>INSFRAESTRUTURA</t>
  </si>
  <si>
    <t>ESTACAS</t>
  </si>
  <si>
    <t xml:space="preserve">ESTACAS A CADA 3,5 M </t>
  </si>
  <si>
    <t>VOL ESTACA</t>
  </si>
  <si>
    <t>ESPAÇAMENTO DE 12 CM ENTRE ESTRIBOS</t>
  </si>
  <si>
    <t>LATERAIS E SUPERFICIE</t>
  </si>
  <si>
    <t>SUPERESTRUTURA</t>
  </si>
  <si>
    <t>GRAUTEMENTO VERTICAL</t>
  </si>
  <si>
    <t xml:space="preserve">ARMAÇÃO DE PILAR + TRANSPASSE NA BALDRAME </t>
  </si>
  <si>
    <t>GRAUTEMENTO DE CINTA INTERMEDIARIA</t>
  </si>
  <si>
    <t>CP-FUN-02</t>
  </si>
  <si>
    <t>GRAUTEMENTO DE CINTA SUPERIOR</t>
  </si>
  <si>
    <t>VEDAÇÃO EM ALVENARIA DE BLOCO DE CONCRETO</t>
  </si>
  <si>
    <t>VEDAÇÃO</t>
  </si>
  <si>
    <t>SALDO PARA FIADA DOBRADA DE PILARES</t>
  </si>
  <si>
    <t xml:space="preserve">FIXAR EM PILARES DE MURO </t>
  </si>
  <si>
    <t>CP-ALA-02</t>
  </si>
  <si>
    <t>MURO POSTERIOR</t>
  </si>
  <si>
    <t>CP-FUN-01</t>
  </si>
  <si>
    <t>MURO LATERAL</t>
  </si>
  <si>
    <t>PARTE DE BLOCO DE CONCRETO</t>
  </si>
  <si>
    <t>CP-PIN-01</t>
  </si>
  <si>
    <t>PARTE DE ALVENARIA CONVENCIONAL</t>
  </si>
  <si>
    <t>PILAR</t>
  </si>
  <si>
    <t>VIGAS</t>
  </si>
  <si>
    <t>VIGA INTERMEDIARIA</t>
  </si>
  <si>
    <t>VIGA DE AMARRAÇÃO</t>
  </si>
  <si>
    <t>VEDAÇÃO EM ALVENARIA DE BLOCO CERAMICO</t>
  </si>
  <si>
    <t>BILHETERIA SECUNDARIA</t>
  </si>
  <si>
    <t xml:space="preserve">FUNDAÇÃO </t>
  </si>
  <si>
    <t xml:space="preserve">SAPATAS </t>
  </si>
  <si>
    <t xml:space="preserve">Considerado sempre as dimensões reais do bloco + as aberturas para montagem de forma (folgas) e folga para o lastro de 5cm </t>
  </si>
  <si>
    <t>Bloco</t>
  </si>
  <si>
    <t>PILAR  (TOCO 0,6 + PILAR 2,8)</t>
  </si>
  <si>
    <t>ALVENARIA DE VEDAÇÃO E REVESTIMENTOS</t>
  </si>
  <si>
    <t>ALVENARIA DE VEDAÇÃO + ALVENARIA PLATIBANDA</t>
  </si>
  <si>
    <t>2 UNIDADES DE JANELA DE 1,0 M X 1,0 M</t>
  </si>
  <si>
    <t>PISO</t>
  </si>
  <si>
    <t>73859/2</t>
  </si>
  <si>
    <t>COBERTURA</t>
  </si>
  <si>
    <t>BANHEIRO PUBLICO 01</t>
  </si>
  <si>
    <t>SERVIÇOS PRELIMINARES</t>
  </si>
  <si>
    <t>ALVENARIA VERMELHA DETALHADA EM PLANTA</t>
  </si>
  <si>
    <t>PISO EXISTENTE DE SANITARIO</t>
  </si>
  <si>
    <t>PRÓPRIA</t>
  </si>
  <si>
    <t>FECHAMENTO DE PORTA EXITENTE</t>
  </si>
  <si>
    <t>PILAR TIPO 01 (TOCO 0,6 + PILAR 2,7)</t>
  </si>
  <si>
    <t>TOCO PLATIBANDA DE 1,2 M NA PAREDE QUE ENTRA EM CONTATO COM O MURO</t>
  </si>
  <si>
    <t>ALVENARIA DE VEDAÇÃO (SEM DESCONTAR VÃO DE GRADIL) + ALVENARIA PLATIBANDA</t>
  </si>
  <si>
    <t>AREA EXTERNA</t>
  </si>
  <si>
    <t>EXTERNO E PLATIBANDA (DOIS LADOS)</t>
  </si>
  <si>
    <t xml:space="preserve">AREA INTERNA </t>
  </si>
  <si>
    <t>2 M DE ALTURA</t>
  </si>
  <si>
    <t>AREA INTERNA</t>
  </si>
  <si>
    <t>1,2 M DE ALTURA</t>
  </si>
  <si>
    <r>
      <rPr>
        <sz val="10"/>
        <color rgb="FFFF0000"/>
        <rFont val="Arial"/>
        <family val="2"/>
      </rPr>
      <t>2 X PORTAS DE  0,8 X 2,1</t>
    </r>
    <r>
      <rPr>
        <sz val="10"/>
        <rFont val="Arial"/>
        <family val="2"/>
      </rPr>
      <t xml:space="preserve">; </t>
    </r>
    <r>
      <rPr>
        <sz val="10"/>
        <color theme="6" tint="-0.499984740745262"/>
        <rFont val="Arial"/>
        <family val="2"/>
      </rPr>
      <t>1 X PORTA DE 0,9 X 2,1</t>
    </r>
    <r>
      <rPr>
        <sz val="10"/>
        <rFont val="Arial"/>
        <family val="2"/>
      </rPr>
      <t>; 6 X PORTAS DE 0,6 X 1,8.</t>
    </r>
  </si>
  <si>
    <t>PISO DE SANITARIO A SER CONSTRUIDO</t>
  </si>
  <si>
    <t>TODO PERIMETRO INTERNO</t>
  </si>
  <si>
    <t>CP-HID-05</t>
  </si>
  <si>
    <t>PCD</t>
  </si>
  <si>
    <t xml:space="preserve">2 X BANCADA DE 2,0 X 0,6 M </t>
  </si>
  <si>
    <t>3 EM CADA BANCADA DE MARMORE</t>
  </si>
  <si>
    <t>SANITARIO MASC</t>
  </si>
  <si>
    <t>74234/1</t>
  </si>
  <si>
    <t>AREA DE GRADIL DETALHADA EM PROJETO</t>
  </si>
  <si>
    <t>DIVISORIAS DE SANITARIOS H=2,1 M       DIVISORIAS DE MICTORIOS H=0,8 M</t>
  </si>
  <si>
    <t>RAMPA</t>
  </si>
  <si>
    <t>73994/1</t>
  </si>
  <si>
    <t>KG</t>
  </si>
  <si>
    <t>BASE + LATERAL</t>
  </si>
  <si>
    <t>RESTAURAÇÃO CANTINA E ACESSO</t>
  </si>
  <si>
    <t>REVESTIMENTOS E PINTURA</t>
  </si>
  <si>
    <t>COBERTURA DE CANTINA E BANHEIRO PUBLICO 01</t>
  </si>
  <si>
    <t>CANTINA E SANITARIOS</t>
  </si>
  <si>
    <t xml:space="preserve">PISO </t>
  </si>
  <si>
    <t>LOUÇAS</t>
  </si>
  <si>
    <t>BANHEIRO PUBLICO 02</t>
  </si>
  <si>
    <t>PILAR  (TOCO 0,6 + PILAR 2,7)</t>
  </si>
  <si>
    <r>
      <rPr>
        <sz val="10"/>
        <color rgb="FFFF0000"/>
        <rFont val="Arial"/>
        <family val="2"/>
      </rPr>
      <t>1 X PORTA DE  0,8 X 2,1</t>
    </r>
    <r>
      <rPr>
        <sz val="10"/>
        <rFont val="Arial"/>
        <family val="2"/>
      </rPr>
      <t xml:space="preserve">; </t>
    </r>
    <r>
      <rPr>
        <sz val="10"/>
        <color theme="6" tint="-0.499984740745262"/>
        <rFont val="Arial"/>
        <family val="2"/>
      </rPr>
      <t>1 X PORTA DE 0,9 X 2,1</t>
    </r>
    <r>
      <rPr>
        <sz val="10"/>
        <rFont val="Arial"/>
        <family val="2"/>
      </rPr>
      <t>; 4 X PORTAS DE 0,6 X 1,8.</t>
    </r>
  </si>
  <si>
    <t xml:space="preserve">1 X BANCADA DE 2,0 X 0,6 M </t>
  </si>
  <si>
    <t>3 NA BANCADA DE MARMORE</t>
  </si>
  <si>
    <t>CP-HID-04</t>
  </si>
  <si>
    <t xml:space="preserve">DIVISORIAS DE SANITARIOS H=2,1 M       </t>
  </si>
  <si>
    <t>2 MODULOS DE ARQUIBANCADAS DE 35 M</t>
  </si>
  <si>
    <t>TODAS AS ESTACAS DOS DOIS MODULOS</t>
  </si>
  <si>
    <t>FILEIRA 01</t>
  </si>
  <si>
    <t>FILEIRA 02</t>
  </si>
  <si>
    <t>FILEIRA 03</t>
  </si>
  <si>
    <t>Nº MODULOS</t>
  </si>
  <si>
    <t>MODULOS</t>
  </si>
  <si>
    <t xml:space="preserve">PILAR DE 0,37 CM DE ALTURA  </t>
  </si>
  <si>
    <t xml:space="preserve">PILAR DE 1,27 CM DE ALTURA  </t>
  </si>
  <si>
    <t xml:space="preserve">PILAR DE 1,72 CM DE ALTURA  </t>
  </si>
  <si>
    <t>ALVENARIA DE VEDAÇÃO, REVESTIMENTOS E PINTURA</t>
  </si>
  <si>
    <t>ALVENARIA NOS DOIS MODULOS</t>
  </si>
  <si>
    <t>TODA ALVENARIA</t>
  </si>
  <si>
    <t>TODA AREA INTERNA EM CONTATO COM O SOLO</t>
  </si>
  <si>
    <t>AREA EXTERNA DA ARQUIBANCADA</t>
  </si>
  <si>
    <t xml:space="preserve">ATERRO </t>
  </si>
  <si>
    <t>AREA</t>
  </si>
  <si>
    <t>COMPRIMENTO</t>
  </si>
  <si>
    <t>ARQUIBANCADAS</t>
  </si>
  <si>
    <t>LAJE PARA ASSENTO</t>
  </si>
  <si>
    <t xml:space="preserve">PISO DE CONCRETO NO ENTORNO DE ARQIBANCADA </t>
  </si>
  <si>
    <t>INSTALAÇÕES HIDROSANITARIAS</t>
  </si>
  <si>
    <t>INSTALAÇÕES SANITARIAS</t>
  </si>
  <si>
    <t>TUBULAÇÕES</t>
  </si>
  <si>
    <t>40 mm</t>
  </si>
  <si>
    <t>50 mm</t>
  </si>
  <si>
    <t>100 mm</t>
  </si>
  <si>
    <t>CAIXA DE INSPEÇÃO</t>
  </si>
  <si>
    <t>PROPRIA</t>
  </si>
  <si>
    <t>un</t>
  </si>
  <si>
    <t>JOELHO DE 45º</t>
  </si>
  <si>
    <t>JOELHO DE 90°</t>
  </si>
  <si>
    <t>JUNÇÃO SIMPLES</t>
  </si>
  <si>
    <t>100 mm - 50 mm</t>
  </si>
  <si>
    <t>CP-SAN-02</t>
  </si>
  <si>
    <t>100 mm- 100 mm</t>
  </si>
  <si>
    <t>TÊ SANITARIO</t>
  </si>
  <si>
    <t>40 mm -40 mm</t>
  </si>
  <si>
    <t>CP-SAN-03</t>
  </si>
  <si>
    <t>RALO</t>
  </si>
  <si>
    <t>CAIXA SIFONADA</t>
  </si>
  <si>
    <t>LIGAÇÃO NA REDE DE ESGOTO</t>
  </si>
  <si>
    <t>INSTALAÇÕES HIDRÁULICAS</t>
  </si>
  <si>
    <t>INSTALAÇÕES ELÉTRICAS</t>
  </si>
  <si>
    <t>CP-ELE-01</t>
  </si>
  <si>
    <t>und</t>
  </si>
  <si>
    <t>Caixa PVC</t>
  </si>
  <si>
    <t>Caixa PVC octogonal</t>
  </si>
  <si>
    <t>Curva 90º PVC longa rosca</t>
  </si>
  <si>
    <t>Luva PVC rosca</t>
  </si>
  <si>
    <t>Luva aço galvan. leve</t>
  </si>
  <si>
    <t>Elétrica - Cabo Unipolar (cobre)</t>
  </si>
  <si>
    <t>Isol.HEPR - ench.EVA - 0,6/1kV (ref. Pirelli Afumex)</t>
  </si>
  <si>
    <t>Isol.PVC - 450/750V (ref. Inbrac Inbranil Antichama)</t>
  </si>
  <si>
    <t>Elétrica - Caixa de passagem - embutir</t>
  </si>
  <si>
    <t>Alvenaria maciça</t>
  </si>
  <si>
    <t>Elétrica - Dispositivo Elétrico - embutido</t>
  </si>
  <si>
    <t>Placa 2"x4" - ventilador teto</t>
  </si>
  <si>
    <t>CP-ELE-02</t>
  </si>
  <si>
    <t>Elétrica - Dispositivo Elétrico - sobrepor</t>
  </si>
  <si>
    <t>Tomada de sobrepor</t>
  </si>
  <si>
    <t>CP-ELE-03</t>
  </si>
  <si>
    <t>Ventilador de teto</t>
  </si>
  <si>
    <t>CP-ELE-04</t>
  </si>
  <si>
    <t>Elétrica - Dispositivo de Proteção</t>
  </si>
  <si>
    <t>Disjuntor Unipolar Termomagnético - norma DIN</t>
  </si>
  <si>
    <t>74130/6</t>
  </si>
  <si>
    <t>74130/5</t>
  </si>
  <si>
    <t>Dispositivo de proteção contra surto</t>
  </si>
  <si>
    <t>CP-ELE-05</t>
  </si>
  <si>
    <t>Elétrica - Eletroduto PVC flexível</t>
  </si>
  <si>
    <t>Eletroduto leve</t>
  </si>
  <si>
    <t>Eletroduto pesado</t>
  </si>
  <si>
    <t>Elétrica - Luminária e acessórios</t>
  </si>
  <si>
    <t>Luminára embutir p/ compacta</t>
  </si>
  <si>
    <t>Luminária sobrepor p/ incandescente</t>
  </si>
  <si>
    <t>CP-ELE-07</t>
  </si>
  <si>
    <t>Projetor p/ alta pressão</t>
  </si>
  <si>
    <t>CP-ELE-06</t>
  </si>
  <si>
    <t>Plafonier</t>
  </si>
  <si>
    <t>Elétrica - Lâmpada fluorescente</t>
  </si>
  <si>
    <t>Compacta reator integrado</t>
  </si>
  <si>
    <t>Compacta reator não integrado - simples</t>
  </si>
  <si>
    <t>Elétrica - Quadro distrib. chapa pintada - embutir</t>
  </si>
  <si>
    <t>Barr. trif., disj. geral - DIN (Ref. Moratori)</t>
  </si>
  <si>
    <t>74131/5</t>
  </si>
  <si>
    <t>74131/6</t>
  </si>
  <si>
    <t>Sem barr. - DIN (Ref. Cemar)</t>
  </si>
  <si>
    <t>DEMAIS SERVIÇOS</t>
  </si>
  <si>
    <t>POSTE E ESTRUTURA</t>
  </si>
  <si>
    <t>73783/11</t>
  </si>
  <si>
    <t>CP-ELE-08</t>
  </si>
  <si>
    <t>SERVIÇOS DIVERSOS</t>
  </si>
  <si>
    <t xml:space="preserve">PLACA DE INAUGURAÇÃO </t>
  </si>
  <si>
    <t xml:space="preserve">LIMPEZA DE OBRA </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</si>
  <si>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</si>
  <si>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</si>
  <si>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</si>
  <si>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</si>
  <si>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</si>
  <si>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</si>
  <si>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</si>
  <si>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</si>
  <si>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</si>
  <si>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</si>
  <si>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</si>
  <si>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</si>
  <si>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</si>
  <si>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</si>
  <si>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</si>
  <si>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</si>
  <si>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</si>
  <si>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</si>
  <si>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</si>
  <si>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</si>
  <si>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</si>
  <si>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</si>
  <si>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</si>
  <si>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</si>
  <si>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</si>
  <si>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</si>
  <si>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</si>
  <si>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</si>
  <si>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</si>
  <si>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</si>
  <si>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</si>
  <si>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</si>
  <si>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</si>
  <si>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</si>
  <si>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</si>
  <si>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</si>
  <si>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</si>
  <si>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</si>
  <si>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</si>
  <si>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</si>
  <si>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</si>
  <si>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</si>
  <si>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</si>
  <si>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</si>
  <si>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</si>
  <si>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</si>
  <si>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</si>
  <si>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</si>
  <si>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</si>
  <si>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</si>
  <si>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</si>
  <si>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</si>
  <si>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</si>
  <si>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</si>
  <si>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</si>
  <si>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</si>
  <si>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</si>
  <si>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</si>
  <si>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</si>
  <si>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</si>
  <si>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</si>
  <si>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</si>
  <si>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</si>
  <si>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</si>
  <si>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</si>
  <si>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</si>
  <si>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</si>
  <si>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</si>
  <si>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</si>
  <si>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</si>
  <si>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</si>
  <si>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</si>
  <si>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</si>
  <si>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</si>
  <si>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</si>
  <si>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</si>
  <si>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</si>
  <si>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</si>
  <si>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</si>
  <si>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</si>
  <si>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</si>
  <si>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UN</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</si>
  <si>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</si>
  <si>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</si>
  <si>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</si>
  <si>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</si>
  <si>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</si>
  <si>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</si>
  <si>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</si>
  <si>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</si>
  <si>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</si>
  <si>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</si>
  <si>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</si>
  <si>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</si>
  <si>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</si>
  <si>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</si>
  <si>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</si>
  <si>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</si>
  <si>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</si>
  <si>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</si>
  <si>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</si>
  <si>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</si>
  <si>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</si>
  <si>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</si>
  <si>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</si>
  <si>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</si>
  <si>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</si>
  <si>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</si>
  <si>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</si>
  <si>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</si>
  <si>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</si>
  <si>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</si>
  <si>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</si>
  <si>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</si>
  <si>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</si>
  <si>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</si>
  <si>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</si>
  <si>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</si>
  <si>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</si>
  <si>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</si>
  <si>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</si>
  <si>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</si>
  <si>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</si>
  <si>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</si>
  <si>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</si>
  <si>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</si>
  <si>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</si>
  <si>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</si>
  <si>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</si>
  <si>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</si>
  <si>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</si>
  <si>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</si>
  <si>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</si>
  <si>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</si>
  <si>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</si>
  <si>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</si>
  <si>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</si>
  <si>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</si>
  <si>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</si>
  <si>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</si>
  <si>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</si>
  <si>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</si>
  <si>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</si>
  <si>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</si>
  <si>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</si>
  <si>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</si>
  <si>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</si>
  <si>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</si>
  <si>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</si>
  <si>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</si>
  <si>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</si>
  <si>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</si>
  <si>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</si>
  <si>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</si>
  <si>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</si>
  <si>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</si>
  <si>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</si>
  <si>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</si>
  <si>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</si>
  <si>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</si>
  <si>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</si>
  <si>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</si>
  <si>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</si>
  <si>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</si>
  <si>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</si>
  <si>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</si>
  <si>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</si>
  <si>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</si>
  <si>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</si>
  <si>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</si>
  <si>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</si>
  <si>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</si>
  <si>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</si>
  <si>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</si>
  <si>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</si>
  <si>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</si>
  <si>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</si>
  <si>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</si>
  <si>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</si>
  <si>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</si>
  <si>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</si>
  <si>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</si>
  <si>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</si>
  <si>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</si>
  <si>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</si>
  <si>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</si>
  <si>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</si>
  <si>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</si>
  <si>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</si>
  <si>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</si>
  <si>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</si>
  <si>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</si>
  <si>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</si>
  <si>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</si>
  <si>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</si>
  <si>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</si>
  <si>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</si>
  <si>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</si>
  <si>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</si>
  <si>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</si>
  <si>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</si>
  <si>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</si>
  <si>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</si>
  <si>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</si>
  <si>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</si>
  <si>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</si>
  <si>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</si>
  <si>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</si>
  <si>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</si>
  <si>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</si>
  <si>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</si>
  <si>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</si>
  <si>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</si>
  <si>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</si>
  <si>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</si>
  <si>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</si>
  <si>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</si>
  <si>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</si>
  <si>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</si>
  <si>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</si>
  <si>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</si>
  <si>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</si>
  <si>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</si>
  <si>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</si>
  <si>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TAMPAO DE FERRO FUNDIDO 900 MM</t>
  </si>
  <si>
    <t>ASSENTAMENTO DE TAMPAO DE FERRO FUNDIDO 600 MM</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</si>
  <si>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</si>
  <si>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</si>
  <si>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</si>
  <si>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</si>
  <si>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</si>
  <si>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</si>
  <si>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</si>
  <si>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</si>
  <si>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</si>
  <si>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</si>
  <si>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</si>
  <si>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</si>
  <si>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</si>
  <si>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</si>
  <si>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</si>
  <si>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</si>
  <si>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</si>
  <si>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</si>
  <si>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</si>
  <si>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</si>
  <si>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</si>
  <si>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TE PVC PARA COLETOR ESGOTO, EB644, D=100MM, COM JUNTA ELASTICA.</t>
  </si>
  <si>
    <t>CURVA PARA REDE COLETOR ESGOTO, EB 644, 90GR, DN=200MM, COM JUNTA ELASTICA</t>
  </si>
  <si>
    <t>CURVA PVC PARA REDE COLETOR ESGOTO, EB-644, 45 GR, 200 MM, COM JUNTA ELASTICA.</t>
  </si>
  <si>
    <t>73884/1</t>
  </si>
  <si>
    <t>INSTALAÇÃO DE VÁLVULAS OU REGISTROS COM JUNTA FLANGEADA - DN 50</t>
  </si>
  <si>
    <t>73884/2</t>
  </si>
  <si>
    <t>INSTALAÇÃO DE VÁLVULAS OU REGISTROS COM JUNTA FLANGEADA - DN 75</t>
  </si>
  <si>
    <t>73884/3</t>
  </si>
  <si>
    <t>INSTALAÇÃO DE VÁLVULAS OU REGISTROS COM JUNTA FLANGEADA - DN 100</t>
  </si>
  <si>
    <t>73884/4</t>
  </si>
  <si>
    <t>INSTALAÇÃO DE VÁLVULAS OU REGISTROS COM JUNTA FLANGEADA - DN 150</t>
  </si>
  <si>
    <t>73884/5</t>
  </si>
  <si>
    <t>INSTALAÇÃO DE VÁLVULAS OU REGISTROS COM JUNTA FLANGEADA - DN 200</t>
  </si>
  <si>
    <t>73884/6</t>
  </si>
  <si>
    <t>INSTALAÇÃO DE VÁLVULAS OU REGISTROS COM JUNTA FLANGEADA - DN 250</t>
  </si>
  <si>
    <t>73884/7</t>
  </si>
  <si>
    <t>INSTALAÇÃO DE VÁLVULAS OU REGISTROS COM JUNTA FLANGEADA - DN 300</t>
  </si>
  <si>
    <t>73884/8</t>
  </si>
  <si>
    <t>INSTALAÇÃO DE VÁLVULAS OU REGISTROS COM JUNTA FLANGEADA - DN 350</t>
  </si>
  <si>
    <t>73884/9</t>
  </si>
  <si>
    <t>INSTALAÇÃO DE VÁLVULAS OU REGISTROS COM JUNTA FLANGEADA - DN 400</t>
  </si>
  <si>
    <t>73884/10</t>
  </si>
  <si>
    <t>INSTALAÇÃO DE VÁLVULAS OU REGISTROS COM JUNTA FLANGEADA - DN 450</t>
  </si>
  <si>
    <t>73884/11</t>
  </si>
  <si>
    <t>INSTALAÇÃO DE VÁLVULAS OU REGISTROS COM JUNTA FLANGEADA - DN 500</t>
  </si>
  <si>
    <t>73884/12</t>
  </si>
  <si>
    <t>INSTALAÇÃO DE VÁLVULAS OU REGISTROS COM JUNTA FLANGEADA - DN 600</t>
  </si>
  <si>
    <t>73884/13</t>
  </si>
  <si>
    <t>INSTALAÇÃO DE VÁLVULAS OU REGISTROS COM JUNTA FLANGEADA - DN 700</t>
  </si>
  <si>
    <t>73884/14</t>
  </si>
  <si>
    <t>INSTALAÇÃO DE VÁLVULAS OU REGISTROS COM JUNTA FLANGEADA - DN 800</t>
  </si>
  <si>
    <t>73884/15</t>
  </si>
  <si>
    <t>INSTALAÇÃO DE VÁLVULAS OU REGISTROS COM JUNTA FLANGEADA - DN 900</t>
  </si>
  <si>
    <t>73884/16</t>
  </si>
  <si>
    <t>INSTALAÇÃO DE VÁLVULAS OU REGISTROS COM JUNTA FLANGEADA - DN 1000</t>
  </si>
  <si>
    <t>73885/1</t>
  </si>
  <si>
    <t>INSTALAÇÃO DE VÁLVULAS OU REGISTROS COM JUNTA ELÁSTICA - DN 50</t>
  </si>
  <si>
    <t>73885/2</t>
  </si>
  <si>
    <t>INSTALAÇÃO DE VÁLVULAS OU REGISTROS COM JUNTA ELÁSTICA - DN 75</t>
  </si>
  <si>
    <t>73885/3</t>
  </si>
  <si>
    <t>INSTALAÇÃO DE VÁLVULAS OU REGISTROS COM JUNTA ELÁSTICA - DN 100</t>
  </si>
  <si>
    <t>73885/4</t>
  </si>
  <si>
    <t>INSTALAÇÃO DE VÁLVULAS OU REGISTROS COM JUNTA ELÁSTICA - DN 150</t>
  </si>
  <si>
    <t>73885/5</t>
  </si>
  <si>
    <t>INSTALAÇÃO DE VÁLVULAS OU REGISTROS COM JUNTA ELÁSTICA - DN 200</t>
  </si>
  <si>
    <t>73885/6</t>
  </si>
  <si>
    <t>INSTALAÇÃO DE VÁLVULAS OU REGISTROS COM JUNTA ELÁSTICA - DN 250</t>
  </si>
  <si>
    <t>73885/7</t>
  </si>
  <si>
    <t>INSTALAÇÃO DE VÁLVULAS OU REGISTROS COM JUNTA ELÁSTICA - DN 300</t>
  </si>
  <si>
    <t>73885/8</t>
  </si>
  <si>
    <t>INSTALAÇÃO DE VÁLVULAS OU REGISTROS COM JUNTA ELÁSTICA - DN 350</t>
  </si>
  <si>
    <t>73885/9</t>
  </si>
  <si>
    <t>INSTALAÇÃO DE VÁLVULAS OU REGISTROS COM JUNTA ELÁSTICA - DN 400</t>
  </si>
  <si>
    <t>73885/10</t>
  </si>
  <si>
    <t>INSTALAÇÃO DE VÁLVULAS OU REGISTROS COM JUNTA ELÁSTICA - DN 450</t>
  </si>
  <si>
    <t>73885/11</t>
  </si>
  <si>
    <t>INSTALAÇÃO DE VÁLVULAS OU REGISTROS COM JUNTA ELÁSTICA - DN 500</t>
  </si>
  <si>
    <t>73885/12</t>
  </si>
  <si>
    <t>INSTALAÇÃO DE VÁLVULAS OU REGISTROS COM JUNTA ELÁSTICA - DN 600</t>
  </si>
  <si>
    <t>FECHAMENTO DE CONSTRUÇÃO TEMPORÁRIA EM CHAPA DE MADEIRA COMPENSADA E=10MM, COM REAPROVEITAMENTO DE 2X.</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</si>
  <si>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</si>
  <si>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</si>
  <si>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</si>
  <si>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</si>
  <si>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</si>
  <si>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</si>
  <si>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</si>
  <si>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</si>
  <si>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</si>
  <si>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</si>
  <si>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</si>
  <si>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</si>
  <si>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</si>
  <si>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</si>
  <si>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</si>
  <si>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</si>
  <si>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</si>
  <si>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</si>
  <si>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</si>
  <si>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</si>
  <si>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</si>
  <si>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</si>
  <si>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</si>
  <si>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</si>
  <si>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</si>
  <si>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</si>
  <si>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</si>
  <si>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</si>
  <si>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</si>
  <si>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</si>
  <si>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</si>
  <si>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</si>
  <si>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</si>
  <si>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</si>
  <si>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</si>
  <si>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PLACA DE OBRA EM CHAPA DE ACO GALVANIZADO</t>
  </si>
  <si>
    <t>ALUGUEL CONTAINER/ESCRIT INCL INST ELET LARG=2,20 COMP=6,20M          ALT=2,50M CHAPA ACO C/NERV TRAPEZ FORRO C/ISOL TERMO/ACUSTICO         CHASSIS REFORC PISO COMPENS NAVAL EXC TRANSP/CARGA/DESCARGA</t>
  </si>
  <si>
    <t>MES</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</si>
  <si>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</si>
  <si>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</si>
  <si>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</si>
  <si>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</si>
  <si>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</si>
  <si>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</si>
  <si>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</si>
  <si>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</si>
  <si>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</si>
  <si>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</si>
  <si>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</si>
  <si>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</si>
  <si>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</si>
  <si>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</si>
  <si>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</si>
  <si>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</si>
  <si>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</si>
  <si>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</si>
  <si>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</si>
  <si>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</si>
  <si>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</si>
  <si>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</si>
  <si>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</si>
  <si>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</si>
  <si>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</si>
  <si>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</si>
  <si>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</si>
  <si>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</si>
  <si>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</si>
  <si>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</si>
  <si>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</si>
  <si>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</si>
  <si>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</si>
  <si>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</si>
  <si>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</si>
  <si>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</si>
  <si>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</si>
  <si>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</si>
  <si>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</si>
  <si>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</si>
  <si>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</si>
  <si>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</si>
  <si>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</si>
  <si>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</si>
  <si>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</si>
  <si>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</si>
  <si>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</si>
  <si>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</si>
  <si>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</si>
  <si>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</si>
  <si>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</si>
  <si>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</si>
  <si>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</si>
  <si>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</si>
  <si>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</si>
  <si>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</si>
  <si>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</si>
  <si>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</si>
  <si>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</si>
  <si>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</si>
  <si>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</si>
  <si>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</si>
  <si>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</si>
  <si>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</si>
  <si>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</si>
  <si>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</si>
  <si>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</si>
  <si>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</si>
  <si>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</si>
  <si>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</si>
  <si>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</si>
  <si>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</si>
  <si>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</si>
  <si>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</si>
  <si>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</si>
  <si>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</si>
  <si>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</si>
  <si>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</si>
  <si>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</si>
  <si>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</si>
  <si>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</si>
  <si>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</si>
  <si>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</si>
  <si>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</si>
  <si>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</si>
  <si>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</si>
  <si>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</si>
  <si>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</si>
  <si>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</si>
  <si>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</si>
  <si>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</si>
  <si>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</si>
  <si>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</si>
  <si>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</si>
  <si>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</si>
  <si>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</si>
  <si>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</si>
  <si>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</si>
  <si>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</si>
  <si>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</si>
  <si>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</si>
  <si>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</si>
  <si>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</si>
  <si>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</si>
  <si>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</si>
  <si>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</si>
  <si>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</si>
  <si>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</si>
  <si>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</si>
  <si>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</si>
  <si>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</si>
  <si>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</si>
  <si>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</si>
  <si>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</si>
  <si>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</si>
  <si>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</si>
  <si>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</si>
  <si>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</si>
  <si>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</si>
  <si>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</si>
  <si>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</si>
  <si>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</si>
  <si>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</si>
  <si>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</si>
  <si>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</si>
  <si>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</si>
  <si>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</si>
  <si>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</si>
  <si>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</si>
  <si>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</si>
  <si>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</si>
  <si>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</si>
  <si>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</si>
  <si>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</si>
  <si>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</si>
  <si>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</si>
  <si>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</si>
  <si>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</si>
  <si>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</si>
  <si>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</si>
  <si>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</si>
  <si>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</si>
  <si>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</si>
  <si>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</si>
  <si>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</si>
  <si>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</si>
  <si>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</si>
  <si>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</si>
  <si>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</si>
  <si>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</si>
  <si>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</si>
  <si>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</si>
  <si>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</si>
  <si>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</si>
  <si>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</si>
  <si>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</si>
  <si>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</si>
  <si>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</si>
  <si>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</si>
  <si>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</si>
  <si>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</si>
  <si>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</si>
  <si>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</si>
  <si>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</si>
  <si>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</si>
  <si>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</si>
  <si>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</si>
  <si>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</si>
  <si>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</si>
  <si>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</si>
  <si>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</si>
  <si>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</si>
  <si>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</si>
  <si>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</si>
  <si>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</si>
  <si>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</si>
  <si>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</si>
  <si>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</si>
  <si>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</si>
  <si>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</si>
  <si>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</si>
  <si>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</si>
  <si>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</si>
  <si>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</si>
  <si>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</si>
  <si>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</si>
  <si>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</si>
  <si>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</si>
  <si>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</si>
  <si>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</si>
  <si>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</si>
  <si>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</si>
  <si>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</si>
  <si>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</si>
  <si>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</si>
  <si>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</si>
  <si>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</si>
  <si>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</si>
  <si>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</si>
  <si>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</si>
  <si>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</si>
  <si>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</si>
  <si>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</si>
  <si>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</si>
  <si>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</si>
  <si>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</si>
  <si>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</si>
  <si>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</si>
  <si>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</si>
  <si>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</si>
  <si>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</si>
  <si>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</si>
  <si>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</si>
  <si>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</si>
  <si>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</si>
  <si>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</si>
  <si>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</si>
  <si>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</si>
  <si>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</si>
  <si>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</si>
  <si>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</si>
  <si>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</si>
  <si>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</si>
  <si>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</si>
  <si>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</si>
  <si>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</si>
  <si>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</si>
  <si>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</si>
  <si>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</si>
  <si>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</si>
  <si>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</si>
  <si>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</si>
  <si>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</si>
  <si>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</si>
  <si>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</si>
  <si>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</si>
  <si>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</si>
  <si>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</si>
  <si>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</si>
  <si>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</si>
  <si>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</si>
  <si>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</si>
  <si>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</si>
  <si>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</si>
  <si>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</si>
  <si>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</si>
  <si>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</si>
  <si>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</si>
  <si>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</si>
  <si>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</si>
  <si>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</si>
  <si>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</si>
  <si>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</si>
  <si>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</si>
  <si>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</si>
  <si>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</si>
  <si>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</si>
  <si>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</si>
  <si>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</si>
  <si>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</si>
  <si>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</si>
  <si>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</si>
  <si>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</si>
  <si>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</si>
  <si>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</si>
  <si>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</si>
  <si>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</si>
  <si>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</si>
  <si>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</si>
  <si>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</si>
  <si>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</si>
  <si>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</si>
  <si>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</si>
  <si>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</si>
  <si>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</si>
  <si>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</si>
  <si>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</si>
  <si>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</si>
  <si>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</si>
  <si>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</si>
  <si>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</si>
  <si>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</si>
  <si>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</si>
  <si>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</si>
  <si>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</si>
  <si>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</si>
  <si>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</si>
  <si>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</si>
  <si>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</si>
  <si>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</si>
  <si>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</si>
  <si>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</si>
  <si>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</si>
  <si>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</si>
  <si>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</si>
  <si>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</si>
  <si>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</si>
  <si>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</si>
  <si>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</si>
  <si>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</si>
  <si>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</si>
  <si>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</si>
  <si>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</si>
  <si>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</si>
  <si>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</si>
  <si>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</si>
  <si>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</si>
  <si>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</si>
  <si>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</si>
  <si>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</si>
  <si>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</si>
  <si>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</si>
  <si>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</si>
  <si>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</si>
  <si>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</si>
  <si>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</si>
  <si>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</si>
  <si>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</si>
  <si>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</si>
  <si>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</si>
  <si>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</si>
  <si>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</si>
  <si>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</si>
  <si>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</si>
  <si>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</si>
  <si>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</si>
  <si>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</si>
  <si>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</si>
  <si>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</si>
  <si>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</si>
  <si>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</si>
  <si>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</si>
  <si>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</si>
  <si>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</si>
  <si>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</si>
  <si>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</si>
  <si>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</si>
  <si>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</si>
  <si>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</si>
  <si>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</si>
  <si>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</si>
  <si>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</si>
  <si>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</si>
  <si>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</si>
  <si>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</si>
  <si>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</si>
  <si>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</si>
  <si>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</si>
  <si>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</si>
  <si>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</si>
  <si>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</si>
  <si>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</si>
  <si>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</si>
  <si>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</si>
  <si>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</si>
  <si>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</si>
  <si>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</si>
  <si>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</si>
  <si>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</si>
  <si>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</si>
  <si>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</si>
  <si>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</si>
  <si>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</si>
  <si>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</si>
  <si>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</si>
  <si>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</si>
  <si>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</si>
  <si>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</si>
  <si>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</si>
  <si>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</si>
  <si>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</si>
  <si>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</si>
  <si>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</si>
  <si>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</si>
  <si>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</si>
  <si>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</si>
  <si>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</si>
  <si>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</si>
  <si>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</si>
  <si>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</si>
  <si>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</si>
  <si>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</si>
  <si>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</si>
  <si>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</si>
  <si>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</si>
  <si>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</si>
  <si>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</si>
  <si>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</si>
  <si>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</si>
  <si>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</si>
  <si>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</si>
  <si>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</si>
  <si>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</si>
  <si>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</si>
  <si>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</si>
  <si>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</si>
  <si>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</si>
  <si>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</si>
  <si>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</si>
  <si>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</si>
  <si>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</si>
  <si>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</si>
  <si>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</si>
  <si>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</si>
  <si>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</si>
  <si>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</si>
  <si>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</si>
  <si>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</si>
  <si>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</si>
  <si>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</si>
  <si>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</si>
  <si>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</si>
  <si>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</si>
  <si>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</si>
  <si>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</si>
  <si>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</si>
  <si>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</si>
  <si>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</si>
  <si>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</si>
  <si>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</si>
  <si>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</si>
  <si>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</si>
  <si>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</si>
  <si>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</si>
  <si>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</si>
  <si>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</si>
  <si>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</si>
  <si>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</si>
  <si>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</si>
  <si>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</si>
  <si>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</si>
  <si>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</si>
  <si>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</si>
  <si>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</si>
  <si>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</si>
  <si>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</si>
  <si>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</si>
  <si>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</si>
  <si>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</si>
  <si>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</si>
  <si>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</si>
  <si>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</si>
  <si>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</si>
  <si>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</si>
  <si>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</si>
  <si>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</si>
  <si>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</si>
  <si>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</si>
  <si>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</si>
  <si>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</si>
  <si>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</si>
  <si>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</si>
  <si>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</si>
  <si>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</si>
  <si>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</si>
  <si>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</si>
  <si>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</si>
  <si>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</si>
  <si>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</si>
  <si>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</si>
  <si>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</si>
  <si>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</si>
  <si>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</si>
  <si>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</si>
  <si>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</si>
  <si>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</si>
  <si>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</si>
  <si>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</si>
  <si>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</si>
  <si>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</si>
  <si>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</si>
  <si>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</si>
  <si>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</si>
  <si>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</si>
  <si>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</si>
  <si>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</si>
  <si>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</si>
  <si>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</si>
  <si>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</si>
  <si>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</si>
  <si>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</si>
  <si>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</si>
  <si>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</si>
  <si>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</si>
  <si>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</si>
  <si>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</si>
  <si>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</si>
  <si>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</si>
  <si>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</si>
  <si>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</si>
  <si>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</si>
  <si>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</si>
  <si>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</si>
  <si>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</si>
  <si>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</si>
  <si>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</si>
  <si>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</si>
  <si>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</si>
  <si>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</si>
  <si>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</si>
  <si>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</si>
  <si>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</si>
  <si>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</si>
  <si>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</si>
  <si>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</si>
  <si>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</si>
  <si>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</si>
  <si>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</si>
  <si>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</si>
  <si>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</si>
  <si>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</si>
  <si>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</si>
  <si>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</si>
  <si>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</si>
  <si>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</si>
  <si>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</si>
  <si>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</si>
  <si>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</si>
  <si>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</si>
  <si>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</si>
  <si>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</si>
  <si>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</si>
  <si>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</si>
  <si>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</si>
  <si>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</si>
  <si>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</si>
  <si>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</si>
  <si>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</si>
  <si>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</si>
  <si>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</si>
  <si>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</si>
  <si>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</si>
  <si>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</si>
  <si>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</si>
  <si>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</si>
  <si>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</si>
  <si>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</si>
  <si>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</si>
  <si>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</si>
  <si>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</si>
  <si>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</si>
  <si>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</si>
  <si>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</si>
  <si>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</si>
  <si>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</si>
  <si>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</si>
  <si>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</si>
  <si>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</si>
  <si>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</si>
  <si>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</si>
  <si>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</si>
  <si>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</si>
  <si>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</si>
  <si>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</si>
  <si>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</si>
  <si>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</si>
  <si>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</si>
  <si>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</si>
  <si>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</si>
  <si>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</si>
  <si>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</si>
  <si>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</si>
  <si>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</si>
  <si>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</si>
  <si>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</si>
  <si>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</si>
  <si>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</si>
  <si>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</si>
  <si>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</si>
  <si>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</si>
  <si>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</si>
  <si>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</si>
  <si>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</si>
  <si>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</si>
  <si>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</si>
  <si>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</si>
  <si>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</si>
  <si>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</si>
  <si>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</si>
  <si>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</si>
  <si>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</si>
  <si>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</si>
  <si>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</si>
  <si>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</si>
  <si>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</si>
  <si>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</si>
  <si>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</si>
  <si>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</si>
  <si>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</si>
  <si>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</si>
  <si>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</si>
  <si>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</si>
  <si>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</si>
  <si>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</si>
  <si>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</si>
  <si>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</si>
  <si>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</si>
  <si>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</si>
  <si>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</si>
  <si>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</si>
  <si>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</si>
  <si>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</si>
  <si>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</si>
  <si>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</si>
  <si>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</si>
  <si>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</si>
  <si>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</si>
  <si>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</si>
  <si>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</si>
  <si>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</si>
  <si>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</si>
  <si>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</si>
  <si>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</si>
  <si>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</si>
  <si>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</si>
  <si>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</si>
  <si>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</si>
  <si>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</si>
  <si>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</si>
  <si>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</si>
  <si>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</si>
  <si>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</si>
  <si>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</si>
  <si>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</si>
  <si>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</si>
  <si>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</si>
  <si>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</si>
  <si>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</si>
  <si>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</si>
  <si>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</si>
  <si>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</si>
  <si>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</si>
  <si>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</si>
  <si>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</si>
  <si>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</si>
  <si>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</si>
  <si>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</si>
  <si>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</si>
  <si>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</si>
  <si>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</si>
  <si>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</si>
  <si>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</si>
  <si>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</si>
  <si>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</si>
  <si>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</si>
  <si>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</si>
  <si>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</si>
  <si>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</si>
  <si>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</si>
  <si>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</si>
  <si>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</si>
  <si>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</si>
  <si>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</si>
  <si>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</si>
  <si>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</si>
  <si>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</si>
  <si>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</si>
  <si>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</si>
  <si>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</si>
  <si>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</si>
  <si>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</si>
  <si>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</si>
  <si>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</si>
  <si>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</si>
  <si>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</si>
  <si>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</si>
  <si>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</si>
  <si>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</si>
  <si>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</si>
  <si>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</si>
  <si>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</si>
  <si>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</si>
  <si>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</si>
  <si>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</si>
  <si>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</si>
  <si>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</si>
  <si>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</si>
  <si>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</si>
  <si>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</si>
  <si>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</si>
  <si>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</si>
  <si>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</si>
  <si>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</si>
  <si>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</si>
  <si>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</si>
  <si>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</si>
  <si>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</si>
  <si>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</si>
  <si>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</si>
  <si>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</si>
  <si>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</si>
  <si>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</si>
  <si>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</si>
  <si>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</si>
  <si>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</si>
  <si>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</si>
  <si>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</si>
  <si>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</si>
  <si>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</si>
  <si>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</si>
  <si>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</si>
  <si>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</si>
  <si>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</si>
  <si>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</si>
  <si>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</si>
  <si>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</si>
  <si>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</si>
  <si>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</si>
  <si>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</si>
  <si>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</si>
  <si>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</si>
  <si>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</si>
  <si>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</si>
  <si>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</si>
  <si>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</si>
  <si>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</si>
  <si>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</si>
  <si>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</si>
  <si>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</si>
  <si>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</si>
  <si>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</si>
  <si>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</si>
  <si>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</si>
  <si>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</si>
  <si>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</si>
  <si>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</si>
  <si>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</si>
  <si>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</si>
  <si>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</si>
  <si>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</si>
  <si>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</si>
  <si>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</si>
  <si>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</si>
  <si>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</si>
  <si>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</si>
  <si>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</si>
  <si>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</si>
  <si>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</si>
  <si>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</si>
  <si>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</si>
  <si>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</si>
  <si>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</si>
  <si>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</si>
  <si>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</si>
  <si>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</si>
  <si>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</si>
  <si>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</si>
  <si>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</si>
  <si>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</si>
  <si>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</si>
  <si>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</si>
  <si>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</si>
  <si>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</si>
  <si>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</si>
  <si>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</si>
  <si>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</si>
  <si>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</si>
  <si>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</si>
  <si>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</si>
  <si>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</si>
  <si>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</si>
  <si>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</si>
  <si>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</si>
  <si>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</si>
  <si>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</si>
  <si>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</si>
  <si>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</si>
  <si>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</si>
  <si>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</si>
  <si>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</si>
  <si>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</si>
  <si>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</si>
  <si>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</si>
  <si>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</si>
  <si>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</si>
  <si>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</si>
  <si>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</si>
  <si>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</si>
  <si>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</si>
  <si>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</si>
  <si>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</si>
  <si>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</si>
  <si>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</si>
  <si>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</si>
  <si>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</si>
  <si>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</si>
  <si>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</si>
  <si>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</si>
  <si>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</si>
  <si>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</si>
  <si>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</si>
  <si>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</si>
  <si>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</si>
  <si>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</si>
  <si>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</si>
  <si>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</si>
  <si>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</si>
  <si>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</si>
  <si>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</si>
  <si>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</si>
  <si>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</si>
  <si>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</si>
  <si>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</si>
  <si>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</si>
  <si>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</si>
  <si>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</si>
  <si>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</si>
  <si>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</si>
  <si>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</si>
  <si>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</si>
  <si>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</si>
  <si>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</si>
  <si>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</si>
  <si>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</si>
  <si>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</si>
  <si>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</si>
  <si>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</si>
  <si>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</si>
  <si>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</si>
  <si>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</si>
  <si>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</si>
  <si>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</si>
  <si>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</si>
  <si>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</si>
  <si>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</si>
  <si>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</si>
  <si>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</si>
  <si>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</si>
  <si>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</si>
  <si>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</si>
  <si>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</si>
  <si>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</si>
  <si>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</si>
  <si>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</si>
  <si>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</si>
  <si>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</si>
  <si>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</si>
  <si>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</si>
  <si>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</si>
  <si>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</si>
  <si>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</si>
  <si>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</si>
  <si>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</si>
  <si>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</si>
  <si>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</si>
  <si>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</si>
  <si>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</si>
  <si>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</si>
  <si>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</si>
  <si>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</si>
  <si>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</si>
  <si>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</si>
  <si>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</si>
  <si>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</si>
  <si>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</si>
  <si>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</si>
  <si>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</si>
  <si>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</si>
  <si>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</si>
  <si>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</si>
  <si>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</si>
  <si>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</si>
  <si>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</si>
  <si>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</si>
  <si>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</si>
  <si>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</si>
  <si>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</si>
  <si>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</si>
  <si>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IMUNIZACAO DE MADEIRAMENTO PARA COBERTURA UTILIZANDO CUPINICIDA INCOLOR</t>
  </si>
  <si>
    <t>RECOLOCACAO DE RIPAS EM MADEIRAMENTO DE TELHADO, CONSIDERANDO REAPROVEITAMENTO DE MATERIAL</t>
  </si>
  <si>
    <t>RECOLOCACAO DE MADEIRAMENTO DO TELHADO - CAIBROS, CONSIDERANDO REAPROVEITAMENTO DE MATERIAL</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</si>
  <si>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</si>
  <si>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</si>
  <si>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</si>
  <si>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</si>
  <si>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</si>
  <si>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</si>
  <si>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</si>
  <si>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</si>
  <si>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</si>
  <si>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</si>
  <si>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</si>
  <si>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</si>
  <si>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</si>
  <si>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</si>
  <si>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</si>
  <si>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</si>
  <si>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</si>
  <si>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</si>
  <si>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</si>
  <si>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</si>
  <si>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</si>
  <si>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</si>
  <si>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</si>
  <si>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</si>
  <si>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</si>
  <si>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</si>
  <si>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</si>
  <si>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</si>
  <si>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</si>
  <si>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</si>
  <si>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</si>
  <si>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</si>
  <si>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</si>
  <si>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RECOLOCACAO DE TELHAS CERAMICAS TIPO FRANCESA, CONSIDERANDO REAPROVEITAMENTO DE MATERIAL</t>
  </si>
  <si>
    <t>RECOLOCACAO DE TELHAS CERAMICAS TIPO PLAN, CONSIDERANDO REAPROVEITAMENTO DE MATERIAL</t>
  </si>
  <si>
    <t>TELHAMENTO COM TELHA DE CONCRETO DE ENCAIXE, COM ATÉ 2 ÁGUAS, INCLUSO TRANSPORTE VERTICAL.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</si>
  <si>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</si>
  <si>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</si>
  <si>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DE ENCAIXE, TIPO PORTUGUESA, COM MAIS DE 2 ÁGUAS, INCLUSO TRANSPORTE VERTICAL. AF_06/2016</t>
  </si>
  <si>
    <t>TELHAMENTO COM TELHA CERÂMICA CAPA-CANAL, TIPO COLONIAL, COM ATÉ 2 ÁGUAS, INCLUSO TRANSPORTE VERTICAL. AF_06/2016</t>
  </si>
  <si>
    <t>TELHAMENTO COM TELHA CERÂMICA CAPA-CANAL, TIPO COLONIAL, COM MAIS DE 2 ÁGUAS, INCLUSO TRANSPORTE VERTICAL.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</si>
  <si>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</si>
  <si>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</si>
  <si>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</si>
  <si>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AMARRAÇÃO DE TELHAS CERÂMICAS OU DE CONCRETO. AF_06/2016</t>
  </si>
  <si>
    <t>TELHAMENTO COM TELHA CERÂMICA DE ENCAIXE, TIPO FRANCESA, COM ATÉ 2 ÁGUAS, INCLUSO TRANSPORTE VERTICAL. AF_06/2016</t>
  </si>
  <si>
    <t>TELHAMENTO COM TELHA CERÂMICA DE ENCAIXE, TIPO FRANCESA, COM MAIS DE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</si>
  <si>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</si>
  <si>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</si>
  <si>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CERÂMICA CAPA-CANAL, TIPO PLAN,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</si>
  <si>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</si>
  <si>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</si>
  <si>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CERÂMICA CAPA-CANAL, TIPO PAULISTA, COM MAIS DE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</si>
  <si>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</si>
  <si>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</si>
  <si>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ESTRUTURAL DE FIBROCIMENTO E= 6 MM, COM ATÉ 2 ÁGUAS, INCLUSO IÇAMENTO. AF_06/2016</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</si>
  <si>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</si>
  <si>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</si>
  <si>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</si>
  <si>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</si>
  <si>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</si>
  <si>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</si>
  <si>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</si>
  <si>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ESTRUTURA PARA COBERTURA TIPO SHED, EM ALUMINIO ANODIZADO, VAO DE 20M, ESPACAMENTO DAS TESOURAS DE 5M ATE 6,5M</t>
  </si>
  <si>
    <t>73866/8</t>
  </si>
  <si>
    <t>ESTRUTURA PARA COBERTURA TIPO SHED, EM ALUMINIO ANODIZADO, VAO DE 30M, ESPACAMENTO DAS TESOURAS DE 5M ATE 6,5M</t>
  </si>
  <si>
    <t>73866/9</t>
  </si>
  <si>
    <t>ESTRUTURA PARA COBERTURA TIPO SHED, EM ALUMINIO ANODIZADO, VAO DE 40M, ESPACAMENTO DAS TESOURAS DE 5M ATE 6,5M</t>
  </si>
  <si>
    <t>73867/1</t>
  </si>
  <si>
    <t>ESTRUTURA TIPO ESPACIAL EM ALUMINIO ANODIZADO, VAO DE 20M</t>
  </si>
  <si>
    <t>73867/2</t>
  </si>
  <si>
    <t>ESTRUTURA TIPO ESPACIAL EM ALUMINIO ANODIZADO, VAO DE 30M</t>
  </si>
  <si>
    <t>73867/3</t>
  </si>
  <si>
    <t>ESTRUTURA TIPO ESPACIAL EM ALUMINIO ANODIZADO, VAO DE 40M</t>
  </si>
  <si>
    <t>73867/4</t>
  </si>
  <si>
    <t>ESTRUTURA TIPO ESPACIAL EM ALUMINIO ANODIZADO, VAO DE 50M</t>
  </si>
  <si>
    <t>CUMEEIRA EM PERFIL ONDULADO DE ALUMÍNIO</t>
  </si>
  <si>
    <t>TELHAMENTO COM TELHA DE AÇO/ALUMÍNIO E = 0,5 MM, COM ATÉ 2 ÁGUAS, INCLUSO IÇAMENTO. AF_06/2016</t>
  </si>
  <si>
    <t>TELHAMENTO COM TELHA METÁLICA TERMOACÚSTICA E = 30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</si>
  <si>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</si>
  <si>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</si>
  <si>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</si>
  <si>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</si>
  <si>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74045/2</t>
  </si>
  <si>
    <t>CUMEEIRA TIPO SHED PARA TELHA DE FIBROCIMENTO ONDULADA, INCLUSO JUNTAS DE VEDACAO E ACESSORIOS DE FIXACAO</t>
  </si>
  <si>
    <t>CUMEEIRA PARA TELHA DE FIBROCIMENTO ONDULADA E = 6 MM, INCLUSO ACESSÓRIOS DE FIXAÇÃO E IÇAMENTO. AF_06/2016</t>
  </si>
  <si>
    <t>CUMEEIRA PARA TELHA DE FIBROCIMENTO ESTRUTURAL E = 6 MM, INCLUSO ACESSÓRIOS DE FIXAÇÃO E IÇAMENTO. AF_06/2016</t>
  </si>
  <si>
    <t>CALHA DE BEIRAL, SEMICIRCULAR DE PVC, DIAMETRO 125 MM, INCLUINDO CABECEIRAS, EMENDAS, BOCAIS, SUPORTES E VEDAÇÕES, EXCLUINDO CONDUTORES,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</si>
  <si>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</si>
  <si>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</si>
  <si>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INCLUSO TRANSPORTE VERTICAL. AF_06/2016</t>
  </si>
  <si>
    <t>RUFO EM CHAPA DE AÇO GALVANIZADO NÚMERO 24, CORTE DE 25 CM, INCLUSO TRANSPORTE VERTICAL. AF_06/2016</t>
  </si>
  <si>
    <t>RUFO EM FIBROCIMENTO PARA TELHA ONDULADA E = 6 MM, ABA DE 26 CM, INCLUSO TRANSPORTE VERTICAL. AF_06/2016</t>
  </si>
  <si>
    <t>TELHAMENTO COM TELHA ONDULADA DE FIBRA DE VIDRO E = 0,6 MM, PARA TELHADO COM INCLINAÇÃO MAIOR QUE 10°, COM ATÉ 2 ÁGUAS, INCLUSO IÇAMENTO. AF_06/2016</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</si>
  <si>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</si>
  <si>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</si>
  <si>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</si>
  <si>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</si>
  <si>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</si>
  <si>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73970/1</t>
  </si>
  <si>
    <t>ESTRUTURA METALICA EM ACO ESTRUTURAL PERFIL I 12 X 5 1/4</t>
  </si>
  <si>
    <t>73970/2</t>
  </si>
  <si>
    <t>ESTRUTURA METALICA EM ACO ESTRUTURAL PERFIL I 6 X 3 3/8</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</si>
  <si>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</si>
  <si>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</si>
  <si>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</si>
  <si>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</si>
  <si>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</si>
  <si>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</si>
  <si>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</si>
  <si>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</si>
  <si>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</si>
  <si>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</si>
  <si>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</si>
  <si>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</si>
  <si>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</si>
  <si>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</si>
  <si>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</si>
  <si>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RIPAS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</si>
  <si>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</si>
  <si>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</si>
  <si>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</si>
  <si>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</si>
  <si>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</si>
  <si>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</si>
  <si>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</si>
  <si>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</si>
  <si>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</si>
  <si>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</si>
  <si>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</si>
  <si>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</si>
  <si>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</si>
  <si>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</si>
  <si>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</si>
  <si>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</si>
  <si>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</si>
  <si>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</si>
  <si>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</si>
  <si>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</si>
  <si>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</si>
  <si>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</si>
  <si>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</si>
  <si>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TELHAMENTO COM TELHA DE ENCAIXE, TIPO FRANCESA DE VIDRO, COM ATÉ 2 ÁGUAS, INCLUSO TRANSPORTE VERTICAL. AF_06/2016</t>
  </si>
  <si>
    <t>73891/1</t>
  </si>
  <si>
    <t>ESGOTAMENTO COM MOTO-BOMBA AUTOESCOVANTE</t>
  </si>
  <si>
    <t>73882/1</t>
  </si>
  <si>
    <t>CALHA EM CONCRETO SIMPLES, EM MEIA CANA, DIAMETRO 200 MM</t>
  </si>
  <si>
    <t>73882/5</t>
  </si>
  <si>
    <t>CALHA EM CONCRETO SIMPLES, EM MEIA CANA DE CONCRETO, DIAMETRO 600 MM</t>
  </si>
  <si>
    <t>73816/1</t>
  </si>
  <si>
    <t>EXECUCAO DE DRENO COM TUBOS DE PVC CORRUGADO FLEXIVEL PERFURADO - DN 100</t>
  </si>
  <si>
    <t>73816/2</t>
  </si>
  <si>
    <t>EXECUCAO DE DRENO VERTICAL COM PEDRISCO, DIAMETRO 200MM</t>
  </si>
  <si>
    <t>73881/1</t>
  </si>
  <si>
    <t>EXECUCAO DE DRENO COM MANTA GEOTEXTIL 200 G/M2</t>
  </si>
  <si>
    <t>73881/3</t>
  </si>
  <si>
    <t>EXECUCAO DE DRENO COM MANTA GEOTEXTIL 400 G/M2</t>
  </si>
  <si>
    <t>73883/1</t>
  </si>
  <si>
    <t>EXECUCAO DE DRENO FRANCES COM AREIA MEDIA</t>
  </si>
  <si>
    <t>73883/2</t>
  </si>
  <si>
    <t>EXECUCAO DE DRENO FRANCES COM BRITA NUM 2</t>
  </si>
  <si>
    <t>73883/3</t>
  </si>
  <si>
    <t>EXECUCAO DE DRENO FRANCES COM CASCALHO</t>
  </si>
  <si>
    <t>73902/1</t>
  </si>
  <si>
    <t>CAMADA DRENANTE COM BRITA NUM 3</t>
  </si>
  <si>
    <t>73968/1</t>
  </si>
  <si>
    <t>MANTA IMPERMEABILIZANTE A BASE DE ASFALTO - FORNECIMENTO E INSTALACAO</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</si>
  <si>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</si>
  <si>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</si>
  <si>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</si>
  <si>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</si>
  <si>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</si>
  <si>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</si>
  <si>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75029/1</t>
  </si>
  <si>
    <t>TUBO PVC CORRUGADO RIGIDO PERFURADO DN 150 PARA DRENAGEM - FORNECIMENTO E INSTALACAO</t>
  </si>
  <si>
    <t>TUBO PVC CORRUGADO PERFURADO 100 MM C/ JUNTA ELASTICA PARA DRENAGEM.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</si>
  <si>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</si>
  <si>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</si>
  <si>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</si>
  <si>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</si>
  <si>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</si>
  <si>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</si>
  <si>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</si>
  <si>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</si>
  <si>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</si>
  <si>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</si>
  <si>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</si>
  <si>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</si>
  <si>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</si>
  <si>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</si>
  <si>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</si>
  <si>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</si>
  <si>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</si>
  <si>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</si>
  <si>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</si>
  <si>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</si>
  <si>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FORNECIMENTO/INSTALACAO DE MANTA BIDIM RT-31</t>
  </si>
  <si>
    <t>FORNECIMENTO/INSTALACAO DE MANTA BIDIM RT-10</t>
  </si>
  <si>
    <t>FORNECIMENTO E LANCAMENTO DE PEDRA DE MAO</t>
  </si>
  <si>
    <t>ENROCAMENTO COM PEDRA ARGAMASSADA TRAÇO 1:4 COM PEDRA DE MÃO</t>
  </si>
  <si>
    <t>ENROCAMENTO MANUAL, SEM ARRUMACAO DO MATERIAL</t>
  </si>
  <si>
    <t>ENROCAMENTO MANUAL, COM ARRUMACAO DO MATERIAL</t>
  </si>
  <si>
    <t>73890/1</t>
  </si>
  <si>
    <t>ENSECADEIRA DE MADEIRA COM PAREDE SIMPLES</t>
  </si>
  <si>
    <t>73890/2</t>
  </si>
  <si>
    <t>ENSECADEIRA DE MADEIRA COM PAREDE DUPLA</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</si>
  <si>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</si>
  <si>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</si>
  <si>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</si>
  <si>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 FORNECIMENTO E EXECUÇÃO. AF_12/2015,</t>
  </si>
  <si>
    <t>MURO DE GABIÃO, ENCHIMENTO COM PEDRA DE MÃO TIPO RACHÃO, DE GRAVIDADE, COM GAIOLAS DE COMPRIMENTO IGUAL A 2 M, PARA MUROS COM ALTURA MAIOR QUE 6 M E MENOR OU IGUAL A 10 M 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</si>
  <si>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</si>
  <si>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 FORNECIMENTO E EXECUÇÃO. AF_12/2015,</t>
  </si>
  <si>
    <t>MURO DE GABIÃO, ENCHIMENTO COM PEDRA DE MÃO TIPO RACHÃO, COM SOLO REFORÇADO, PARA MUROS COM ALTURA MAIOR QUE 4 M E MENOR OU IGUAL A 12 M  FORNECIMENTO E EXECUÇÃO. AF_12/2015,</t>
  </si>
  <si>
    <t>MURO DE GABIÃO, ENCHIMENTO COM PEDRA DE MÃO TIPO RACHÃO, COM SOLO REFORÇADO, PARA MUROS COM ALTURA MAIOR QUE 12 M E MENOR OU IGUAL A 20 M   FORNECIMENTO E EXECUÇÃO. AF_12/2015,</t>
  </si>
  <si>
    <t>MURO DE GABIÃO, ENCHIMENTO COM PEDRA DE MÃO TIPO RACHÃO, COM SOLO REFORÇADO, PARA MUROS COM ALTURA MAIOR QUE 20 M E MENOR OU IGUAL A 28 M  FORNECIMENTO E EXECUÇÃO. AF_12/2015,</t>
  </si>
  <si>
    <t>MURO DE GABIÃO, ENCHIMENTO COM RESÍDUO DE CONSTRUÇÃO E DEMOLIÇÃO, DE GRAVIDADE, COM GAIOLA TRAPEZOIDAL DE COMPRIMENTO IGUAL A 2 M, PARA MUROS COM ALTURA MENOR OU IGUAL A 2 M  FORNECIMENTO E EXECUÇÃO. AF_12/2015,</t>
  </si>
  <si>
    <t>MURO DE GABIÃO, ENCHIMENTO COM RESÍDUO DE CONSTRUÇÃO E DEMOLIÇÃO, DE GRAVIDADE, COM GAIOLA TRAPEZOIDAL DE COMPRIMENTO IGUAL A 2 M, PARA MUROS COM ALTURA MAIOR QUE 2 M E MENOR OU IGUAL A 4 M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</si>
  <si>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</si>
  <si>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</si>
  <si>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</si>
  <si>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</si>
  <si>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73843/1</t>
  </si>
  <si>
    <t>MURO DE ARRIMO DE CONCRETO CICLOPICO COM 30% DE PEDRA DE MAO</t>
  </si>
  <si>
    <t>73844/1</t>
  </si>
  <si>
    <t>MURO DE ARRIMO DE ALVENARIA DE PEDRA ARGAMASSADA</t>
  </si>
  <si>
    <t>73844/2</t>
  </si>
  <si>
    <t>MURO DE ARRIMO DE ALVENARIA DE TIJOLOS</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</si>
  <si>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</si>
  <si>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</si>
  <si>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</si>
  <si>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</si>
  <si>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</si>
  <si>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</si>
  <si>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</si>
  <si>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</si>
  <si>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</si>
  <si>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</si>
  <si>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</si>
  <si>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</si>
  <si>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</si>
  <si>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</si>
  <si>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</si>
  <si>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</si>
  <si>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</si>
  <si>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</si>
  <si>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</si>
  <si>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</si>
  <si>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</si>
  <si>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</si>
  <si>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</si>
  <si>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</si>
  <si>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</si>
  <si>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</si>
  <si>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</si>
  <si>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</si>
  <si>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</si>
  <si>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</si>
  <si>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</si>
  <si>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</si>
  <si>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</si>
  <si>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</si>
  <si>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</si>
  <si>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</si>
  <si>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</si>
  <si>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</si>
  <si>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</si>
  <si>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</si>
  <si>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</si>
  <si>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</si>
  <si>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</si>
  <si>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</si>
  <si>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</si>
  <si>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</si>
  <si>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</si>
  <si>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</si>
  <si>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</si>
  <si>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</si>
  <si>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</si>
  <si>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</si>
  <si>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</si>
  <si>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</si>
  <si>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</si>
  <si>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</si>
  <si>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</si>
  <si>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DISSIPADOR DE ENERGIA EM PEDRA ARGAMASSADA ESPESSURA 6CM INCL MATERIAIS E COLOCACAO MEDIDO P/ VOLUME DE PEDRA ARGAMASSADA</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</si>
  <si>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</si>
  <si>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</si>
  <si>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</si>
  <si>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</si>
  <si>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</si>
  <si>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</si>
  <si>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</si>
  <si>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</si>
  <si>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</si>
  <si>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</si>
  <si>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</si>
  <si>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</si>
  <si>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</si>
  <si>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</si>
  <si>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</si>
  <si>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</si>
  <si>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</si>
  <si>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</si>
  <si>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</si>
  <si>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</si>
  <si>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</si>
  <si>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</si>
  <si>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</si>
  <si>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</si>
  <si>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</si>
  <si>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</si>
  <si>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</si>
  <si>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</si>
  <si>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</si>
  <si>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</si>
  <si>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</si>
  <si>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</si>
  <si>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</si>
  <si>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</si>
  <si>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</si>
  <si>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</si>
  <si>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</si>
  <si>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</si>
  <si>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</si>
  <si>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</si>
  <si>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</si>
  <si>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</si>
  <si>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</si>
  <si>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</si>
  <si>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</si>
  <si>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</si>
  <si>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</si>
  <si>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</si>
  <si>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</si>
  <si>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</si>
  <si>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</si>
  <si>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</si>
  <si>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</si>
  <si>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</si>
  <si>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</si>
  <si>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</si>
  <si>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</si>
  <si>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</si>
  <si>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</si>
  <si>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</si>
  <si>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</si>
  <si>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</si>
  <si>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</si>
  <si>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</si>
  <si>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</si>
  <si>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</si>
  <si>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</si>
  <si>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</si>
  <si>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</si>
  <si>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</si>
  <si>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</si>
  <si>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</si>
  <si>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</si>
  <si>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</si>
  <si>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</si>
  <si>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</si>
  <si>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</si>
  <si>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</si>
  <si>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</si>
  <si>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</si>
  <si>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</si>
  <si>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</si>
  <si>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</si>
  <si>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</si>
  <si>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</si>
  <si>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</si>
  <si>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</si>
  <si>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</si>
  <si>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</si>
  <si>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</si>
  <si>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</si>
  <si>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</si>
  <si>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</si>
  <si>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</si>
  <si>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</si>
  <si>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</si>
  <si>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</si>
  <si>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</si>
  <si>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</si>
  <si>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</si>
  <si>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</si>
  <si>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</si>
  <si>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</si>
  <si>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</si>
  <si>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</si>
  <si>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</si>
  <si>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</si>
  <si>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</si>
  <si>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</si>
  <si>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</si>
  <si>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</si>
  <si>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</si>
  <si>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</si>
  <si>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</si>
  <si>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</si>
  <si>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</si>
  <si>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</si>
  <si>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</si>
  <si>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</si>
  <si>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</si>
  <si>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</si>
  <si>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</si>
  <si>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</si>
  <si>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</si>
  <si>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</si>
  <si>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</si>
  <si>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</si>
  <si>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</si>
  <si>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</si>
  <si>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</si>
  <si>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</si>
  <si>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</si>
  <si>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</si>
  <si>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</si>
  <si>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</si>
  <si>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</si>
  <si>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</si>
  <si>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</si>
  <si>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</si>
  <si>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</si>
  <si>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</si>
  <si>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</si>
  <si>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</si>
  <si>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</si>
  <si>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</si>
  <si>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</si>
  <si>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</si>
  <si>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</si>
  <si>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</si>
  <si>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</si>
  <si>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</si>
  <si>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</si>
  <si>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</si>
  <si>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</si>
  <si>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</si>
  <si>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</si>
  <si>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</si>
  <si>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</si>
  <si>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</si>
  <si>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</si>
  <si>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</si>
  <si>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</si>
  <si>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</si>
  <si>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</si>
  <si>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</si>
  <si>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</si>
  <si>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</si>
  <si>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</si>
  <si>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</si>
  <si>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</si>
  <si>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</si>
  <si>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</si>
  <si>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</si>
  <si>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</si>
  <si>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</si>
  <si>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</si>
  <si>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</si>
  <si>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</si>
  <si>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</si>
  <si>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</si>
  <si>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</si>
  <si>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73877/1</t>
  </si>
  <si>
    <t>ESCORAMENTO DE VALAS COM PRANCHOES METALICOS - AREA CRAVADA</t>
  </si>
  <si>
    <t>73877/2</t>
  </si>
  <si>
    <t>ESCORAMENTO DE VALAS COM PRANCHOES METALICOS - AREA NAO CRAVADA</t>
  </si>
  <si>
    <t>ESCORAMENTO CONTINUO DE VALAS, MISTO, COM PERFIL I DE 8"</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</si>
  <si>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</si>
  <si>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</si>
  <si>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</si>
  <si>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RECOLOCACAO DE FOLHAS DE PORTA DE PASSAGEM OU JANELA, CONSIDERANDO REAPROVEITAMENTO DO MATERIAL</t>
  </si>
  <si>
    <t>73910/8</t>
  </si>
  <si>
    <t>PORTA DE MADEIRA COMPENSADA LISA PARA PINTURA, 120X210X3,5CM, 2 FOLHAS, INCLUSO ADUELA 2A, ALIZAR 2A E DOBRADICAS</t>
  </si>
  <si>
    <t>73910/9</t>
  </si>
  <si>
    <t>PORTA DE MADEIRA COMPENSADA LISA PARA CERA OU VERNIZ, 120X210X3,5CM, 2 FOLHAS, INCLUSO ADUELA 1A, ALIZAR 1A E DOBRADICAS COM ANEL</t>
  </si>
  <si>
    <t>ALCAPAO EM COMPENSADO DE MADEIRA CEDRO/VIROLA, 60X60X2CM, COM MARCO 7X3CM, ALIZAR DE 2A, DOBRADICAS EM LATAO CROMADO E TARJETA CROMADA</t>
  </si>
  <si>
    <t>PORTA MADEIRA 1A CORRER P/VIDRO 30MM/ GUARNICAO 15CM/ALIZAR</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</si>
  <si>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</si>
  <si>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</si>
  <si>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</si>
  <si>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</si>
  <si>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</si>
  <si>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</si>
  <si>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</si>
  <si>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</si>
  <si>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</si>
  <si>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</si>
  <si>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</si>
  <si>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</si>
  <si>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</si>
  <si>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</si>
  <si>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</si>
  <si>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</si>
  <si>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</si>
  <si>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</si>
  <si>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</si>
  <si>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</si>
  <si>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</si>
  <si>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</si>
  <si>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</si>
  <si>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</si>
  <si>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</si>
  <si>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</si>
  <si>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</si>
  <si>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</si>
  <si>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</si>
  <si>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</si>
  <si>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</si>
  <si>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</si>
  <si>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</si>
  <si>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</si>
  <si>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</si>
  <si>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</si>
  <si>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</si>
  <si>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</si>
  <si>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</si>
  <si>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</si>
  <si>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</si>
  <si>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</si>
  <si>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</si>
  <si>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</si>
  <si>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</si>
  <si>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</si>
  <si>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</si>
  <si>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</si>
  <si>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</si>
  <si>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</si>
  <si>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</si>
  <si>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</si>
  <si>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</si>
  <si>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</si>
  <si>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</si>
  <si>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</si>
  <si>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</si>
  <si>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</si>
  <si>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</si>
  <si>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</si>
  <si>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</si>
  <si>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</si>
  <si>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</si>
  <si>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</si>
  <si>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</si>
  <si>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</si>
  <si>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</si>
  <si>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</si>
  <si>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</si>
  <si>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</si>
  <si>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</si>
  <si>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</si>
  <si>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</si>
  <si>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</si>
  <si>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</si>
  <si>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</si>
  <si>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</si>
  <si>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</si>
  <si>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</si>
  <si>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</si>
  <si>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</si>
  <si>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73813/1</t>
  </si>
  <si>
    <t>JANELA DE MADEIRA ALMOFADADA 1A, 1,5X1,5M, DE ABRIR, INCLUSO GUARNICOES E DOBRADICAS</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</si>
  <si>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</si>
  <si>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</si>
  <si>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</si>
  <si>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</si>
  <si>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</si>
  <si>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CAIXA MADEIRA 57X43CM COM GUARNICAO 13CM P/ FECHAMENTO DE AR CONDICIONAL</t>
  </si>
  <si>
    <t>73933/1</t>
  </si>
  <si>
    <t>PORTA DE FERRO, DE ABRIR, TIPO GRADE COM CHAPA, 87X210CM, COM GUARNICOES</t>
  </si>
  <si>
    <t>73933/3</t>
  </si>
  <si>
    <t>PORTA DE FERRO TIPO VENEZIANA, DE ABRIR, SEM BANDEIRA SEM FERRAGENS</t>
  </si>
  <si>
    <t>73933/4</t>
  </si>
  <si>
    <t>PORTA DE FERRO DE ABRIR TIPO BARRA CHATA, COM REQUADRO E GUARNICAO COMPLETA</t>
  </si>
  <si>
    <t>74073/1</t>
  </si>
  <si>
    <t>ALCAPAO EM FERRO 60X60CM, INCLUSO FERRAGENS</t>
  </si>
  <si>
    <t>74073/2</t>
  </si>
  <si>
    <t>ALCAPAO EM FERRO 70X70CM, INCLUSO FERRAGENS</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</si>
  <si>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</si>
  <si>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</si>
  <si>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</si>
  <si>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</si>
  <si>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</si>
  <si>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</si>
  <si>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BATENTE FERRO 1X1/8"</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</si>
  <si>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</si>
  <si>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</si>
  <si>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</si>
  <si>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</si>
  <si>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</si>
  <si>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</si>
  <si>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</si>
  <si>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</si>
  <si>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73932/1</t>
  </si>
  <si>
    <t>GRADE DE FERRO EM BARRA CHATA 3/16"</t>
  </si>
  <si>
    <t>GUARDA-CORPO EM TUBO DE ACO GALVANIZADO 1 1/2"</t>
  </si>
  <si>
    <t>GUARDA-CORPO  COM CORRIMAO EM FERRO BARRA CHATA 3/16"</t>
  </si>
  <si>
    <t>ESCADA TIPO MARINHEIRO EM ACO CA-50 9,52MM INCLUSO PINTURA COM FUNDO ANTICORROSIVO TIPO ZARCAO</t>
  </si>
  <si>
    <t>CORRIMAO EM MADEIRA 1A 2,5X30CM</t>
  </si>
  <si>
    <t>74072/1</t>
  </si>
  <si>
    <t>CORRIMAO EM TUBO ACO GALVANIZADO 3/4" COM BRACADEIRA</t>
  </si>
  <si>
    <t>74072/2</t>
  </si>
  <si>
    <t>CORRIMAO EM TUBO ACO GALVANIZADO 2 1/2" COM BRACADEIRA</t>
  </si>
  <si>
    <t>74072/3</t>
  </si>
  <si>
    <t>CORRIMAO EM TUBO ACO GALVANIZADO 1 1/4" COM BRACADEIRA</t>
  </si>
  <si>
    <t>74194/1</t>
  </si>
  <si>
    <t>ESCADA TIPO MARINHEIRO EM TUBO ACO GALVANIZADO 1 1/2" 5 DEGRAUS</t>
  </si>
  <si>
    <t>GUARDA-CORPO COM CORRIMAO EM TUBO DE ACO GALVANIZADO 1 1/2"</t>
  </si>
  <si>
    <t>GUARDA-CORPO COM CORRIMAO EM TUBO DE ACO GALVANIZADO 3/4"</t>
  </si>
  <si>
    <t>PORTA DE CORRER EM ALUMINIO, COM DUAS FOLHAS PARA VIDRO, INCLUSO VIDRO LISO INCOLOR, FECHADURA E PUXADOR, SEM GUARNICAO/ALIZAR/VISTA</t>
  </si>
  <si>
    <t>PORTA CORTA-FOGO 90X210X4CM - FORNECIMENTO E INSTALAÇÃO. AF_08/2015</t>
  </si>
  <si>
    <t>PORTA DE ALUMÍNIO DE ABRIR COM LAMBRI, COM GUARNIÇÃO, FIXAÇÃO COM PARAFUSOS - FORNECIMENTO E INSTALAÇÃO. AF_08/2015</t>
  </si>
  <si>
    <t>PORTA EM ALUMÍNIO DE ABRIR TIPO VENEZIANA COM GUARNIÇÃO, FIXAÇÃO COM PARAFUSOS - FORNECIMENTO E INSTALAÇÃO. AF_08/2015</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</si>
  <si>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</si>
  <si>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</si>
  <si>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</si>
  <si>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</si>
  <si>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</si>
  <si>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</si>
  <si>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</si>
  <si>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</si>
  <si>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</si>
  <si>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GRADIL DE ALUMINIO ANODIZADO TIPO BARRA CHATA</t>
  </si>
  <si>
    <t>73736/1</t>
  </si>
  <si>
    <t>DOBRADICA TIPO VAI E VEM EM LATAO POLIDO 3"</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</si>
  <si>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</si>
  <si>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</si>
  <si>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</si>
  <si>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CREMONA EM LATAO CROMADO OU POLIDO, COMPLETA, COM VARA H=1,50M</t>
  </si>
  <si>
    <t>74046/2</t>
  </si>
  <si>
    <t>TARJETA TIPO LIVRE/OCUPADO PARA PORTA DE BANHEIRO</t>
  </si>
  <si>
    <t>74047/2</t>
  </si>
  <si>
    <t>DOBRADICA EM ACO/FERRO, 3" X 21/2", E=1,9 A 2 MM, SEM ANEL, CROMADO OU ZINCADO, TAMPA BOLA, COM PARAFUSOS</t>
  </si>
  <si>
    <t>74084/1</t>
  </si>
  <si>
    <t>PORTA CADEADO ZINCADO OXIDADO PRETO COM CADEADO DE ACO INOX, LARGURA DE *50* MM</t>
  </si>
  <si>
    <t>FECHO EMBUTIR TIPO UNHA 40CM C/COLOCACAO</t>
  </si>
  <si>
    <t>FECHO EMBUTIR TIPO UNHA 22CM C/COLOCACAO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</si>
  <si>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</si>
  <si>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</si>
  <si>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</si>
  <si>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</si>
  <si>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</si>
  <si>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</si>
  <si>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</si>
  <si>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</si>
  <si>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</si>
  <si>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</si>
  <si>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</si>
  <si>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</si>
  <si>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</si>
  <si>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</si>
  <si>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</si>
  <si>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</si>
  <si>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</si>
  <si>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</si>
  <si>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</si>
  <si>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PORTAO DE FERRO EM CHAPA GALVANIZADA PLANA 14 GSG</t>
  </si>
  <si>
    <t>74100/1</t>
  </si>
  <si>
    <t>PORTAO DE FERRO COM VARA 1/2", COM REQUADRO</t>
  </si>
  <si>
    <t>PORTAO EM TELA ARAME GALVANIZADO N.12 MALHA 2" E MOLDURA EM TUBOS DE ACO COM DUAS FOLHAS DE ABRIR, INCLUSO FERRAGENS</t>
  </si>
  <si>
    <t>PORTAO EM TUBO DE ACO GALVANIZADO DIN 2440/NBR 5580, PAINEL UNICO, DIMENSOES 1,0X1,6M, INCLUSIVE CADEADO</t>
  </si>
  <si>
    <t>PORTAO EM TUBO DE ACO GALVANIZADO DIN 2440/NBR 5580, PAINEL UNICO, DIMENSOES 4,0X1,2M, INCLUSIVE CADEADO</t>
  </si>
  <si>
    <t>CAIXILHO FIXO, DE ALUMINIO, PARA VIDRO</t>
  </si>
  <si>
    <t>CAIXILHO FIXO, DE ALUMINIO, COM TELA DE METAL FIO 12 MALHA 3X3CM</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</si>
  <si>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</si>
  <si>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</si>
  <si>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</si>
  <si>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</si>
  <si>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</si>
  <si>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</si>
  <si>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</si>
  <si>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</si>
  <si>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</si>
  <si>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</si>
  <si>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</si>
  <si>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</si>
  <si>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</si>
  <si>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</si>
  <si>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</si>
  <si>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73908/1</t>
  </si>
  <si>
    <t>CANTONEIRA DE ALUMINIO 2"X2", PARA PROTECAO DE QUINA DE PAREDE</t>
  </si>
  <si>
    <t>73908/2</t>
  </si>
  <si>
    <t>CANTONEIRA DE ALUMINIO 1"X1, PARA PROTECAO DE QUINA DE PAREDE</t>
  </si>
  <si>
    <t>CANTONEIRA DE MADEIRA 3,0X3,0X1,0CM</t>
  </si>
  <si>
    <t>CANTONEIRA DE MADEIRA COM LAMINADO MELAMINICO FOSCO 3,0X3,0X1,0CM</t>
  </si>
  <si>
    <t>ESCAVACAO MANUAL CAMPO ABERTO P/TUBULAO - FUSTE E/OU BASE (PARA TODAS AS PROFUNDIDADES)</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</si>
  <si>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</si>
  <si>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</si>
  <si>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</si>
  <si>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</si>
  <si>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</si>
  <si>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</si>
  <si>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</si>
  <si>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</si>
  <si>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</si>
  <si>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</si>
  <si>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</si>
  <si>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</si>
  <si>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</si>
  <si>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</si>
  <si>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</si>
  <si>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</si>
  <si>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</si>
  <si>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</si>
  <si>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</si>
  <si>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</si>
  <si>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</si>
  <si>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</si>
  <si>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</si>
  <si>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</si>
  <si>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</si>
  <si>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</si>
  <si>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</si>
  <si>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</si>
  <si>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</si>
  <si>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</si>
  <si>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</si>
  <si>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</si>
  <si>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</si>
  <si>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</si>
  <si>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</si>
  <si>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</si>
  <si>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</si>
  <si>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</si>
  <si>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</si>
  <si>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</si>
  <si>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</si>
  <si>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</si>
  <si>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</si>
  <si>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</si>
  <si>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</si>
  <si>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</si>
  <si>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</si>
  <si>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</si>
  <si>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</si>
  <si>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</si>
  <si>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</si>
  <si>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</si>
  <si>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</si>
  <si>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</si>
  <si>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</si>
  <si>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</si>
  <si>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</si>
  <si>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</si>
  <si>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</si>
  <si>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</si>
  <si>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</si>
  <si>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</si>
  <si>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</si>
  <si>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</si>
  <si>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</si>
  <si>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</si>
  <si>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</si>
  <si>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</si>
  <si>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</si>
  <si>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</si>
  <si>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</si>
  <si>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</si>
  <si>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</si>
  <si>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</si>
  <si>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</si>
  <si>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</si>
  <si>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</si>
  <si>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</si>
  <si>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</si>
  <si>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</si>
  <si>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</si>
  <si>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</si>
  <si>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</si>
  <si>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</si>
  <si>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</si>
  <si>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</si>
  <si>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</si>
  <si>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</si>
  <si>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</si>
  <si>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</si>
  <si>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</si>
  <si>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</si>
  <si>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</si>
  <si>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</si>
  <si>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</si>
  <si>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</si>
  <si>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</si>
  <si>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</si>
  <si>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</si>
  <si>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</si>
  <si>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</si>
  <si>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</si>
  <si>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</si>
  <si>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</si>
  <si>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</si>
  <si>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</si>
  <si>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</si>
  <si>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</si>
  <si>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</si>
  <si>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</si>
  <si>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</si>
  <si>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</si>
  <si>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</si>
  <si>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</si>
  <si>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</si>
  <si>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PREPARO MECÂNICO, INCLUSOS ADITIVO IMPERMEABILIZANTE, LANÇAMENTO E ADENSAMENTO</t>
  </si>
  <si>
    <t>LASTRO DE CONCRETO MAGRO, APLICADO EM PISOS OU RADIERS, ESPESSURA DE 3 CM. AF_07/2016</t>
  </si>
  <si>
    <t>LASTRO DE CONCRETO MAGRO, APLICADO EM PISOS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</si>
  <si>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</si>
  <si>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</si>
  <si>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</si>
  <si>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</si>
  <si>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</si>
  <si>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</si>
  <si>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</si>
  <si>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</si>
  <si>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</si>
  <si>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</si>
  <si>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</si>
  <si>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</si>
  <si>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</si>
  <si>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</si>
  <si>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</si>
  <si>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</si>
  <si>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</si>
  <si>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</si>
  <si>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</si>
  <si>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</si>
  <si>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</si>
  <si>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</si>
  <si>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</si>
  <si>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</si>
  <si>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</si>
  <si>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</si>
  <si>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</si>
  <si>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</si>
  <si>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</si>
  <si>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</si>
  <si>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</si>
  <si>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</si>
  <si>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</si>
  <si>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</si>
  <si>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</si>
  <si>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</si>
  <si>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</si>
  <si>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</si>
  <si>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</si>
  <si>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</si>
  <si>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</si>
  <si>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</si>
  <si>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</si>
  <si>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</si>
  <si>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</si>
  <si>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</si>
  <si>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</si>
  <si>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</si>
  <si>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</si>
  <si>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</si>
  <si>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</si>
  <si>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</si>
  <si>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</si>
  <si>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</si>
  <si>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</si>
  <si>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</si>
  <si>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</si>
  <si>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</si>
  <si>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</si>
  <si>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</si>
  <si>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</si>
  <si>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</si>
  <si>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</si>
  <si>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</si>
  <si>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</si>
  <si>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</si>
  <si>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</si>
  <si>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</si>
  <si>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</si>
  <si>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</si>
  <si>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</si>
  <si>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</si>
  <si>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</si>
  <si>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</si>
  <si>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</si>
  <si>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</si>
  <si>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</si>
  <si>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</si>
  <si>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</si>
  <si>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</si>
  <si>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</si>
  <si>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</si>
  <si>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</si>
  <si>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</si>
  <si>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</si>
  <si>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</si>
  <si>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</si>
  <si>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</si>
  <si>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</si>
  <si>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</si>
  <si>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</si>
  <si>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</si>
  <si>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</si>
  <si>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</si>
  <si>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</si>
  <si>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</si>
  <si>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</si>
  <si>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</si>
  <si>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</si>
  <si>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</si>
  <si>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</si>
  <si>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</si>
  <si>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</si>
  <si>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</si>
  <si>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</si>
  <si>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</si>
  <si>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</si>
  <si>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</si>
  <si>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</si>
  <si>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</si>
  <si>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</si>
  <si>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</si>
  <si>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</si>
  <si>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</si>
  <si>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</si>
  <si>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</si>
  <si>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</si>
  <si>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</si>
  <si>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</si>
  <si>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</si>
  <si>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</si>
  <si>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</si>
  <si>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</si>
  <si>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</si>
  <si>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</si>
  <si>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</si>
  <si>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</si>
  <si>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</si>
  <si>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</si>
  <si>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</si>
  <si>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</si>
  <si>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</si>
  <si>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</si>
  <si>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</si>
  <si>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</si>
  <si>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</si>
  <si>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</si>
  <si>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</si>
  <si>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</si>
  <si>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</si>
  <si>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</si>
  <si>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</si>
  <si>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</si>
  <si>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</si>
  <si>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</si>
  <si>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</si>
  <si>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</si>
  <si>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</si>
  <si>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</si>
  <si>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</si>
  <si>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</si>
  <si>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</si>
  <si>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</si>
  <si>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</si>
  <si>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</si>
  <si>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</si>
  <si>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</si>
  <si>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</si>
  <si>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</si>
  <si>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</si>
  <si>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</si>
  <si>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</si>
  <si>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</si>
  <si>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</si>
  <si>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</si>
  <si>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</si>
  <si>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</si>
  <si>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</si>
  <si>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</si>
  <si>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</si>
  <si>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</si>
  <si>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</si>
  <si>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</si>
  <si>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</si>
  <si>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</si>
  <si>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</si>
  <si>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</si>
  <si>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</si>
  <si>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</si>
  <si>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</si>
  <si>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</si>
  <si>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</si>
  <si>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</si>
  <si>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</si>
  <si>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</si>
  <si>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</si>
  <si>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</si>
  <si>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</si>
  <si>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</si>
  <si>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</si>
  <si>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</si>
  <si>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</si>
  <si>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</si>
  <si>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</si>
  <si>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</si>
  <si>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</si>
  <si>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</si>
  <si>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73771/1</t>
  </si>
  <si>
    <t>PROTENSAO DE TIRANTES DE BARRA DE ACO CA-50 EXCL MATERIAIS</t>
  </si>
  <si>
    <t>73990/1</t>
  </si>
  <si>
    <t>ARMACAO ACO CA-50 P/1,0M3 DE CONCRETO</t>
  </si>
  <si>
    <t>ARMACAO EM TELA DE ACO SOLDADA NERVURADA Q-138, ACO CA-60, 4,2MM, MALHA 10X10CM</t>
  </si>
  <si>
    <t>79504/1</t>
  </si>
  <si>
    <t>TIRANTES P/PROTENSAO E ANCORAGEM EM ROCHA C/ 6 FIOS ACO DURO 8MM .</t>
  </si>
  <si>
    <t>79504/2</t>
  </si>
  <si>
    <t>TIRANTES P/PROTENSAO E ANCORAGEM EM ROCHA C/ 8 FIOS ACO DURO 8MM .</t>
  </si>
  <si>
    <t>79504/3</t>
  </si>
  <si>
    <t>TIRANTES P/PROTENSAO E ANCORAGEM EM ROCHA C/10 FIOS ACO DURO 8MM .</t>
  </si>
  <si>
    <t>79504/4</t>
  </si>
  <si>
    <t>TIRANTES P/PROTENSAO E ANCORAGEM EM ROCHA C/12 FIOS ACO DURO 8MM .</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</si>
  <si>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</si>
  <si>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</si>
  <si>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</si>
  <si>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</si>
  <si>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</si>
  <si>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</si>
  <si>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</si>
  <si>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</si>
  <si>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</si>
  <si>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</si>
  <si>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</si>
  <si>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</si>
  <si>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</si>
  <si>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</si>
  <si>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</si>
  <si>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</si>
  <si>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ARMACAO EM TELA DE ACO SOLDADA NERVURADA Q-92, ACO CA-60, 4,2MM, MALHA 15X15CM</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</si>
  <si>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</si>
  <si>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</si>
  <si>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</si>
  <si>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</si>
  <si>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</si>
  <si>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</si>
  <si>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</si>
  <si>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</si>
  <si>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</si>
  <si>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</si>
  <si>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</si>
  <si>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</si>
  <si>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</si>
  <si>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</si>
  <si>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</si>
  <si>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</si>
  <si>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</si>
  <si>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</si>
  <si>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</si>
  <si>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</si>
  <si>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</si>
  <si>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</si>
  <si>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</si>
  <si>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</si>
  <si>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</si>
  <si>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</si>
  <si>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</si>
  <si>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</si>
  <si>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</si>
  <si>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</si>
  <si>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</si>
  <si>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</si>
  <si>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</si>
  <si>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</si>
  <si>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</si>
  <si>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</si>
  <si>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</si>
  <si>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</si>
  <si>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</si>
  <si>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</si>
  <si>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</si>
  <si>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</si>
  <si>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</si>
  <si>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</si>
  <si>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</si>
  <si>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</si>
  <si>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</si>
  <si>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</si>
  <si>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</si>
  <si>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</si>
  <si>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</si>
  <si>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</si>
  <si>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</si>
  <si>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</si>
  <si>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</si>
  <si>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</si>
  <si>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</si>
  <si>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</si>
  <si>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</si>
  <si>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</si>
  <si>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</si>
  <si>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</si>
  <si>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</si>
  <si>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</si>
  <si>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</si>
  <si>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</si>
  <si>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</si>
  <si>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</si>
  <si>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</si>
  <si>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</si>
  <si>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</si>
  <si>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</si>
  <si>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</si>
  <si>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</si>
  <si>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</si>
  <si>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</si>
  <si>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</si>
  <si>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</si>
  <si>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</si>
  <si>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</si>
  <si>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</si>
  <si>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</si>
  <si>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</si>
  <si>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</si>
  <si>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</si>
  <si>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</si>
  <si>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</si>
  <si>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</si>
  <si>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</si>
  <si>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</si>
  <si>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</si>
  <si>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</si>
  <si>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</si>
  <si>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</si>
  <si>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</si>
  <si>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</si>
  <si>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</si>
  <si>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</si>
  <si>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</si>
  <si>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</si>
  <si>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</si>
  <si>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</si>
  <si>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</si>
  <si>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</si>
  <si>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</si>
  <si>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</si>
  <si>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</si>
  <si>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</si>
  <si>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</si>
  <si>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</si>
  <si>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</si>
  <si>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</si>
  <si>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</si>
  <si>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</si>
  <si>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</si>
  <si>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</si>
  <si>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</si>
  <si>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REGULARIZAÇÃO DE SUPERFICIE DE CONCRETO APARENTE</t>
  </si>
  <si>
    <t>LANCAMENTO/APLICACAO MANUAL DE CONCRETO EM FUNDACOES</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</si>
  <si>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</si>
  <si>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</si>
  <si>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</si>
  <si>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</si>
  <si>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</si>
  <si>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</si>
  <si>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</si>
  <si>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</si>
  <si>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</si>
  <si>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</si>
  <si>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</si>
  <si>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</si>
  <si>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</si>
  <si>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</si>
  <si>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</si>
  <si>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</si>
  <si>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</si>
  <si>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</si>
  <si>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</si>
  <si>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</si>
  <si>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</si>
  <si>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</si>
  <si>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</si>
  <si>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</si>
  <si>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</si>
  <si>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</si>
  <si>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</si>
  <si>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</si>
  <si>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</si>
  <si>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</si>
  <si>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</si>
  <si>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</si>
  <si>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</si>
  <si>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</si>
  <si>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</si>
  <si>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</si>
  <si>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</si>
  <si>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</si>
  <si>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</si>
  <si>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</si>
  <si>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</si>
  <si>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</si>
  <si>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</si>
  <si>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</si>
  <si>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</si>
  <si>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</si>
  <si>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</si>
  <si>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</si>
  <si>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</si>
  <si>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</si>
  <si>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</si>
  <si>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</si>
  <si>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</si>
  <si>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</si>
  <si>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</si>
  <si>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</si>
  <si>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</si>
  <si>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</si>
  <si>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</si>
  <si>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</si>
  <si>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</si>
  <si>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</si>
  <si>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</si>
  <si>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</si>
  <si>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</si>
  <si>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</si>
  <si>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</si>
  <si>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</si>
  <si>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</si>
  <si>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</si>
  <si>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</si>
  <si>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</si>
  <si>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</si>
  <si>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</si>
  <si>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</si>
  <si>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</si>
  <si>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73817/1</t>
  </si>
  <si>
    <t>EMBASAMENTO DE MATERIAL GRANULAR - PO DE PEDRA</t>
  </si>
  <si>
    <t>73817/2</t>
  </si>
  <si>
    <t>EMBASAMENTO DE MATERIAL GRANULAR - RACHAO</t>
  </si>
  <si>
    <t>74078/1</t>
  </si>
  <si>
    <t>AGULHAMENTO FUNDO DE VALAS C/MACO 30KG PEDRA-DE-MAO H=10CM</t>
  </si>
  <si>
    <t>ALVENARIA EMBASAMENTO E=20 CM BLOCO CONCRETO</t>
  </si>
  <si>
    <t>EMBASAMENTO C/PEDRA ARGAMASSADA UTILIZANDO ARG.CIM/AREIA 1:4</t>
  </si>
  <si>
    <t>JUNTA DE DILATACAO COM ISOPOR 10 MM</t>
  </si>
  <si>
    <t>73898/1</t>
  </si>
  <si>
    <t>JUNTA DE DILATACAO ELASTICA (PVC) O-220/6 PRESSAO ATE 30 MCA</t>
  </si>
  <si>
    <t>PINTURA ADESIVA P/ CONCRETO, A BASE DE RESINA EPOXI ( SIKADUR 32 )</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</si>
  <si>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</si>
  <si>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</si>
  <si>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</si>
  <si>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</si>
  <si>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</si>
  <si>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</si>
  <si>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</si>
  <si>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</si>
  <si>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</si>
  <si>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</si>
  <si>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</si>
  <si>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</si>
  <si>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</si>
  <si>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</si>
  <si>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</si>
  <si>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</si>
  <si>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</si>
  <si>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</si>
  <si>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</si>
  <si>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</si>
  <si>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</si>
  <si>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</si>
  <si>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</si>
  <si>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</si>
  <si>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</si>
  <si>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CHAPIM DE CONCRETO APARENTE COM ACABAMENTO DESEMPENADO, FORMA DE COMPENSADO PLASTIFICADO (MADEIRIT) DE 14 X 10 CM, FUNDIDO NO LOCAL.</t>
  </si>
  <si>
    <t>74144/2</t>
  </si>
  <si>
    <t>SUPORTE APOIO CAIXA D AGUA BARROTES MADEIRA DE 1</t>
  </si>
  <si>
    <t>FORNECIMENTO DE PERFIL SIMPLES "I" OU "H" ATE 8" INCLUSIVE PERDAS</t>
  </si>
  <si>
    <t>FORNECIMENTO DE PERFIL SIMPLES "I" OU "H" 8 A 12" INCLUSIVE PERDAS</t>
  </si>
  <si>
    <t>APARELHO DE APOIO NEOPRENE NAO FRETADO (1,4KG/DM3)</t>
  </si>
  <si>
    <t>APARELHO APOIO NEOPRENE FRETADO</t>
  </si>
  <si>
    <t>DM3</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</si>
  <si>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</si>
  <si>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</si>
  <si>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</si>
  <si>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</si>
  <si>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</si>
  <si>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</si>
  <si>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</si>
  <si>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</si>
  <si>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</si>
  <si>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</si>
  <si>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</si>
  <si>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</si>
  <si>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</si>
  <si>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</si>
  <si>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</si>
  <si>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</si>
  <si>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</si>
  <si>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</si>
  <si>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</si>
  <si>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</si>
  <si>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</si>
  <si>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</si>
  <si>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</si>
  <si>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</si>
  <si>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</si>
  <si>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</si>
  <si>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</si>
  <si>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</si>
  <si>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</si>
  <si>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</si>
  <si>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</si>
  <si>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</si>
  <si>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</si>
  <si>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</si>
  <si>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t>
  </si>
  <si>
    <t>SOLDA DE TOPO EM CHAPA/PERFIL/TUBO DE AÇO CHANFRADO, ESPESSURA=3/8</t>
  </si>
  <si>
    <t>SOLDA DE TOPO EM CHAPA/PERFIL/TUBO DE AÇO CHANFRADO, ESPESSURA=1/2</t>
  </si>
  <si>
    <t>SOLDA DE TOPO EM CHAPA/PERFIL/TUBO DE AÇO CHANFRADO, ESPESSURA=5/8</t>
  </si>
  <si>
    <t>SOLDA DE TOPO EM CHAPA/PERFIL/TUBO DE AÇO CHANFRADO, ESPESSURA=3/4</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</si>
  <si>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</si>
  <si>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</si>
  <si>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</si>
  <si>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IMPERMEABILIZACAO DE SUPERFICIE COM CIMENTO IMPERMEABILIZANTE DE PEGA ULTRA RAPIDA, TRACO 1:1, E=0,5 CM</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</si>
  <si>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</si>
  <si>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</si>
  <si>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</si>
  <si>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</si>
  <si>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FORNECIMENTO/INSTALACAO LONA PLASTICA PRETA, PARA IMPERMEABILIZACAO, ESPESSURA 150 MICRAS.</t>
  </si>
  <si>
    <t>74033/1</t>
  </si>
  <si>
    <t>IMPERMEABILIZACAO DE SUPERFICIE COM GEOMEMBRANA (MANTA TERMOPLASTICA LISA) TIPO PEAD, E=2MM.</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</si>
  <si>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</si>
  <si>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</si>
  <si>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73762/4</t>
  </si>
  <si>
    <t>IMPERMEABILIZACAO DE SUPERFICIE COM ASFALTO ELASTOMERICO, INCLUSOS PRIMER E VEU DE FIBRA DE VIDRO.</t>
  </si>
  <si>
    <t>74066/2</t>
  </si>
  <si>
    <t>IMPERMEABILIZACAO DE SUPERFICIE, COM IMPERMEABILIZANTE FLEXIVEL A BASE ACRILICA.</t>
  </si>
  <si>
    <t>IMPERMEABILIZACAO DE ESTRUTURAS ENTERRADAS, COM TINTA ASFALTICA, DUAS DEMAOS.</t>
  </si>
  <si>
    <t>IMPERMEABILIZAÇÃO DE SUPERFÍCIE COM EMULSÃO ASFÁLTICA, 2 DEMÃOS AF_06/2018</t>
  </si>
  <si>
    <t>IMPERMEABILIZACAO COM PINTURA A BASE DE RESINA EPOXI ALCATRAO, UMA DEMAO.</t>
  </si>
  <si>
    <t>73872/2</t>
  </si>
  <si>
    <t>IMPERMEABILIZACAO COM PINTURA A BASE DE RESINA EPOXI ALCATRAO, DUAS DEMAOS.</t>
  </si>
  <si>
    <t>IMPERMEABILIZACAO DE SUPERFICIE COM MASTIQUE ELASTICO A BASE DE SILICONE, POR VOLUME.</t>
  </si>
  <si>
    <t>74025/1</t>
  </si>
  <si>
    <t>IMPERMEABILIZACAO DE SUPERFICIE COM MASTIQUE BETUMINOSO A FRIO, POR METRO.</t>
  </si>
  <si>
    <t>74190/1</t>
  </si>
  <si>
    <t>IMPERMEABILIZACAO DE SUPERFICIE COM MASTIQUE BETUMINOSO A FRIO, POR AREA.</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</si>
  <si>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</si>
  <si>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</si>
  <si>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</si>
  <si>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</si>
  <si>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</si>
  <si>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</si>
  <si>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</si>
  <si>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</si>
  <si>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</si>
  <si>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</si>
  <si>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</si>
  <si>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</si>
  <si>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</si>
  <si>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</si>
  <si>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</si>
  <si>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</si>
  <si>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</si>
  <si>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</si>
  <si>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</si>
  <si>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</si>
  <si>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</si>
  <si>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</si>
  <si>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</si>
  <si>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</si>
  <si>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</si>
  <si>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</si>
  <si>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</si>
  <si>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</si>
  <si>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</si>
  <si>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</si>
  <si>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</si>
  <si>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</si>
  <si>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</si>
  <si>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</si>
  <si>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</si>
  <si>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</si>
  <si>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</si>
  <si>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</si>
  <si>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</si>
  <si>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</si>
  <si>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</si>
  <si>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</si>
  <si>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</si>
  <si>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</si>
  <si>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</si>
  <si>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</si>
  <si>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</si>
  <si>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</si>
  <si>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</si>
  <si>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</si>
  <si>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</si>
  <si>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</si>
  <si>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</si>
  <si>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</si>
  <si>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</si>
  <si>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</si>
  <si>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</si>
  <si>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</si>
  <si>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</si>
  <si>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</si>
  <si>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</si>
  <si>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</si>
  <si>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</si>
  <si>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</si>
  <si>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</si>
  <si>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</si>
  <si>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</si>
  <si>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</si>
  <si>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</si>
  <si>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</si>
  <si>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</si>
  <si>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</si>
  <si>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</si>
  <si>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</si>
  <si>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</si>
  <si>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</si>
  <si>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</si>
  <si>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TERMINAL METALICO A PRESSAO P/ 1 CABO DE COBRE DE 25 MM2 COM 1 FURO DE FIXAÇÃO - FORNECIMENTO E INSTALACAO</t>
  </si>
  <si>
    <t>CONECTOR DE PARAFUSO FENDIDO EM LIGA DE COBRE COM SEPARADOR DE CABOS PARA CABO 50 MM2 - FORNECIMENTO E INSTALACAO</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</si>
  <si>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</si>
  <si>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</si>
  <si>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</si>
  <si>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</si>
  <si>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</si>
  <si>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</si>
  <si>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</si>
  <si>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</si>
  <si>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</si>
  <si>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</si>
  <si>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</si>
  <si>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</si>
  <si>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</si>
  <si>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</si>
  <si>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</si>
  <si>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</si>
  <si>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</si>
  <si>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</si>
  <si>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</si>
  <si>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</si>
  <si>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</si>
  <si>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</si>
  <si>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</si>
  <si>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</si>
  <si>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</si>
  <si>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</si>
  <si>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</si>
  <si>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</si>
  <si>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</si>
  <si>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</si>
  <si>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</si>
  <si>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</si>
  <si>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</si>
  <si>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</si>
  <si>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</si>
  <si>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</si>
  <si>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</si>
  <si>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</si>
  <si>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</si>
  <si>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</si>
  <si>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</si>
  <si>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</si>
  <si>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</si>
  <si>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</si>
  <si>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</si>
  <si>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</si>
  <si>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</si>
  <si>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</si>
  <si>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</si>
  <si>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</si>
  <si>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</si>
  <si>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</si>
  <si>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</si>
  <si>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</si>
  <si>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</si>
  <si>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</si>
  <si>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</si>
  <si>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</si>
  <si>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</si>
  <si>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</si>
  <si>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</si>
  <si>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</si>
  <si>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</si>
  <si>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</si>
  <si>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</si>
  <si>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</si>
  <si>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</si>
  <si>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</si>
  <si>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</si>
  <si>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</si>
  <si>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</si>
  <si>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</si>
  <si>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</si>
  <si>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</si>
  <si>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</si>
  <si>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</si>
  <si>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</si>
  <si>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</si>
  <si>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</si>
  <si>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</si>
  <si>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</si>
  <si>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</si>
  <si>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</si>
  <si>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</si>
  <si>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</si>
  <si>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</si>
  <si>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</si>
  <si>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</si>
  <si>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</si>
  <si>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</si>
  <si>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</si>
  <si>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</si>
  <si>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</si>
  <si>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</si>
  <si>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</si>
  <si>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</si>
  <si>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</si>
  <si>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</si>
  <si>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</si>
  <si>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</si>
  <si>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DE PASSAGEM 30X30X40 COM TAMPA E DRENO BRITA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</si>
  <si>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</si>
  <si>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</si>
  <si>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</si>
  <si>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</si>
  <si>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</si>
  <si>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</si>
  <si>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</si>
  <si>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</si>
  <si>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</si>
  <si>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</si>
  <si>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</si>
  <si>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</si>
  <si>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</si>
  <si>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</si>
  <si>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</si>
  <si>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</si>
  <si>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</si>
  <si>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</si>
  <si>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</si>
  <si>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</si>
  <si>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</si>
  <si>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</si>
  <si>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</si>
  <si>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</si>
  <si>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</si>
  <si>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</si>
  <si>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</si>
  <si>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</si>
  <si>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</si>
  <si>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</si>
  <si>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</si>
  <si>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</si>
  <si>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</si>
  <si>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</si>
  <si>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</si>
  <si>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</si>
  <si>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</si>
  <si>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</si>
  <si>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</si>
  <si>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</si>
  <si>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</si>
  <si>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</si>
  <si>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</si>
  <si>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</si>
  <si>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</si>
  <si>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</si>
  <si>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</si>
  <si>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</si>
  <si>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</si>
  <si>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</si>
  <si>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</si>
  <si>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</si>
  <si>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</si>
  <si>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</si>
  <si>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</si>
  <si>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</si>
  <si>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</si>
  <si>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</si>
  <si>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</si>
  <si>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</si>
  <si>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</si>
  <si>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</si>
  <si>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</si>
  <si>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</si>
  <si>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</si>
  <si>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</si>
  <si>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</si>
  <si>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</si>
  <si>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</si>
  <si>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</si>
  <si>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DISJUNTOR TERMOMAGNETICO TRIPOLAR PADRAO NEMA (AMERICANO) 60 A 100A 240V, FORNECIMENTO E INSTALACAO</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</si>
  <si>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</si>
  <si>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</si>
  <si>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</si>
  <si>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</si>
  <si>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</si>
  <si>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</si>
  <si>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</si>
  <si>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</si>
  <si>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</si>
  <si>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</si>
  <si>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</si>
  <si>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</si>
  <si>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</si>
  <si>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</si>
  <si>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QUADRO DE DISTRIBUICAO DE ENERGIA DE EMBUTIR, EM CHAPA METALICA, PARA 32 DISJUNTORES TERMOMAGNETICOS MONOPOLARES, COM BARRAMENTO TRIFASICO E NEUTRO, FORNECIMENTO E INSTALACAO</t>
  </si>
  <si>
    <t>74131/7</t>
  </si>
  <si>
    <t>QUADRO DE DISTRIBUICAO DE ENERGIA DE EMBUTIR, EM CHAPA METALICA, PARA 40 DISJUNTORES TERMOMAGNETICOS MONOPOLARES, COM BARRAMENTO TRIFASICO E NEUTRO, FORNECIMENTO E INSTALACAO</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</si>
  <si>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</si>
  <si>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</si>
  <si>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</si>
  <si>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QUADRO DE DISTRIBUICAO DE ENERGIA P/ 6 DISJUNTORES TERMOMAGNETICOS MONOPOLARES SEM BARRAMENTO, DE EMBUTIR, EM CHAPA METALICA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</si>
  <si>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</si>
  <si>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</si>
  <si>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</si>
  <si>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</si>
  <si>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</si>
  <si>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</si>
  <si>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</si>
  <si>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</si>
  <si>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</si>
  <si>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</si>
  <si>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</si>
  <si>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</si>
  <si>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</si>
  <si>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</si>
  <si>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</si>
  <si>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</si>
  <si>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</si>
  <si>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</si>
  <si>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</si>
  <si>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</si>
  <si>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</si>
  <si>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TOMADA 3P+T 30A/440V SEM PLACA - FORNECIMENTO E INSTALACAO</t>
  </si>
  <si>
    <t>INTERRUPTOR PULSADOR DE CAMPAINHA OU MINUTERIA 2A/250V C/ CAIXA - FORNECIMENTO E INSTALACAO</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</si>
  <si>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</si>
  <si>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</si>
  <si>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</si>
  <si>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</si>
  <si>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</si>
  <si>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</si>
  <si>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</si>
  <si>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</si>
  <si>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</si>
  <si>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</si>
  <si>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</si>
  <si>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</si>
  <si>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</si>
  <si>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</si>
  <si>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</si>
  <si>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</si>
  <si>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</si>
  <si>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</si>
  <si>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</si>
  <si>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</si>
  <si>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</si>
  <si>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</si>
  <si>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</si>
  <si>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</si>
  <si>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</si>
  <si>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</si>
  <si>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</si>
  <si>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</si>
  <si>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</si>
  <si>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</si>
  <si>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</si>
  <si>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</si>
  <si>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</si>
  <si>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</si>
  <si>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</si>
  <si>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</si>
  <si>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</si>
  <si>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</si>
  <si>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</si>
  <si>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</si>
  <si>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</si>
  <si>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</si>
  <si>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</si>
  <si>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</si>
  <si>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</si>
  <si>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</si>
  <si>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</si>
  <si>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</si>
  <si>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</si>
  <si>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</si>
  <si>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</si>
  <si>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</si>
  <si>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</si>
  <si>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</si>
  <si>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</si>
  <si>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</si>
  <si>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</si>
  <si>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</si>
  <si>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</si>
  <si>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</si>
  <si>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</si>
  <si>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</si>
  <si>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</si>
  <si>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</si>
  <si>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</si>
  <si>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</si>
  <si>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</si>
  <si>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</si>
  <si>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</si>
  <si>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</si>
  <si>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</si>
  <si>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</si>
  <si>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</si>
  <si>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</si>
  <si>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</si>
  <si>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</si>
  <si>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</si>
  <si>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</si>
  <si>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</si>
  <si>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</si>
  <si>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</si>
  <si>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</si>
  <si>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</si>
  <si>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</si>
  <si>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</si>
  <si>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</si>
  <si>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</si>
  <si>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</si>
  <si>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</si>
  <si>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</si>
  <si>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</si>
  <si>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LAMPADA VAPOR METALICO 400W - FORNECIMENTO E INSTALACAO</t>
  </si>
  <si>
    <t>IGNITOR PARA PARTIDA LÂMPADA VAPOR SÓDIO ALTA PRESSÃO ATÉ 400W</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</si>
  <si>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</si>
  <si>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</si>
  <si>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</si>
  <si>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</si>
  <si>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</si>
  <si>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</si>
  <si>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REATOR PARA LAMPADA FLUORESCENTE 2X40W PARTIDA RAPIDA FORNECIMENTO E INSTALACAO</t>
  </si>
  <si>
    <t>REATOR PARA LAMPADA FLUORESCENTE 1X20W PARTIDA RAPIDA FORNECIMENTO E INSTALACAO</t>
  </si>
  <si>
    <t>REATOR PARA LAMPADA FLUORESCENTE 1X40W PARTIDA RAPIDA FORNECIMENTO E INSTALACAO</t>
  </si>
  <si>
    <t>LAMPADA FLUORESCENTE TP HO 85W - FORNECIMENTO E INSTALACAO</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</si>
  <si>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</si>
  <si>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</si>
  <si>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</si>
  <si>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</si>
  <si>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COMPACTA 3U BRANCA 20 W, BASE E27 - FORNECIMENTO E INSTALAÇÃO</t>
  </si>
  <si>
    <t>LÂMPADA FLUORESCENTE ESPIRAL BRANCA 45 W, BASE E27 - FORNECIMENTO E INSTALAÇÃO</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</si>
  <si>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</si>
  <si>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</si>
  <si>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</si>
  <si>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</si>
  <si>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</si>
  <si>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</si>
  <si>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</si>
  <si>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</si>
  <si>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</si>
  <si>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</si>
  <si>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</si>
  <si>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</si>
  <si>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</si>
  <si>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</si>
  <si>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</si>
  <si>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</si>
  <si>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</si>
  <si>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</si>
  <si>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</si>
  <si>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</si>
  <si>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</si>
  <si>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</si>
  <si>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</si>
  <si>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</si>
  <si>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</si>
  <si>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</si>
  <si>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ENTRADA DE ENERGIA ELÉTRICA AÉREA MONOFÁSICA 50A COM POSTE DE CONCRETO, INCLUSIVE CABEAMENTO, CAIXA DE PROTEÇÃO PARA MEDIDOR E ATERRAMENTO.</t>
  </si>
  <si>
    <t>ENTRADA PROVISORIA DE ENERGIA ELETRICA AEREA TRIFASICA 40A EM POSTE MADEIRA</t>
  </si>
  <si>
    <t>APARELHO SINALIZADOR DE SAIDA DE GARAGEM, COM CELULA FOTOELETRICA - FORNECIMENTO E INSTALACAO</t>
  </si>
  <si>
    <t>SUPORTE PARA TRANSFORMADOR EM POSTE DE CONCRETO CIRCULAR</t>
  </si>
  <si>
    <t>73767/1</t>
  </si>
  <si>
    <t>GRAMPO PARALELO EM ALUMINIO FUNDIDO OU ESTRUDADO DE 2 PARAFUSOS, PARA CABO DE 6 A 50 MM2, PASTA ANTIOXIDANTE. FORNEC E INSTALAÇÃO.</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</si>
  <si>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</si>
  <si>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</si>
  <si>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</si>
  <si>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</si>
  <si>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</si>
  <si>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</si>
  <si>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</si>
  <si>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</si>
  <si>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</si>
  <si>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</si>
  <si>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</si>
  <si>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</si>
  <si>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</si>
  <si>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</si>
  <si>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ARMACAO SECUNDARIA OU REX COMPLETA PARA TRESLINHAS-FORNECIMENTO E INSTALACAO.</t>
  </si>
  <si>
    <t>ARMACAO SECUNDARIA OU REX COMPLETA PARA DUAS LINHAS-FORNECIMENTO E INSTALACAO.</t>
  </si>
  <si>
    <t>ARMACAO SECUNDARIA OU REX COMPLETA PARA QUATRO LINHAS-FORNECIMENTO E INSTALACAO.</t>
  </si>
  <si>
    <t>73783/1</t>
  </si>
  <si>
    <t>POSTE CONCRETO SECAO CIRCULAR COMPRIMENTO=5M CARGA NOMINAL TOPO 100KG INCLUSIVE ESCAVACAO EXCLUSIVE TRANSPORTE - FORNECIMENTO E COLOCACAO</t>
  </si>
  <si>
    <t>73783/3</t>
  </si>
  <si>
    <t>POSTE CONCRETO SEÇÃO CIRCULAR COMPRIMENTO=5M CARGA NOMINAL TOPO 300KG INCLUSIVE ESCAVACAO EXCLUSIVE TRANSPORTE - FORNECIMENTO E COLOCAÇÃO</t>
  </si>
  <si>
    <t>73783/5</t>
  </si>
  <si>
    <t>POSTE CONCRETO SEÇÃO CIRCULAR COMPRIMENTO=7M CARGA NOMINAL TOPO 100KG INCLUSIVE ESCAVACAO EXCLUSIVE TRANSPORTE - FORNECIMENTO E COLOCAÇÃO</t>
  </si>
  <si>
    <t>73783/6</t>
  </si>
  <si>
    <t>POSTE CONCRETO SEÇÃO CIRCULAR COMPRIMENTO=7M CARGA NOMINAL TOPO 200KG INCLUSIVE ESCAVACAO EXCLUSIVE TRANSPORTE - FORNECIMENTO E COLOCAÇÃO</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</si>
  <si>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</si>
  <si>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</si>
  <si>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</si>
  <si>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</si>
  <si>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73783/10</t>
  </si>
  <si>
    <t>POSTE CONCRETO SEÇÃO CIRCULAR COMPRIMENTO=11M  CARGA NOMINAL NO TOPO 400KG INCLUSIVE ESCAVACAO EXCLUSIVE TRANSPORTE - FORNECIMENTO E COLOCAÇÃO</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</si>
  <si>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</si>
  <si>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</si>
  <si>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</si>
  <si>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</si>
  <si>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</si>
  <si>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</si>
  <si>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</si>
  <si>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</si>
  <si>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</si>
  <si>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</si>
  <si>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</si>
  <si>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</si>
  <si>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</si>
  <si>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</si>
  <si>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</si>
  <si>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</si>
  <si>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</si>
  <si>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</si>
  <si>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</si>
  <si>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</si>
  <si>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</si>
  <si>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</si>
  <si>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ENGASTADO, H=9M - FORNECIMENTO E INSTALACAO</t>
  </si>
  <si>
    <t>73855/1</t>
  </si>
  <si>
    <t>CHUMBADOR DE AÇO PARA FIXAÇÃO DE POSTE DE ACO RETO OU CURVO 7 A 9M COM FLANGE - FORNECIMENTO E INSTALACAO</t>
  </si>
  <si>
    <t>REATOR PARA LAMPADA VAPOR DE MERCURIO USO EXTERNO 220V/400W</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</si>
  <si>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</si>
  <si>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</si>
  <si>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</si>
  <si>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</si>
  <si>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</si>
  <si>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</si>
  <si>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</si>
  <si>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</si>
  <si>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</si>
  <si>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</si>
  <si>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</si>
  <si>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</si>
  <si>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</si>
  <si>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</si>
  <si>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</si>
  <si>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</si>
  <si>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</si>
  <si>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</si>
  <si>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</si>
  <si>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74246/1</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</si>
  <si>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</si>
  <si>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</si>
  <si>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</si>
  <si>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</si>
  <si>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</si>
  <si>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</si>
  <si>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</si>
  <si>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</si>
  <si>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</si>
  <si>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</si>
  <si>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</si>
  <si>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</si>
  <si>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</si>
  <si>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</si>
  <si>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</si>
  <si>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</si>
  <si>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</si>
  <si>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</si>
  <si>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</si>
  <si>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</si>
  <si>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</si>
  <si>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</si>
  <si>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</si>
  <si>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</si>
  <si>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</si>
  <si>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</si>
  <si>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</si>
  <si>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</si>
  <si>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</si>
  <si>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</si>
  <si>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</si>
  <si>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</si>
  <si>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</si>
  <si>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</si>
  <si>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</si>
  <si>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</si>
  <si>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</si>
  <si>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</si>
  <si>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</si>
  <si>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</si>
  <si>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</si>
  <si>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</si>
  <si>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</si>
  <si>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</si>
  <si>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</si>
  <si>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</si>
  <si>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</si>
  <si>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</si>
  <si>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INSTALACAO PARA-RAIOS P/RESERVATORIO</t>
  </si>
  <si>
    <t>TERMINAL AEREO EM ACO GALVANIZADO COM BASE DE FIXACAO H = 30CM</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</si>
  <si>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</si>
  <si>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</si>
  <si>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</si>
  <si>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</si>
  <si>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</si>
  <si>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</si>
  <si>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</si>
  <si>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</si>
  <si>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</si>
  <si>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</si>
  <si>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</si>
  <si>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</si>
  <si>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</si>
  <si>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</si>
  <si>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</si>
  <si>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</si>
  <si>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CHUVEIRO ELETRICO COMUM CORPO PLASTICO TIPO DUCHA, FORNECIMENTO E INSTALACAO</t>
  </si>
  <si>
    <t>CHAVE SECCIONADORA TRIPOLAR, ABERTURA SOB CARGA, COM FUSÍVEIS NH - 100A/250V - FORNECIMENTO E INSTALACAO</t>
  </si>
  <si>
    <t>CHAVE SECCIONADORA TRIPOLAR, ABERTURA SOB CARGA, COM FUSÍVEIS NH - 200A/250V</t>
  </si>
  <si>
    <t>FUSÍVEL TIPO "DIAZED", TIPO RÁPIDO OU RETARDADO - 2/25A - FORNECIMENTO E INSTALACAO</t>
  </si>
  <si>
    <t>FUSÍVEL TIPO "DIAZED", TIPO RÁPIDO OU RETARDADO - 35/63A - FORNECIMENTO E INSTALACAO</t>
  </si>
  <si>
    <t>FUSÍVEL TIPO NH 200A - TAMANHO 01 - FORNECIMENTO E INSTALACAO</t>
  </si>
  <si>
    <t>73780/1</t>
  </si>
  <si>
    <t>CHAVE FUSIVEL UNIPOLAR, 15KV - 100A, EQUIPADA COM COMANDO PARA HASTE DE MANOBRA .       FORNECIMENTO E INSTALAÇÃO.</t>
  </si>
  <si>
    <t>73780/2</t>
  </si>
  <si>
    <t>CHAVE BLINDADA TRIPOLAR 250V, 30A - FORNECIMENTO E INSTALACAO</t>
  </si>
  <si>
    <t>73780/3</t>
  </si>
  <si>
    <t>CHAVE BLINDADA TRIPOLAR 250V, 60A - FORNECIMENTO E INSTALACAO</t>
  </si>
  <si>
    <t>73780/4</t>
  </si>
  <si>
    <t>CHAVE BLINDADA TRIPOLAR 250V, 100A - FORNECIMENTO E INSTALACAO</t>
  </si>
  <si>
    <t>FUSIVEL TIPO NH 250 A, TAMANHO 1 - FORNECIMENTO E INSTALACAO</t>
  </si>
  <si>
    <t>BASE PARA FUSIVEL (PORTA-FUSIVEL) NH 01 250A</t>
  </si>
  <si>
    <t>CHAVE FACA TRIPOLAR BLINDADA 250V/30A - FORNECIMENTO E INSTALACAO</t>
  </si>
  <si>
    <t>CHAVE GUARDA MOTOR TRIFASICO 5CV/220V C/ CHAVE MAGNETICA - FORNECIMENTO E INSTALACAO</t>
  </si>
  <si>
    <t>CHAVE GUARDA MOTOR TRIFISICA 10CV/220V C/ CHAVE MAGNETICA - FORNECIMENTO E INSTALACAO</t>
  </si>
  <si>
    <t>FUSIVEL TIPO NH 250A - TAMANHO 01 - FORNECIMENTO E INSTALACAO</t>
  </si>
  <si>
    <t>CHAVE DE BOIA AUTOMÁTICA</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</si>
  <si>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</si>
  <si>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</si>
  <si>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</si>
  <si>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CAIXA DE INCÊNDIO 60X75X17CM - FORNECIMENTO E INSTALAÇÃO</t>
  </si>
  <si>
    <t>EXTINTOR DE PQS 4KG - FORNECIMENTO E INSTALACAO</t>
  </si>
  <si>
    <t>EXTINTOR DE CO2 6KG - FORNECIMENTO E INSTALACAO</t>
  </si>
  <si>
    <t>73775/1</t>
  </si>
  <si>
    <t>EXTINTOR INCENDIO TP PO QUIMICO 4KG FORNECIMENTO E COLOCACAO</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</si>
  <si>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</si>
  <si>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</si>
  <si>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</si>
  <si>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</si>
  <si>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ABRIGO PARA HIDRANTE, 90X60X17CM, COM REGISTRO GLOBO ANGULAR 45 GRAUS 2 1/2", ADAPTADOR STORZ 2 1/2", MANGUEIRA DE INCÊNDIO 20M, REDUÇÃO 2 1/2 X 1 1/2" E ESGUICHO EM LATÃO 1 1/2" - FORNECIMENTO E INSTALAÇÃO. AF_08/2017</t>
  </si>
  <si>
    <t>TOMADA PARA TELEFONE DE 4 POLOS PADRAO TELEBRAS - FORNECIMENTO E INSTALACAO</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</si>
  <si>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</si>
  <si>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</si>
  <si>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</si>
  <si>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</si>
  <si>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</si>
  <si>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</si>
  <si>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73768/1</t>
  </si>
  <si>
    <t>FIO TELEFONICO FI 0,6MM, 2 CONDUTORES (USO INTERNO)-  FORNECIMENTO E INSTALACAO</t>
  </si>
  <si>
    <t>CAIXA DE PASSAGEM PARA TELEFONE 15X15X10CM (SOBREPOR), FORNECIMENTO E INSTALACAO.</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</si>
  <si>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</si>
  <si>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</si>
  <si>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</si>
  <si>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</si>
  <si>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</si>
  <si>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CABO TELEFONICO CT-APL-50, 100 PARES (USO EXTERNO) - FORNECIMENTO E INSTALACAO</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</si>
  <si>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</si>
  <si>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</si>
  <si>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</si>
  <si>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</si>
  <si>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</si>
  <si>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</si>
  <si>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</si>
  <si>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</si>
  <si>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</si>
  <si>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</si>
  <si>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</si>
  <si>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</si>
  <si>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</si>
  <si>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</si>
  <si>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</si>
  <si>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</si>
  <si>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</si>
  <si>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</si>
  <si>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</si>
  <si>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</si>
  <si>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</si>
  <si>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</si>
  <si>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</si>
  <si>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</si>
  <si>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</si>
  <si>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</si>
  <si>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</si>
  <si>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</si>
  <si>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</si>
  <si>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</si>
  <si>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</si>
  <si>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</si>
  <si>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</si>
  <si>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</si>
  <si>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</si>
  <si>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</si>
  <si>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</si>
  <si>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</si>
  <si>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</si>
  <si>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</si>
  <si>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</si>
  <si>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</si>
  <si>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</si>
  <si>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</si>
  <si>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</si>
  <si>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</si>
  <si>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</si>
  <si>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</si>
  <si>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</si>
  <si>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</si>
  <si>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</si>
  <si>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</si>
  <si>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</si>
  <si>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</si>
  <si>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</si>
  <si>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</si>
  <si>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</si>
  <si>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</si>
  <si>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</si>
  <si>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</si>
  <si>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</si>
  <si>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</si>
  <si>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</si>
  <si>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</si>
  <si>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</si>
  <si>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</si>
  <si>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</si>
  <si>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</si>
  <si>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</si>
  <si>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</si>
  <si>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</si>
  <si>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</si>
  <si>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</si>
  <si>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</si>
  <si>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</si>
  <si>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</si>
  <si>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</si>
  <si>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</si>
  <si>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</si>
  <si>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</si>
  <si>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</si>
  <si>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</si>
  <si>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</si>
  <si>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</si>
  <si>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</si>
  <si>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</si>
  <si>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</si>
  <si>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</si>
  <si>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</si>
  <si>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</si>
  <si>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</si>
  <si>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</si>
  <si>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</si>
  <si>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</si>
  <si>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</si>
  <si>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</si>
  <si>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</si>
  <si>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</si>
  <si>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</si>
  <si>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</si>
  <si>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</si>
  <si>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</si>
  <si>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</si>
  <si>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</si>
  <si>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</si>
  <si>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</si>
  <si>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</si>
  <si>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</si>
  <si>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</si>
  <si>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</si>
  <si>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</si>
  <si>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</si>
  <si>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</si>
  <si>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</si>
  <si>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</si>
  <si>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</si>
  <si>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</si>
  <si>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</si>
  <si>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</si>
  <si>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</si>
  <si>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</si>
  <si>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</si>
  <si>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</si>
  <si>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</si>
  <si>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</si>
  <si>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</si>
  <si>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</si>
  <si>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</si>
  <si>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</si>
  <si>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</si>
  <si>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</si>
  <si>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</si>
  <si>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</si>
  <si>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</si>
  <si>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</si>
  <si>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</si>
  <si>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</si>
  <si>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</si>
  <si>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</si>
  <si>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</si>
  <si>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</si>
  <si>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</si>
  <si>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</si>
  <si>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</si>
  <si>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</si>
  <si>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</si>
  <si>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</si>
  <si>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</si>
  <si>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</si>
  <si>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</si>
  <si>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</si>
  <si>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</si>
  <si>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</si>
  <si>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</si>
  <si>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</si>
  <si>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</si>
  <si>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</si>
  <si>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</si>
  <si>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</si>
  <si>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</si>
  <si>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</si>
  <si>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</si>
  <si>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</si>
  <si>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</si>
  <si>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</si>
  <si>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</si>
  <si>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</si>
  <si>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</si>
  <si>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</si>
  <si>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</si>
  <si>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</si>
  <si>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</si>
  <si>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</si>
  <si>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</si>
  <si>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</si>
  <si>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</si>
  <si>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</si>
  <si>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</si>
  <si>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</si>
  <si>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</si>
  <si>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</si>
  <si>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</si>
  <si>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</si>
  <si>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</si>
  <si>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</si>
  <si>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</si>
  <si>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</si>
  <si>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</si>
  <si>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</si>
  <si>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</si>
  <si>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</si>
  <si>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</si>
  <si>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</si>
  <si>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</si>
  <si>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</si>
  <si>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</si>
  <si>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</si>
  <si>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</si>
  <si>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</si>
  <si>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</si>
  <si>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</si>
  <si>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</si>
  <si>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</si>
  <si>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</si>
  <si>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</si>
  <si>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</si>
  <si>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</si>
  <si>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</si>
  <si>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</si>
  <si>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</si>
  <si>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</si>
  <si>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</si>
  <si>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</si>
  <si>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</si>
  <si>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</si>
  <si>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</si>
  <si>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</si>
  <si>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</si>
  <si>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</si>
  <si>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</si>
  <si>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</si>
  <si>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</si>
  <si>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</si>
  <si>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</si>
  <si>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</si>
  <si>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</si>
  <si>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</si>
  <si>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</si>
  <si>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</si>
  <si>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</si>
  <si>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</si>
  <si>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</si>
  <si>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</si>
  <si>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</si>
  <si>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</si>
  <si>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</si>
  <si>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</si>
  <si>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</si>
  <si>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</si>
  <si>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</si>
  <si>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</si>
  <si>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</si>
  <si>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</si>
  <si>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</si>
  <si>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</si>
  <si>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</si>
  <si>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</si>
  <si>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</si>
  <si>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</si>
  <si>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</si>
  <si>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</si>
  <si>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</si>
  <si>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</si>
  <si>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</si>
  <si>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</si>
  <si>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</si>
  <si>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</si>
  <si>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</si>
  <si>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</si>
  <si>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</si>
  <si>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</si>
  <si>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</si>
  <si>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</si>
  <si>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</si>
  <si>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</si>
  <si>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</si>
  <si>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</si>
  <si>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</si>
  <si>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</si>
  <si>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</si>
  <si>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</si>
  <si>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</si>
  <si>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</si>
  <si>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</si>
  <si>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</si>
  <si>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</si>
  <si>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</si>
  <si>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</si>
  <si>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</si>
  <si>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</si>
  <si>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</si>
  <si>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</si>
  <si>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</si>
  <si>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</si>
  <si>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</si>
  <si>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</si>
  <si>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</si>
  <si>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</si>
  <si>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</si>
  <si>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</si>
  <si>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</si>
  <si>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</si>
  <si>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</si>
  <si>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</si>
  <si>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</si>
  <si>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</si>
  <si>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</si>
  <si>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</si>
  <si>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</si>
  <si>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</si>
  <si>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</si>
  <si>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</si>
  <si>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</si>
  <si>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</si>
  <si>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</si>
  <si>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</si>
  <si>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</si>
  <si>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</si>
  <si>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</si>
  <si>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</si>
  <si>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</si>
  <si>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</si>
  <si>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</si>
  <si>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</si>
  <si>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</si>
  <si>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</si>
  <si>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</si>
  <si>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</si>
  <si>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</si>
  <si>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</si>
  <si>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</si>
  <si>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</si>
  <si>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</si>
  <si>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</si>
  <si>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</si>
  <si>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</si>
  <si>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</si>
  <si>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</si>
  <si>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</si>
  <si>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</si>
  <si>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</si>
  <si>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</si>
  <si>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</si>
  <si>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</si>
  <si>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</si>
  <si>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</si>
  <si>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</si>
  <si>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</si>
  <si>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</si>
  <si>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</si>
  <si>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</si>
  <si>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</si>
  <si>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</si>
  <si>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</si>
  <si>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</si>
  <si>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</si>
  <si>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</si>
  <si>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</si>
  <si>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</si>
  <si>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</si>
  <si>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</si>
  <si>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</si>
  <si>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</si>
  <si>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</si>
  <si>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</si>
  <si>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</si>
  <si>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</si>
  <si>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</si>
  <si>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</si>
  <si>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</si>
  <si>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</si>
  <si>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</si>
  <si>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</si>
  <si>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</si>
  <si>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</si>
  <si>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</si>
  <si>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</si>
  <si>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</si>
  <si>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</si>
  <si>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</si>
  <si>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</si>
  <si>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</si>
  <si>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</si>
  <si>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</si>
  <si>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</si>
  <si>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</si>
  <si>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</si>
  <si>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</si>
  <si>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</si>
  <si>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</si>
  <si>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</si>
  <si>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</si>
  <si>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</si>
  <si>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</si>
  <si>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</si>
  <si>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</si>
  <si>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</si>
  <si>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</si>
  <si>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</si>
  <si>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</si>
  <si>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</si>
  <si>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</si>
  <si>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</si>
  <si>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</si>
  <si>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</si>
  <si>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</si>
  <si>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</si>
  <si>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</si>
  <si>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</si>
  <si>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</si>
  <si>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</si>
  <si>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</si>
  <si>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</si>
  <si>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</si>
  <si>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</si>
  <si>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</si>
  <si>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</si>
  <si>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</si>
  <si>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</si>
  <si>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</si>
  <si>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</si>
  <si>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</si>
  <si>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</si>
  <si>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</si>
  <si>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</si>
  <si>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</si>
  <si>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</si>
  <si>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</si>
  <si>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</si>
  <si>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</si>
  <si>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</si>
  <si>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</si>
  <si>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</si>
  <si>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</si>
  <si>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</si>
  <si>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</si>
  <si>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</si>
  <si>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</si>
  <si>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</si>
  <si>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</si>
  <si>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</si>
  <si>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</si>
  <si>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</si>
  <si>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</si>
  <si>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</si>
  <si>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</si>
  <si>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</si>
  <si>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</si>
  <si>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</si>
  <si>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</si>
  <si>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</si>
  <si>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</si>
  <si>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</si>
  <si>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</si>
  <si>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</si>
  <si>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</si>
  <si>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</si>
  <si>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</si>
  <si>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</si>
  <si>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</si>
  <si>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</si>
  <si>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</si>
  <si>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</si>
  <si>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</si>
  <si>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</si>
  <si>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</si>
  <si>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</si>
  <si>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</si>
  <si>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</si>
  <si>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</si>
  <si>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</si>
  <si>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</si>
  <si>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</si>
  <si>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</si>
  <si>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</si>
  <si>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</si>
  <si>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</si>
  <si>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</si>
  <si>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</si>
  <si>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</si>
  <si>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</si>
  <si>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</si>
  <si>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</si>
  <si>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</si>
  <si>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</si>
  <si>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</si>
  <si>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</si>
  <si>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</si>
  <si>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</si>
  <si>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</si>
  <si>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</si>
  <si>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</si>
  <si>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</si>
  <si>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</si>
  <si>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</si>
  <si>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</si>
  <si>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</si>
  <si>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</si>
  <si>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</si>
  <si>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</si>
  <si>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</si>
  <si>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</si>
  <si>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</si>
  <si>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</si>
  <si>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</si>
  <si>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</si>
  <si>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</si>
  <si>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</si>
  <si>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</si>
  <si>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</si>
  <si>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</si>
  <si>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</si>
  <si>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</si>
  <si>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</si>
  <si>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</si>
  <si>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</si>
  <si>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</si>
  <si>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</si>
  <si>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</si>
  <si>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</si>
  <si>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</si>
  <si>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</si>
  <si>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</si>
  <si>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</si>
  <si>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</si>
  <si>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</si>
  <si>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</si>
  <si>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</si>
  <si>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</si>
  <si>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</si>
  <si>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</si>
  <si>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</si>
  <si>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</si>
  <si>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</si>
  <si>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</si>
  <si>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</si>
  <si>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</si>
  <si>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</si>
  <si>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</si>
  <si>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</si>
  <si>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</si>
  <si>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</si>
  <si>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</si>
  <si>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</si>
  <si>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</si>
  <si>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</si>
  <si>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</si>
  <si>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</si>
  <si>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</si>
  <si>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</si>
  <si>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</si>
  <si>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</si>
  <si>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</si>
  <si>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</si>
  <si>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</si>
  <si>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</si>
  <si>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</si>
  <si>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</si>
  <si>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</si>
  <si>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</si>
  <si>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</si>
  <si>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</si>
  <si>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</si>
  <si>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</si>
  <si>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</si>
  <si>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</si>
  <si>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</si>
  <si>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</si>
  <si>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</si>
  <si>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</si>
  <si>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</si>
  <si>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</si>
  <si>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</si>
  <si>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</si>
  <si>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</si>
  <si>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</si>
  <si>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</si>
  <si>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</si>
  <si>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</si>
  <si>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</si>
  <si>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</si>
  <si>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</si>
  <si>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</si>
  <si>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</si>
  <si>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</si>
  <si>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</si>
  <si>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</si>
  <si>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</si>
  <si>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</si>
  <si>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</si>
  <si>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</si>
  <si>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</si>
  <si>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</si>
  <si>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</si>
  <si>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</si>
  <si>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</si>
  <si>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</si>
  <si>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</si>
  <si>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</si>
  <si>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</si>
  <si>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</si>
  <si>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</si>
  <si>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</si>
  <si>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</si>
  <si>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</si>
  <si>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</si>
  <si>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</si>
  <si>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</si>
  <si>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</si>
  <si>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</si>
  <si>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</si>
  <si>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</si>
  <si>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</si>
  <si>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</si>
  <si>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</si>
  <si>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</si>
  <si>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</si>
  <si>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</si>
  <si>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</si>
  <si>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</si>
  <si>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</si>
  <si>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</si>
  <si>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</si>
  <si>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</si>
  <si>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</si>
  <si>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</si>
  <si>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</si>
  <si>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</si>
  <si>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</si>
  <si>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</si>
  <si>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</si>
  <si>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</si>
  <si>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</si>
  <si>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</si>
  <si>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</si>
  <si>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</si>
  <si>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</si>
  <si>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</si>
  <si>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</si>
  <si>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</si>
  <si>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</si>
  <si>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</si>
  <si>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</si>
  <si>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</si>
  <si>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</si>
  <si>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</si>
  <si>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</si>
  <si>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</si>
  <si>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</si>
  <si>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</si>
  <si>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</si>
  <si>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</si>
  <si>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</si>
  <si>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</si>
  <si>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</si>
  <si>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</si>
  <si>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</si>
  <si>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</si>
  <si>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</si>
  <si>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</si>
  <si>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</si>
  <si>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</si>
  <si>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</si>
  <si>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</si>
  <si>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</si>
  <si>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</si>
  <si>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</si>
  <si>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</si>
  <si>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</si>
  <si>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</si>
  <si>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</si>
  <si>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</si>
  <si>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</si>
  <si>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</si>
  <si>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</si>
  <si>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</si>
  <si>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</si>
  <si>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</si>
  <si>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</si>
  <si>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</si>
  <si>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</si>
  <si>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</si>
  <si>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</si>
  <si>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</si>
  <si>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</si>
  <si>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</si>
  <si>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</si>
  <si>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</si>
  <si>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</si>
  <si>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</si>
  <si>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</si>
  <si>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</si>
  <si>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</si>
  <si>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</si>
  <si>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</si>
  <si>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</si>
  <si>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</si>
  <si>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</si>
  <si>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</si>
  <si>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</si>
  <si>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</si>
  <si>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</si>
  <si>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</si>
  <si>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</si>
  <si>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</si>
  <si>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</si>
  <si>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</si>
  <si>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</si>
  <si>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</si>
  <si>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</si>
  <si>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</si>
  <si>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</si>
  <si>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</si>
  <si>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</si>
  <si>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</si>
  <si>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</si>
  <si>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</si>
  <si>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</si>
  <si>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</si>
  <si>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</si>
  <si>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</si>
  <si>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</si>
  <si>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 FORNECIMENTO E INSTALAÇÃO. AF_12/2015P</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</si>
  <si>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</si>
  <si>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</si>
  <si>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</si>
  <si>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</si>
  <si>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</si>
  <si>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</si>
  <si>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</si>
  <si>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</si>
  <si>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</si>
  <si>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</si>
  <si>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</si>
  <si>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</si>
  <si>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</si>
  <si>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</si>
  <si>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</si>
  <si>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</si>
  <si>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</si>
  <si>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</si>
  <si>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</si>
  <si>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</si>
  <si>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</si>
  <si>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</si>
  <si>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</si>
  <si>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</si>
  <si>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</si>
  <si>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</si>
  <si>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</si>
  <si>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</si>
  <si>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</si>
  <si>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</si>
  <si>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</si>
  <si>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</si>
  <si>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</si>
  <si>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</si>
  <si>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</si>
  <si>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</si>
  <si>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</si>
  <si>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</si>
  <si>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</si>
  <si>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</si>
  <si>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</si>
  <si>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</si>
  <si>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</si>
  <si>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</si>
  <si>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</si>
  <si>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</si>
  <si>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</si>
  <si>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</si>
  <si>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</si>
  <si>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</si>
  <si>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</si>
  <si>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</si>
  <si>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</si>
  <si>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</si>
  <si>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</si>
  <si>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</si>
  <si>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</si>
  <si>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</si>
  <si>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</si>
  <si>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</si>
  <si>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</si>
  <si>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</si>
  <si>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</si>
  <si>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</si>
  <si>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</si>
  <si>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</si>
  <si>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</si>
  <si>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</si>
  <si>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</si>
  <si>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</si>
  <si>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</si>
  <si>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</si>
  <si>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</si>
  <si>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</si>
  <si>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</si>
  <si>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</si>
  <si>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</si>
  <si>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</si>
  <si>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</si>
  <si>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</si>
  <si>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</si>
  <si>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</si>
  <si>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</si>
  <si>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</si>
  <si>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</si>
  <si>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</si>
  <si>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</si>
  <si>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</si>
  <si>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</si>
  <si>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</si>
  <si>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</si>
  <si>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</si>
  <si>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</si>
  <si>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</si>
  <si>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</si>
  <si>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</si>
  <si>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</si>
  <si>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</si>
  <si>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</si>
  <si>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</si>
  <si>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</si>
  <si>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</si>
  <si>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</si>
  <si>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</si>
  <si>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</si>
  <si>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</si>
  <si>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</si>
  <si>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</si>
  <si>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</si>
  <si>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</si>
  <si>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</si>
  <si>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</si>
  <si>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</si>
  <si>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</si>
  <si>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</si>
  <si>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</si>
  <si>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</si>
  <si>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</si>
  <si>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</si>
  <si>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</si>
  <si>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</si>
  <si>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</si>
  <si>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</si>
  <si>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</si>
  <si>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</si>
  <si>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</si>
  <si>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</si>
  <si>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</si>
  <si>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</si>
  <si>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</si>
  <si>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</si>
  <si>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</si>
  <si>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</si>
  <si>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</si>
  <si>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</si>
  <si>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</si>
  <si>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</si>
  <si>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</si>
  <si>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</si>
  <si>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</si>
  <si>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</si>
  <si>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</si>
  <si>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</si>
  <si>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</si>
  <si>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</si>
  <si>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</si>
  <si>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</si>
  <si>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</si>
  <si>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</si>
  <si>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</si>
  <si>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</si>
  <si>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</si>
  <si>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</si>
  <si>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</si>
  <si>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</si>
  <si>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</si>
  <si>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</si>
  <si>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</si>
  <si>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</si>
  <si>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</si>
  <si>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</si>
  <si>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</si>
  <si>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</si>
  <si>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</si>
  <si>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</si>
  <si>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</si>
  <si>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</si>
  <si>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</si>
  <si>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</si>
  <si>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</si>
  <si>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</si>
  <si>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</si>
  <si>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</si>
  <si>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</si>
  <si>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</si>
  <si>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</si>
  <si>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</si>
  <si>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</si>
  <si>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</si>
  <si>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</si>
  <si>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</si>
  <si>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</si>
  <si>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</si>
  <si>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</si>
  <si>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</si>
  <si>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</si>
  <si>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</si>
  <si>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</si>
  <si>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</si>
  <si>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</si>
  <si>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</si>
  <si>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</si>
  <si>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</si>
  <si>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</si>
  <si>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</si>
  <si>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</si>
  <si>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</si>
  <si>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</si>
  <si>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</si>
  <si>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</si>
  <si>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</si>
  <si>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</si>
  <si>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</si>
  <si>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</si>
  <si>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</si>
  <si>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</si>
  <si>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</si>
  <si>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</si>
  <si>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</si>
  <si>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</si>
  <si>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</si>
  <si>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</si>
  <si>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</si>
  <si>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</si>
  <si>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</si>
  <si>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</si>
  <si>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</si>
  <si>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</si>
  <si>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</si>
  <si>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</si>
  <si>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</si>
  <si>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</si>
  <si>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</si>
  <si>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</si>
  <si>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</si>
  <si>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</si>
  <si>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</si>
  <si>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</si>
  <si>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</si>
  <si>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</si>
  <si>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</si>
  <si>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</si>
  <si>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</si>
  <si>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</si>
  <si>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</si>
  <si>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</si>
  <si>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</si>
  <si>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</si>
  <si>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</si>
  <si>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</si>
  <si>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</si>
  <si>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</si>
  <si>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</si>
  <si>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</si>
  <si>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</si>
  <si>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</si>
  <si>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</si>
  <si>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</si>
  <si>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</si>
  <si>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</si>
  <si>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</si>
  <si>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</si>
  <si>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</si>
  <si>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</si>
  <si>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</si>
  <si>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</si>
  <si>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</si>
  <si>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</si>
  <si>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</si>
  <si>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</si>
  <si>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</si>
  <si>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</si>
  <si>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</si>
  <si>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</si>
  <si>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</si>
  <si>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</si>
  <si>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</si>
  <si>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</si>
  <si>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</si>
  <si>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</si>
  <si>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</si>
  <si>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</si>
  <si>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</si>
  <si>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</si>
  <si>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</si>
  <si>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</si>
  <si>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</si>
  <si>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</si>
  <si>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</si>
  <si>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</si>
  <si>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</si>
  <si>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</si>
  <si>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</si>
  <si>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</si>
  <si>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</si>
  <si>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</si>
  <si>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</si>
  <si>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</si>
  <si>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</si>
  <si>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</si>
  <si>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</si>
  <si>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</si>
  <si>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</si>
  <si>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</si>
  <si>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</si>
  <si>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</si>
  <si>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</si>
  <si>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</si>
  <si>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</si>
  <si>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</si>
  <si>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</si>
  <si>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</si>
  <si>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</si>
  <si>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</si>
  <si>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</si>
  <si>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</si>
  <si>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</si>
  <si>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</si>
  <si>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</si>
  <si>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</si>
  <si>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</si>
  <si>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</si>
  <si>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</si>
  <si>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</si>
  <si>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</si>
  <si>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</si>
  <si>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</si>
  <si>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</si>
  <si>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</si>
  <si>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</si>
  <si>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</si>
  <si>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</si>
  <si>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</si>
  <si>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</si>
  <si>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</si>
  <si>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</si>
  <si>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</si>
  <si>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</si>
  <si>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</si>
  <si>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</si>
  <si>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</si>
  <si>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</si>
  <si>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</si>
  <si>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</si>
  <si>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</si>
  <si>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</si>
  <si>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</si>
  <si>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</si>
  <si>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</si>
  <si>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</si>
  <si>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</si>
  <si>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</si>
  <si>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</si>
  <si>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</si>
  <si>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</si>
  <si>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</si>
  <si>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</si>
  <si>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</si>
  <si>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</si>
  <si>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</si>
  <si>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</si>
  <si>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</si>
  <si>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</si>
  <si>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</si>
  <si>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</si>
  <si>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</si>
  <si>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</si>
  <si>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</si>
  <si>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</si>
  <si>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</si>
  <si>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</si>
  <si>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</si>
  <si>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</si>
  <si>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</si>
  <si>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</si>
  <si>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</si>
  <si>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</si>
  <si>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</si>
  <si>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</si>
  <si>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</si>
  <si>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</si>
  <si>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</si>
  <si>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</si>
  <si>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</si>
  <si>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</si>
  <si>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</si>
  <si>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</si>
  <si>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</si>
  <si>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</si>
  <si>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</si>
  <si>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</si>
  <si>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</si>
  <si>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</si>
  <si>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</si>
  <si>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</si>
  <si>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</si>
  <si>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</si>
  <si>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</si>
  <si>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</si>
  <si>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</si>
  <si>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</si>
  <si>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</si>
  <si>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</si>
  <si>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</si>
  <si>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</si>
  <si>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</si>
  <si>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</si>
  <si>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</si>
  <si>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</si>
  <si>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</si>
  <si>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</si>
  <si>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</si>
  <si>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</si>
  <si>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</si>
  <si>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</si>
  <si>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</si>
  <si>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</si>
  <si>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</si>
  <si>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</si>
  <si>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</si>
  <si>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</si>
  <si>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</si>
  <si>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</si>
  <si>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</si>
  <si>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</si>
  <si>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</si>
  <si>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</si>
  <si>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</si>
  <si>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</si>
  <si>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</si>
  <si>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</si>
  <si>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</si>
  <si>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</si>
  <si>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</si>
  <si>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</si>
  <si>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</si>
  <si>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</si>
  <si>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</si>
  <si>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</si>
  <si>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</si>
  <si>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</si>
  <si>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</si>
  <si>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</si>
  <si>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</si>
  <si>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</si>
  <si>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</si>
  <si>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</si>
  <si>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</si>
  <si>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</si>
  <si>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</si>
  <si>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</si>
  <si>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</si>
  <si>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</si>
  <si>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</si>
  <si>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</si>
  <si>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</si>
  <si>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</si>
  <si>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</si>
  <si>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</si>
  <si>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</si>
  <si>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</si>
  <si>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</si>
  <si>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</si>
  <si>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</si>
  <si>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</si>
  <si>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</si>
  <si>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</si>
  <si>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</si>
  <si>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</si>
  <si>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</si>
  <si>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</si>
  <si>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</si>
  <si>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</si>
  <si>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</si>
  <si>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</si>
  <si>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</si>
  <si>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</si>
  <si>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</si>
  <si>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</si>
  <si>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</si>
  <si>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</si>
  <si>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</si>
  <si>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</si>
  <si>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</si>
  <si>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</si>
  <si>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</si>
  <si>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</si>
  <si>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</si>
  <si>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</si>
  <si>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</si>
  <si>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</si>
  <si>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</si>
  <si>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</si>
  <si>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</si>
  <si>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</si>
  <si>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</si>
  <si>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</si>
  <si>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</si>
  <si>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</si>
  <si>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</si>
  <si>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</si>
  <si>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</si>
  <si>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</si>
  <si>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</si>
  <si>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</si>
  <si>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</si>
  <si>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</si>
  <si>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</si>
  <si>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</si>
  <si>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</si>
  <si>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</si>
  <si>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</si>
  <si>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</si>
  <si>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</si>
  <si>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</si>
  <si>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</si>
  <si>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</si>
  <si>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</si>
  <si>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</si>
  <si>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</si>
  <si>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</si>
  <si>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</si>
  <si>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</si>
  <si>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</si>
  <si>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</si>
  <si>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</si>
  <si>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</si>
  <si>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</si>
  <si>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</si>
  <si>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</si>
  <si>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</si>
  <si>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</si>
  <si>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</si>
  <si>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</si>
  <si>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</si>
  <si>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</si>
  <si>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</si>
  <si>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</si>
  <si>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</si>
  <si>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</si>
  <si>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</si>
  <si>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</si>
  <si>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</si>
  <si>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</si>
  <si>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</si>
  <si>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</si>
  <si>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</si>
  <si>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</si>
  <si>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</si>
  <si>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</si>
  <si>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</si>
  <si>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</si>
  <si>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</si>
  <si>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</si>
  <si>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</si>
  <si>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</si>
  <si>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</si>
  <si>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</si>
  <si>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</si>
  <si>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</si>
  <si>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</si>
  <si>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</si>
  <si>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</si>
  <si>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</si>
  <si>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</si>
  <si>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</si>
  <si>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</si>
  <si>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</si>
  <si>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</si>
  <si>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</si>
  <si>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</si>
  <si>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</si>
  <si>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</si>
  <si>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</si>
  <si>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</si>
  <si>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</si>
  <si>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</si>
  <si>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</si>
  <si>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</si>
  <si>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</si>
  <si>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</si>
  <si>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</si>
  <si>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</si>
  <si>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</si>
  <si>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</si>
  <si>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</si>
  <si>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</si>
  <si>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</si>
  <si>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</si>
  <si>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</si>
  <si>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</si>
  <si>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</si>
  <si>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</si>
  <si>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</si>
  <si>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</si>
  <si>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</si>
  <si>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</si>
  <si>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</si>
  <si>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</si>
  <si>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</si>
  <si>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</si>
  <si>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</si>
  <si>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</si>
  <si>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</si>
  <si>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</si>
  <si>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</si>
  <si>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</si>
  <si>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</si>
  <si>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</si>
  <si>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</si>
  <si>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</si>
  <si>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</si>
  <si>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</si>
  <si>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</si>
  <si>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</si>
  <si>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</si>
  <si>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</si>
  <si>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</si>
  <si>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</si>
  <si>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</si>
  <si>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</si>
  <si>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</si>
  <si>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</si>
  <si>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</si>
  <si>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</si>
  <si>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</si>
  <si>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</si>
  <si>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</si>
  <si>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</si>
  <si>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</si>
  <si>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</si>
  <si>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</si>
  <si>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</si>
  <si>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</si>
  <si>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</si>
  <si>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</si>
  <si>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</si>
  <si>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</si>
  <si>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</si>
  <si>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</si>
  <si>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</si>
  <si>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</si>
  <si>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</si>
  <si>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</si>
  <si>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</si>
  <si>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</si>
  <si>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</si>
  <si>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</si>
  <si>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</si>
  <si>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</si>
  <si>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</si>
  <si>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</si>
  <si>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</si>
  <si>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</si>
  <si>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</si>
  <si>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</si>
  <si>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</si>
  <si>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</si>
  <si>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</si>
  <si>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</si>
  <si>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</si>
  <si>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</si>
  <si>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</si>
  <si>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</si>
  <si>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</si>
  <si>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</si>
  <si>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</si>
  <si>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</si>
  <si>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</si>
  <si>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</si>
  <si>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</si>
  <si>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</si>
  <si>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</si>
  <si>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</si>
  <si>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TAMPA DE CONCRETO ARMADO 60X60X5CM PARA CAIXA</t>
  </si>
  <si>
    <t>74166/1</t>
  </si>
  <si>
    <t>CAIXA DE INSPEÇÃO EM CONCRETO PRÉ-MOLDADO DN 60CM COM TAMPA H= 60CM - FORNECIMENTO E INSTALACAO</t>
  </si>
  <si>
    <t>74166/2</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</si>
  <si>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</si>
  <si>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</si>
  <si>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</si>
  <si>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</si>
  <si>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</si>
  <si>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</si>
  <si>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</si>
  <si>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</si>
  <si>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</si>
  <si>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</si>
  <si>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</si>
  <si>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</si>
  <si>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</si>
  <si>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</si>
  <si>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</si>
  <si>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</si>
  <si>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</si>
  <si>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</si>
  <si>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</si>
  <si>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</si>
  <si>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</si>
  <si>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</si>
  <si>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</si>
  <si>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</si>
  <si>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</si>
  <si>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</si>
  <si>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INFANTIL SIFONADO, PARA VALVULA DE DESCARGA, EM LOUCA BRANCA, COM ACESSORIOS, INCLUSIVE ASSENTO PLASTICO, BOLSA DE BORRACHA PARA LIGACAO, TUBO PVC LIGACAO - FORNECIMENTO E INSTALACAO</t>
  </si>
  <si>
    <t>MICTORIO SIFONADO DE LOUCA BRANCA COM PERTENCES, COM REGISTRO DE PRESSAO 1/2" COM CANOPLA CROMADA ACABAMENTO SIMPLES E CONJUNTO PARA FIXACAO  - FORNECIMENTO E INSTALACAO</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</si>
  <si>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</si>
  <si>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</si>
  <si>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</si>
  <si>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</si>
  <si>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</si>
  <si>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</si>
  <si>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</si>
  <si>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</si>
  <si>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</si>
  <si>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</si>
  <si>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</si>
  <si>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</si>
  <si>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</si>
  <si>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</si>
  <si>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</si>
  <si>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VASO SANITÁRIO SIFONADO COM CAIXA ACOPLADA LOUÇA BRANCA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</si>
  <si>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</si>
  <si>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</si>
  <si>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</si>
  <si>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</si>
  <si>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</si>
  <si>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</si>
  <si>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</si>
  <si>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</si>
  <si>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</si>
  <si>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</si>
  <si>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</si>
  <si>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</si>
  <si>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</si>
  <si>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</si>
  <si>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</si>
  <si>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</si>
  <si>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</si>
  <si>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</si>
  <si>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</si>
  <si>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</si>
  <si>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</si>
  <si>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</si>
  <si>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</si>
  <si>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</si>
  <si>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</si>
  <si>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</si>
  <si>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</si>
  <si>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</si>
  <si>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</si>
  <si>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</si>
  <si>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</si>
  <si>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</si>
  <si>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</si>
  <si>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</si>
  <si>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</si>
  <si>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</si>
  <si>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</si>
  <si>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</si>
  <si>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</si>
  <si>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</si>
  <si>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</si>
  <si>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</si>
  <si>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</si>
  <si>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</si>
  <si>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</si>
  <si>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</si>
  <si>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</si>
  <si>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SABONETEIRA DE SOBREPOR (FIXADA NA PAREDE), TIPO CONCHA, EM ACO INOXIDAVEL - FORNECIMENTO E INSTALACAO</t>
  </si>
  <si>
    <t>BANCADA GRANITO CINZA POLIDO 0,50 X 0,60M, INCL. CUBA DE EMBUTIR OVAL LOUÇA BRANCA 35 X 50CM, VÁLVULA METAL CROMADO, SIFÃO FLEXÍVEL PVC, ENGATE 30CM FLEXÍVEL PLÁSTICO E TORNEIRA CROMADA DE MESA, PADRÃO POPULAR - FORNEC. E INSTALAÇÃO. AF_12/2013</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</si>
  <si>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</si>
  <si>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</si>
  <si>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</si>
  <si>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</si>
  <si>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</si>
  <si>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</si>
  <si>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PORTA TOALHA ROSTO EM METAL CROMADO, TIPO ARGOLA, INCLUSO FIXAÇÃO. AF_10/2016</t>
  </si>
  <si>
    <t>PORTA TOALHA BANHO EM METAL CROMADO, TIPO BARRA, INCLUSO FIXAÇÃO. AF_10/2016</t>
  </si>
  <si>
    <t>PAPELEIRA DE PAREDE EM METAL CROMADO SEM TAMPA, INCLUSO FIXAÇÃO. AF_10/2016</t>
  </si>
  <si>
    <t>SABONETEIRA DE PAREDE EM METAL CROMADO, INCLUSO FIXAÇÃO. AF_10/2016</t>
  </si>
  <si>
    <t>KIT DE ACESSORIOS PARA BANHEIRO EM METAL CROMADO, 5 PECAS, INCLUSO FIXAÇÃO. AF_10/2016</t>
  </si>
  <si>
    <t>SABONETEIRA PLASTICA TIPO DISPENSER PARA SABONETE LIQUIDO COM RESERVATORIO 800 A 1500 ML, INCLUSO FIXAÇÃO. AF_10/2016</t>
  </si>
  <si>
    <t>TAMPA EM CONCRETO ARMADO 60X60X5CM P/CX INSPECAO/FOSSA SEPTICA</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</si>
  <si>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</si>
  <si>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</si>
  <si>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</si>
  <si>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</si>
  <si>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</si>
  <si>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</si>
  <si>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</si>
  <si>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</si>
  <si>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</si>
  <si>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</si>
  <si>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</si>
  <si>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</si>
  <si>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</si>
  <si>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</si>
  <si>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</si>
  <si>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</si>
  <si>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</si>
  <si>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</si>
  <si>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</si>
  <si>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</si>
  <si>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</si>
  <si>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</si>
  <si>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</si>
  <si>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</si>
  <si>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</si>
  <si>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</si>
  <si>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</si>
  <si>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</si>
  <si>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</si>
  <si>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</si>
  <si>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</si>
  <si>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</si>
  <si>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</si>
  <si>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</si>
  <si>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</si>
  <si>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</si>
  <si>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</si>
  <si>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</si>
  <si>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</si>
  <si>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</si>
  <si>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</si>
  <si>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</si>
  <si>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</si>
  <si>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</si>
  <si>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</si>
  <si>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VALVULA DESCARGA 1.1/2" COM REGISTRO, ACABAMENTO EM METAL CROMADO - FORNECIMENTO E INSTALACAO</t>
  </si>
  <si>
    <t>73795/1</t>
  </si>
  <si>
    <t>VÁLVULA DE RETENÇÃO VERTICAL Ø 20MM (3/4") - FORNECIMENTO E INSTALAÇÃO</t>
  </si>
  <si>
    <t>73795/2</t>
  </si>
  <si>
    <t>VÁLVULA DE RETENÇÃO VERTICAL Ø 25MM (1") - FORNECIMENTO E INSTALAÇÃO</t>
  </si>
  <si>
    <t>73795/3</t>
  </si>
  <si>
    <t>VÁLVULA DE RETENÇÃO VERTICAL Ø 32MM (1.1/4") - FORNECIMENTO E INSTALAÇÃO</t>
  </si>
  <si>
    <t>73795/4</t>
  </si>
  <si>
    <t>VÁLVULA DE RETENÇÃO VERTICAL Ø 40MM (1.1/2") - FORNECIMENTO E INSTALAÇÃO</t>
  </si>
  <si>
    <t>73795/5</t>
  </si>
  <si>
    <t>VÁLVULA DE RETENÇÃO VERTICAL Ø 50MM (2") - FORNECIMENTO E INSTALAÇÃO</t>
  </si>
  <si>
    <t>73795/6</t>
  </si>
  <si>
    <t>VÁLVULA DE RETENÇÃO VERTICAL Ø 80MM (3") - FORNECIMENTO E INSTALAÇÃO</t>
  </si>
  <si>
    <t>73795/7</t>
  </si>
  <si>
    <t>VÁLVULA DE RETENÇÃO VERTICAL Ø 100MM (4") - FORNECIMENTO E INSTALAÇÃO</t>
  </si>
  <si>
    <t>73795/8</t>
  </si>
  <si>
    <t>VÁLVULA DE RETENÇÃO HORIZONTAL Ø 20MM (3/4") - FORNECIMENTO E INSTALAÇÃO</t>
  </si>
  <si>
    <t>73795/9</t>
  </si>
  <si>
    <t>VALVULA DE RETENCAO HORIZONTAL Ø 25MM (1) - FORNECIMENTO E INSTALACAO</t>
  </si>
  <si>
    <t>73795/10</t>
  </si>
  <si>
    <t>VÁLVULA DE RETENÇÃO HORIZONTAL Ø 32MM (1.1/4") - FORNECIMENTO E INSTALAÇÃO</t>
  </si>
  <si>
    <t>73795/11</t>
  </si>
  <si>
    <t>VÁLVULA DE RETENÇÃO HORIZONTAL Ø 40MM (1.1/2") - FORNECIMENTO E INSTALAÇÃO</t>
  </si>
  <si>
    <t>73795/12</t>
  </si>
  <si>
    <t>VÁLVULA DE RETENÇÃO HORIZONTAL Ø 50MM (2") - FORNECIMENTO E INSTALAÇÃO</t>
  </si>
  <si>
    <t>73795/13</t>
  </si>
  <si>
    <t>VÁLVULA DE RETENÇÃO HORIZONTAL Ø 65MM (2.1/2") - FORNECIMENTO E INSTALAÇÃO</t>
  </si>
  <si>
    <t>73795/14</t>
  </si>
  <si>
    <t>VÁLVULA DE RETENÇÃO HORIZONTAL Ø 80MM (3") - FORNECIMENTO E INSTALAÇÃO</t>
  </si>
  <si>
    <t>73795/15</t>
  </si>
  <si>
    <t>VÁLVULA DE RETENÇÃO HORIZONTAL Ø 100MM (4") - FORNECIMENTO E INSTALAÇÃO</t>
  </si>
  <si>
    <t>73796/1</t>
  </si>
  <si>
    <t>VÁLVULA DE PÉ COM CRIVO Ø 20MM (3/4") - FORNECIMENTO E INSTALAÇÃO</t>
  </si>
  <si>
    <t>73796/2</t>
  </si>
  <si>
    <t>VÁLVULA DE PÉ COM CRIVO Ø 25MM (1") - FORNECIMENTO E INSTALAÇÃO</t>
  </si>
  <si>
    <t>73796/3</t>
  </si>
  <si>
    <t>VÁLVULA DE PÉ COM CRIVO Ø 40MM (1.1/2") - FORNECIMENTO E INSTALAÇÃO</t>
  </si>
  <si>
    <t>73796/4</t>
  </si>
  <si>
    <t>VÁLVULA DE PÉ COM CRIVO Ø 50MM (2") - FORNECIMENTO E INSTALAÇÃO</t>
  </si>
  <si>
    <t>73796/5</t>
  </si>
  <si>
    <t>VÁLVULA DE PÉ COM CRIVO Ø 65MM (2.1/2") - FORNECIMENTO E INSTALAÇÃO</t>
  </si>
  <si>
    <t>73796/6</t>
  </si>
  <si>
    <t>VÁLVULA DE PÉ COM CRIVO Ø 80MM (3") - FORNECIMENTO E INSTALAÇÃO</t>
  </si>
  <si>
    <t>73796/7</t>
  </si>
  <si>
    <t>VÁLVULA DE PÉ COM CRIVO Ø 100MM (4") - FORNECIMENTO E INSTALAÇÃO</t>
  </si>
  <si>
    <t>73870/4</t>
  </si>
  <si>
    <t>REGISTRO DE ESFERA EM BRONZE D= 1.1/4" FORNEC E COLOCACAO</t>
  </si>
  <si>
    <t>74091/1</t>
  </si>
  <si>
    <t>VALVULA RETENCAO VERTICAL BRONZE (PN-16) 2.1/2" 200PSI - EXTREMIDADES COM ROSCA - FORNECIMENTO E INSTALACAO</t>
  </si>
  <si>
    <t>74093/1</t>
  </si>
  <si>
    <t>VALVULA PE COM CRIVO BRONZE 1.1/4" - FORNECIMENTO E INSTALACAO</t>
  </si>
  <si>
    <t>74169/1</t>
  </si>
  <si>
    <t>REGISTRO/VALVULA GLOBO ANGULAR 45 GRAUS EM LATAO PARA HIDRANTES DE INCÊNDIO PREDIAL DN 2.1/2, COM VOLANTE, CLASSE DE PRESSAO DE ATE 200 PSI - FORNECIMENTO E INSTALACAO</t>
  </si>
  <si>
    <t>VALVULA DE RETENCAO VERTICAL BRONZE (PN-16) 1/2" 200 PSI - EXTREMIDADE COM ROSCA - FORNECIMENTO E INSTALACAO</t>
  </si>
  <si>
    <t>REGISTRO DE PRESSÃO BRUTO, LATÃO, ROSCÁVEL, 1/2", FORNECIDO E INSTALADO EM RAMAL DE ÁGUA. AF_12/2014</t>
  </si>
  <si>
    <t>REGISTRO DE PRESSÃO BRUTO,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</si>
  <si>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</si>
  <si>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</si>
  <si>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</si>
  <si>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</si>
  <si>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</si>
  <si>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</si>
  <si>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</si>
  <si>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</si>
  <si>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</si>
  <si>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</si>
  <si>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</si>
  <si>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</si>
  <si>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</si>
  <si>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</si>
  <si>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</si>
  <si>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</si>
  <si>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</si>
  <si>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</si>
  <si>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</si>
  <si>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</si>
  <si>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</si>
  <si>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</si>
  <si>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</si>
  <si>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</si>
  <si>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</si>
  <si>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</si>
  <si>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</si>
  <si>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</si>
  <si>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</si>
  <si>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</si>
  <si>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</si>
  <si>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</si>
  <si>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</si>
  <si>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</si>
  <si>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</si>
  <si>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</si>
  <si>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</si>
  <si>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</si>
  <si>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</si>
  <si>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</si>
  <si>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</si>
  <si>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</si>
  <si>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</si>
  <si>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</si>
  <si>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</si>
  <si>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</si>
  <si>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</si>
  <si>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</si>
  <si>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</si>
  <si>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</si>
  <si>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</si>
  <si>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</si>
  <si>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</si>
  <si>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</si>
  <si>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</si>
  <si>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</si>
  <si>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</si>
  <si>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</si>
  <si>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</si>
  <si>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</si>
  <si>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</si>
  <si>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</si>
  <si>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</si>
  <si>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</si>
  <si>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</si>
  <si>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</si>
  <si>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</si>
  <si>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</si>
  <si>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</si>
  <si>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</si>
  <si>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</si>
  <si>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</si>
  <si>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</si>
  <si>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</si>
  <si>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</si>
  <si>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</si>
  <si>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</si>
  <si>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</si>
  <si>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</si>
  <si>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</si>
  <si>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</si>
  <si>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</si>
  <si>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</si>
  <si>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</si>
  <si>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</si>
  <si>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</si>
  <si>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</si>
  <si>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</si>
  <si>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</si>
  <si>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</si>
  <si>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</si>
  <si>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</si>
  <si>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</si>
  <si>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</si>
  <si>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</si>
  <si>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</si>
  <si>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</si>
  <si>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</si>
  <si>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</si>
  <si>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</si>
  <si>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</si>
  <si>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</si>
  <si>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</si>
  <si>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</si>
  <si>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</si>
  <si>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</si>
  <si>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</si>
  <si>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</si>
  <si>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</si>
  <si>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</si>
  <si>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</si>
  <si>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</si>
  <si>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</si>
  <si>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</si>
  <si>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</si>
  <si>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</si>
  <si>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</si>
  <si>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</si>
  <si>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</si>
  <si>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</si>
  <si>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</si>
  <si>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</si>
  <si>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MÃO-FRANCESA EM AÇO, ABAS IGUAIS 40 CM, CAPACIDADE MÍNIMA 70 KG, BRANCO  FORNECIMENTO E INSTALAÇÃO. AF_11/2016</t>
  </si>
  <si>
    <t>MÃO-FRANCESA EM AÇO, ABAS IGUAIS 30 CM, CAPACIDADE MÍNIMA 60 KG, BRANCO  FORNECIMENTO E INSTALAÇÃO.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</si>
  <si>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</si>
  <si>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</si>
  <si>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</si>
  <si>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</si>
  <si>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</si>
  <si>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TIL (TUBO DE INSPEÇÃO E LIMPEZA) RADIAL PARA ESGOTO, EM PVC, DN 300 X 200 MM. AF_05/2018</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</si>
  <si>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</si>
  <si>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</si>
  <si>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</si>
  <si>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</si>
  <si>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</si>
  <si>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</si>
  <si>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</si>
  <si>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</si>
  <si>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</si>
  <si>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</si>
  <si>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</si>
  <si>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</si>
  <si>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</si>
  <si>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</si>
  <si>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</si>
  <si>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</si>
  <si>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</si>
  <si>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</si>
  <si>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</si>
  <si>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</si>
  <si>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</si>
  <si>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</si>
  <si>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</si>
  <si>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</si>
  <si>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</si>
  <si>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</si>
  <si>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</si>
  <si>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</si>
  <si>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</si>
  <si>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</si>
  <si>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</si>
  <si>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</si>
  <si>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INSTALACAO DE CLORADOR</t>
  </si>
  <si>
    <t>LEITO FILTRANTE - ASSENTAMENTO DE BLOCOS LEOPOLD</t>
  </si>
  <si>
    <t>FORNECIMENTO E INSTALACAO DE TALHA E TROLEY MANUAL DE 1 TONELADA</t>
  </si>
  <si>
    <t>LEITO FILTRANTE - COLOCACAO DE LONA PLASTICA</t>
  </si>
  <si>
    <t>INSTALACAO DE BOMBA DOSADORA</t>
  </si>
  <si>
    <t>INSTALACAO DE AGITADOR</t>
  </si>
  <si>
    <t>73824/1</t>
  </si>
  <si>
    <t>INSTALACAO DE MISTURADOR VERTICAL</t>
  </si>
  <si>
    <t>73825/2</t>
  </si>
  <si>
    <t>VERTEDOR TRIANGULAR DE ALUMINIO</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</si>
  <si>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</si>
  <si>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</si>
  <si>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</si>
  <si>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</si>
  <si>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</si>
  <si>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</si>
  <si>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</si>
  <si>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</si>
  <si>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</si>
  <si>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</si>
  <si>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73827/1</t>
  </si>
  <si>
    <t>KIT CAVALETE PVC COM REGISTRO 1/2" - FORNECIMENTO E INSTALAÇÃO</t>
  </si>
  <si>
    <t>74218/1</t>
  </si>
  <si>
    <t>KIT CAVALETE PVC COM REGISTRO 3/4" - FORNECIMENTO E INSTALACAO</t>
  </si>
  <si>
    <t>74253/1</t>
  </si>
  <si>
    <t>RAMAL PREDIAL EM TUBO PEAD 20MM - FORNECIMENTO, INSTALAÇÃO, ESCAVAÇÃO E REATERRO</t>
  </si>
  <si>
    <t>LIGACAO DA REDE 50MM AO RAMAL PREDIAL 1/2"</t>
  </si>
  <si>
    <t>LIGACAO DA REDE 75MM AO RAMAL PREDIAL 1/2"</t>
  </si>
  <si>
    <t>LIGAÇÃO DOMICILIAR DE ESGOTO DN 100MM, DA CASA ATÉ A CAIXA, COMPOSTO POR 10,0M TUBO DE PVC ESGOTO PREDIAL DN 100MM E CAIXA DE ALVENARIA COM TAMPA DE CONCRETO - FORNECIMENTO E INSTALAÇÃO</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</si>
  <si>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</si>
  <si>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</si>
  <si>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</si>
  <si>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</si>
  <si>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</si>
  <si>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</si>
  <si>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</si>
  <si>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</si>
  <si>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ESCAVACAO SUBMERSA COM DRAGA DE MANDIBULA</t>
  </si>
  <si>
    <t>DRAGAGEM (C/ ESCAVADEIRA DRAG LINE DE ARRASTE 140HP)</t>
  </si>
  <si>
    <t>73903/1</t>
  </si>
  <si>
    <t>LIMPEZA SUPERFICIAL DA CAMADA VEGETAL EM JAZIDA</t>
  </si>
  <si>
    <t>73903/2</t>
  </si>
  <si>
    <t>EXPURGO DE JAZIDA (MATERIAL VEGETAL, OU INSERVÍVEL, EXCETO LAMA)</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</si>
  <si>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</si>
  <si>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</si>
  <si>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</si>
  <si>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</si>
  <si>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</si>
  <si>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</si>
  <si>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</si>
  <si>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</si>
  <si>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</si>
  <si>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</si>
  <si>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74205/1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</si>
  <si>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</si>
  <si>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</si>
  <si>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</si>
  <si>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</si>
  <si>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</si>
  <si>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</si>
  <si>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</si>
  <si>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</si>
  <si>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</si>
  <si>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</si>
  <si>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</si>
  <si>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</si>
  <si>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</si>
  <si>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</si>
  <si>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</si>
  <si>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</si>
  <si>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</si>
  <si>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</si>
  <si>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</si>
  <si>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</si>
  <si>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</si>
  <si>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</si>
  <si>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</si>
  <si>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</si>
  <si>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</si>
  <si>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</si>
  <si>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</si>
  <si>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</si>
  <si>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</si>
  <si>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</si>
  <si>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</si>
  <si>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</si>
  <si>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</si>
  <si>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</si>
  <si>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</si>
  <si>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</si>
  <si>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</si>
  <si>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</si>
  <si>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</si>
  <si>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</si>
  <si>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</si>
  <si>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</si>
  <si>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</si>
  <si>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</si>
  <si>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</si>
  <si>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</si>
  <si>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</si>
  <si>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</si>
  <si>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</si>
  <si>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</si>
  <si>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</si>
  <si>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</si>
  <si>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</si>
  <si>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</si>
  <si>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</si>
  <si>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</si>
  <si>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</si>
  <si>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</si>
  <si>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73965/9</t>
  </si>
  <si>
    <t>ESCAVACAO MANUAL DE VALA EM LODO, DE 1,5 ATE 3M, EXCLUINDO ESGOTAMENTO/ESCORAMENTO.</t>
  </si>
  <si>
    <t>79506/2</t>
  </si>
  <si>
    <t>ESCAVAÇÃO MANUAL DE VALA/CAVA EM LODO, ENTRE 3 E 4,5M DE PROFUNDIDADE</t>
  </si>
  <si>
    <t>79518/1</t>
  </si>
  <si>
    <t>MARROAMENTO EM MATERIAL DE 3A CATEGORIA, ROCHA VIVA PARA REDUÇÃO A PEDRA-DE-MÃO</t>
  </si>
  <si>
    <t>79518/2</t>
  </si>
  <si>
    <t>MARROAMENTO DE MATERIAL DE 2A CATEGORIA, ROCHA DECOMPOSTA PARA REDUÇÃO A PEDRA-DE-MÃO</t>
  </si>
  <si>
    <t>ESCAVACAO MECANICA DE VALAS (SOLO COM AGUA), PROFUNDIDADE MAIOR QUE 4,00 M ATE 6,00 M.</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</si>
  <si>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</si>
  <si>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</si>
  <si>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</si>
  <si>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</si>
  <si>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</si>
  <si>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</si>
  <si>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</si>
  <si>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</si>
  <si>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</si>
  <si>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</si>
  <si>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</si>
  <si>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</si>
  <si>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</si>
  <si>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</si>
  <si>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</si>
  <si>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</si>
  <si>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</si>
  <si>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</si>
  <si>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</si>
  <si>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</si>
  <si>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</si>
  <si>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</si>
  <si>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ESCAVAÇÃO MANUAL DE VALA COM PROFUNDIDADE MENOR OU IGUAL A 1,30 M. AF_03/2016</t>
  </si>
  <si>
    <t>ATERRO COM AREIA COM ADENSAMENTO HIDRAULICO</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</si>
  <si>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</si>
  <si>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</si>
  <si>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</si>
  <si>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</si>
  <si>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</si>
  <si>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</si>
  <si>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</si>
  <si>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</si>
  <si>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</si>
  <si>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</si>
  <si>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</si>
  <si>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</si>
  <si>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</si>
  <si>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</si>
  <si>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</si>
  <si>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</si>
  <si>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</si>
  <si>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</si>
  <si>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</si>
  <si>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</si>
  <si>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</si>
  <si>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</si>
  <si>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</si>
  <si>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</si>
  <si>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</si>
  <si>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</si>
  <si>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UMEDECIMENTO DE MATERIAL PARA FECHAMENTO DE VALAS.</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</si>
  <si>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</si>
  <si>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</si>
  <si>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</si>
  <si>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</si>
  <si>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</si>
  <si>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</si>
  <si>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</si>
  <si>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</si>
  <si>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</si>
  <si>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</si>
  <si>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</si>
  <si>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</si>
  <si>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</si>
  <si>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</si>
  <si>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</si>
  <si>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</si>
  <si>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</si>
  <si>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</si>
  <si>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</si>
  <si>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</si>
  <si>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</si>
  <si>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</si>
  <si>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</si>
  <si>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</si>
  <si>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</si>
  <si>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</si>
  <si>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</si>
  <si>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</si>
  <si>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</si>
  <si>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</si>
  <si>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</si>
  <si>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</si>
  <si>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</si>
  <si>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</si>
  <si>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</si>
  <si>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</si>
  <si>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</si>
  <si>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</si>
  <si>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</si>
  <si>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</si>
  <si>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</si>
  <si>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</si>
  <si>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</si>
  <si>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CARGA E DESCARGA MECANIZADAS DE ENTULHO EM CAMINHAO BASCULANTE 6 M3</t>
  </si>
  <si>
    <t>TRANSPORTE DE ENTULHO COM CAMINHÃO BASCULANTE 6 M3, RODOVIA PAVIMENTADA, DMT ATE 0,5 KM</t>
  </si>
  <si>
    <t>TRANSPORTE DE ENTULHO COM CAMINHAO BASCULANTE 6 M3, RODOVIA PAVIMENTADA, DMT 0,5 A 1,0 KM</t>
  </si>
  <si>
    <t>74010/1</t>
  </si>
  <si>
    <t>CARGA E DESCARGA MECANICA DE SOLO UTILIZANDO CAMINHAO BASCULANTE 6,0M3/16T E PA CARREGADEIRA SOBRE PNEUS 128 HP, CAPACIDADE DA CAÇAMBA 1,7 A 2,8 M3, PESO OPERACIONAL 11632 KG</t>
  </si>
  <si>
    <t>74241/1</t>
  </si>
  <si>
    <t>EMPILHAMENTO DE SOLO ORGANICO RETIRADO NA AREA DO ATERRO COM TRATOR SOBRE ESTEIRAS D6</t>
  </si>
  <si>
    <t>TRANSPORTE COMERCIAL DE BRITA</t>
  </si>
  <si>
    <t>TRANSPORTE DE PAVIMENTACAO REMOVIDA (RODOVIAS NAO URBANAS)</t>
  </si>
  <si>
    <t>TRANSPORTE COM CAMINHÃO BASCULANTE 10 M3 DE MASSA ASFALTICA PARA PAVIMENTAÇÃO URBANA</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</si>
  <si>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</si>
  <si>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</si>
  <si>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</si>
  <si>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</si>
  <si>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</si>
  <si>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</si>
  <si>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</si>
  <si>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</si>
  <si>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</si>
  <si>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</si>
  <si>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</si>
  <si>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</si>
  <si>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</si>
  <si>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</si>
  <si>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</si>
  <si>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</si>
  <si>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</si>
  <si>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</si>
  <si>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</si>
  <si>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</si>
  <si>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</si>
  <si>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</si>
  <si>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</si>
  <si>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</si>
  <si>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</si>
  <si>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</si>
  <si>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</si>
  <si>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</si>
  <si>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FORNECIMENTO E LANCAMENTO DE BRITA N. 4</t>
  </si>
  <si>
    <t>FORNECIMENTO E ASSENTAMENTO DE BRITA 2-DRENOS E FILTROS   MM</t>
  </si>
  <si>
    <t>COMPACTACAO MECANICA A 95% DO PROCTOR NORMAL - PAVIMENTACAO URBANA</t>
  </si>
  <si>
    <t>COMPACTACAO MECANICA A 100% DO PROCTOR NORMAL - PAVIMENTACAO URBANA</t>
  </si>
  <si>
    <t>74005/1</t>
  </si>
  <si>
    <t>COMPACTACAO MECANICA, SEM CONTROLE DO GC (C/COMPACTADOR PLACA 400 KG)</t>
  </si>
  <si>
    <t>74005/2</t>
  </si>
  <si>
    <t>COMPACTACAO MECANICA C/ CONTROLE DO GC&gt;=95% DO PN (AREAS) (C/MONIVELADORA 140 HP E ROLO COMPRESSOR VIBRATORIO 80 HP)</t>
  </si>
  <si>
    <t>74034/1</t>
  </si>
  <si>
    <t>ESPALHAMENTO DE MATERIAL DE 1A CATEGORIA COM TRATOR DE ESTEIRA COM 153HP</t>
  </si>
  <si>
    <t>ESPALHAMENTO DE MATERIAL EM BOTA FORA, COM UTILIZACAO DE TRATOR DE ESTEIRAS DE 165 HP</t>
  </si>
  <si>
    <t>UMIDIFICAÇÃO DE MATERIAL PARA VALAS COM CAMINHÃO PIPA 10000L. AF_11/2016</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</si>
  <si>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</si>
  <si>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</si>
  <si>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</si>
  <si>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</si>
  <si>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</si>
  <si>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</si>
  <si>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</si>
  <si>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</si>
  <si>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</si>
  <si>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</si>
  <si>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</si>
  <si>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</si>
  <si>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</si>
  <si>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</si>
  <si>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</si>
  <si>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</si>
  <si>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</si>
  <si>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</si>
  <si>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</si>
  <si>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</si>
  <si>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</si>
  <si>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</si>
  <si>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</si>
  <si>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</si>
  <si>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</si>
  <si>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</si>
  <si>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</si>
  <si>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</si>
  <si>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</si>
  <si>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</si>
  <si>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</si>
  <si>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</si>
  <si>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</si>
  <si>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</si>
  <si>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</si>
  <si>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</si>
  <si>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</si>
  <si>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</si>
  <si>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</si>
  <si>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</si>
  <si>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</si>
  <si>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</si>
  <si>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</si>
  <si>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</si>
  <si>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</si>
  <si>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</si>
  <si>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</si>
  <si>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</si>
  <si>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</si>
  <si>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</si>
  <si>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</si>
  <si>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</si>
  <si>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</si>
  <si>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</si>
  <si>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</si>
  <si>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</si>
  <si>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</si>
  <si>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</si>
  <si>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</si>
  <si>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</si>
  <si>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</si>
  <si>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</si>
  <si>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DE EMBASAMENTO EM TIJOLOS CERAMICOS MACICOS 5X10X20CM, ASSENTADO  COM ARGAMASSA TRACO 1:2:8 (CIMENTO, CAL E AREIA)</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</si>
  <si>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</si>
  <si>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</si>
  <si>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</si>
  <si>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</si>
  <si>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</si>
  <si>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</si>
  <si>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</si>
  <si>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</si>
  <si>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</si>
  <si>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</si>
  <si>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</si>
  <si>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</si>
  <si>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</si>
  <si>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</si>
  <si>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</si>
  <si>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</si>
  <si>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</si>
  <si>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</si>
  <si>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</si>
  <si>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</si>
  <si>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</si>
  <si>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</si>
  <si>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</si>
  <si>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</si>
  <si>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</si>
  <si>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</si>
  <si>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</si>
  <si>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</si>
  <si>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</si>
  <si>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</si>
  <si>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</si>
  <si>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</si>
  <si>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COBOGO CERAMICO (ELEMENTO VAZADO), 9X20X20CM, ASSENTADO COM ARGAMASSA TRACO 1:4 DE CIMENTO E AREIA</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</si>
  <si>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</si>
  <si>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</si>
  <si>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</si>
  <si>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</si>
  <si>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</si>
  <si>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</si>
  <si>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</si>
  <si>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</si>
  <si>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</si>
  <si>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</si>
  <si>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</si>
  <si>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</si>
  <si>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</si>
  <si>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</si>
  <si>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</si>
  <si>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</si>
  <si>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</si>
  <si>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</si>
  <si>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</si>
  <si>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</si>
  <si>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</si>
  <si>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</si>
  <si>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</si>
  <si>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</si>
  <si>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</si>
  <si>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</si>
  <si>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</si>
  <si>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</si>
  <si>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</si>
  <si>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</si>
  <si>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</si>
  <si>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</si>
  <si>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</si>
  <si>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</si>
  <si>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</si>
  <si>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</si>
  <si>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</si>
  <si>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</si>
  <si>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</si>
  <si>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</si>
  <si>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</si>
  <si>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</si>
  <si>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</si>
  <si>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</si>
  <si>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</si>
  <si>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</si>
  <si>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</si>
  <si>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</si>
  <si>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</si>
  <si>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</si>
  <si>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</si>
  <si>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</si>
  <si>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</si>
  <si>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</si>
  <si>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</si>
  <si>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</si>
  <si>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</si>
  <si>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</si>
  <si>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</si>
  <si>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</si>
  <si>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</si>
  <si>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</si>
  <si>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</si>
  <si>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</si>
  <si>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</si>
  <si>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</si>
  <si>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</si>
  <si>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BLOCOS DE VIDRO TIPO CANELADO 19X19X8CM, ASSENTADO COM ARGAMASSA TRACO 1:3 (CIMENTO E AREIA GROSSA) PREPARO MECANICO, COM REJUNTAMENTO EM CIMENTO BRANCO E BARRAS DE ACO</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</si>
  <si>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</si>
  <si>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</si>
  <si>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</si>
  <si>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</si>
  <si>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</si>
  <si>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</si>
  <si>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</si>
  <si>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</si>
  <si>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</si>
  <si>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</si>
  <si>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</si>
  <si>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</si>
  <si>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</si>
  <si>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</si>
  <si>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</si>
  <si>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</si>
  <si>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</si>
  <si>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</si>
  <si>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</si>
  <si>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</si>
  <si>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</si>
  <si>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</si>
  <si>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</si>
  <si>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</si>
  <si>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</si>
  <si>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</si>
  <si>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</si>
  <si>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</si>
  <si>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</si>
  <si>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</si>
  <si>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</si>
  <si>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</si>
  <si>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</si>
  <si>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</si>
  <si>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</si>
  <si>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</si>
  <si>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</si>
  <si>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</si>
  <si>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</si>
  <si>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</si>
  <si>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</si>
  <si>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DEMOLIÇÃO DE PAVIMENTAÇÃO ASFÁLTICA COM UTILIZAÇÃO DE MARTELO PERFURADOR, ESPESSURA ATÉ 15 CM, EXCLUSIVE CARGA E TRANSPORTE</t>
  </si>
  <si>
    <t>CONFORMACAO GEOMETRICA DE PLATAFORMA PARA EXECUCAO DE REVESTIMENTO PRIMARIO EM RODOVIAS VICINAIS</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</si>
  <si>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</si>
  <si>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</si>
  <si>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</si>
  <si>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</si>
  <si>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</si>
  <si>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REGULARIZACAO E COMPACTACAO DE SUBLEITO ATE 20 CM DE ESPESSURA</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</si>
  <si>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</si>
  <si>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</si>
  <si>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</si>
  <si>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</si>
  <si>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</si>
  <si>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</si>
  <si>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</si>
  <si>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</si>
  <si>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</si>
  <si>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</si>
  <si>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</si>
  <si>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</si>
  <si>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</si>
  <si>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PAVIMENTO EM PARALELEPIPEDO SOBRE COLCHAO DE AREIA REJUNTADO COM ARGAMASSA DE CIMENTO E AREIA NO TRAÇO 1:3 (PEDRAS PEQUENAS 30 A 35 PECAS POR M2)</t>
  </si>
  <si>
    <t>PINTURA DE LIGACAO COM EMULSAO RR-1C</t>
  </si>
  <si>
    <t>PINTURA DE LIGACAO COM EMULSAO RR-2C</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</si>
  <si>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</si>
  <si>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</si>
  <si>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</si>
  <si>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</si>
  <si>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</si>
  <si>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</si>
  <si>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73760/1</t>
  </si>
  <si>
    <t>CAPA SELANTE COMPREENDENDO APLICAÇÃO DE ASFALTO NA PROPORÇÃO DE 0,7 A 1,5L / M2, DISTRIBUIÇÃO DE AGREGADOS DE 5 A 15KG/M2 E COMPACTAÇÃO COM ROLO - COM USO DA EMULSAO RR-2C, INCLUSO APLICACAO E COMPACTACAO</t>
  </si>
  <si>
    <t>73849/1</t>
  </si>
  <si>
    <t>AREIA ASFALTO A QUENTE (AAUQ) COM CAP 50/70, INCLUSO USINAGEM E APLICACAO, EXCLUSIVE TRANSPORTE</t>
  </si>
  <si>
    <t>73849/2</t>
  </si>
  <si>
    <t>AREIA ASFALTO A FRIO (AAUF), COM EMULSAO RR-2C INCLUSO USINAGEM E APLICACAO, EXCLUSIVE TRANSPORTE</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</si>
  <si>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</si>
  <si>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</si>
  <si>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</si>
  <si>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</si>
  <si>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</si>
  <si>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</si>
  <si>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</si>
  <si>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</si>
  <si>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</si>
  <si>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</si>
  <si>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</si>
  <si>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</si>
  <si>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</si>
  <si>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</si>
  <si>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</si>
  <si>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</si>
  <si>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</si>
  <si>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</si>
  <si>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</si>
  <si>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</si>
  <si>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</si>
  <si>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</si>
  <si>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</si>
  <si>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</si>
  <si>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</si>
  <si>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</si>
  <si>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</si>
  <si>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</si>
  <si>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</si>
  <si>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</si>
  <si>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</si>
  <si>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</si>
  <si>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</si>
  <si>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</si>
  <si>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</si>
  <si>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</si>
  <si>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</si>
  <si>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</si>
  <si>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</si>
  <si>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</si>
  <si>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SINALIZACAO HORIZONTAL COM TINTA RETRORREFLETIVA A BASE DE RESINA ACRILICA COM MICROESFERAS DE VIDRO</t>
  </si>
  <si>
    <t>CAIACAO EM MEIO FIO</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</si>
  <si>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</si>
  <si>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</si>
  <si>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</si>
  <si>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</si>
  <si>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83696/1</t>
  </si>
  <si>
    <t>PINTURA GUARDA-CORPO GUARDA-RODA E MURETA PROTECAO COM CAL EM PONTES EVIADUTOS MEDIDA PELO DOBRO DA AREA TOTAL (LARGURAXALTURA).</t>
  </si>
  <si>
    <t>USINAGEM DE CBUQ COM CAP 50/70, PARA CAPA DE ROLAMENTO</t>
  </si>
  <si>
    <t>USINAGEM DE CBUQ COM CAP 50/70, PARA BINDER</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</si>
  <si>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</si>
  <si>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</si>
  <si>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</si>
  <si>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</si>
  <si>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</si>
  <si>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</si>
  <si>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</si>
  <si>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</si>
  <si>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</si>
  <si>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</si>
  <si>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</si>
  <si>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</si>
  <si>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</si>
  <si>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</si>
  <si>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</si>
  <si>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CAIACAO INT OU EXT SOBRE REVESTIMENTO LISO C/ADOCAO DE FIXADOR COM    COM DUAS DEMAOS</t>
  </si>
  <si>
    <t>PINTURA DE SUPERFICIE C/TINTA GRAFITE</t>
  </si>
  <si>
    <t>74133/1</t>
  </si>
  <si>
    <t>EMASSAMENTO COM MASSA A OLEO, UMA DEMAO</t>
  </si>
  <si>
    <t>74133/2</t>
  </si>
  <si>
    <t>EMASSAMENTO COM MASSA A OLEO, DUAS DEMAOS</t>
  </si>
  <si>
    <t>EMASSAMENTO COM MASSA EPOXI, 2 DEMAOS</t>
  </si>
  <si>
    <t>79494/1</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</si>
  <si>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</si>
  <si>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</si>
  <si>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</si>
  <si>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</si>
  <si>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</si>
  <si>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</si>
  <si>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</si>
  <si>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</si>
  <si>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</si>
  <si>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</si>
  <si>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</si>
  <si>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</si>
  <si>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</si>
  <si>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</si>
  <si>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</si>
  <si>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</si>
  <si>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</si>
  <si>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</si>
  <si>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</si>
  <si>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</si>
  <si>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</si>
  <si>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</si>
  <si>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</si>
  <si>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</si>
  <si>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</si>
  <si>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</si>
  <si>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</si>
  <si>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</si>
  <si>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</si>
  <si>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</si>
  <si>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</si>
  <si>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</si>
  <si>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</si>
  <si>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</si>
  <si>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</si>
  <si>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</si>
  <si>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</si>
  <si>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</si>
  <si>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</si>
  <si>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</si>
  <si>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</si>
  <si>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</si>
  <si>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</si>
  <si>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</si>
  <si>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</si>
  <si>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</si>
  <si>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</si>
  <si>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</si>
  <si>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</si>
  <si>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</si>
  <si>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</si>
  <si>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PINTURA EPOXI, DUAS DEMAOS</t>
  </si>
  <si>
    <t>PINTURA COM TINTA A BASE DE BORRACHA CLORADA, 2 DEMAOS</t>
  </si>
  <si>
    <t>79514/1</t>
  </si>
  <si>
    <t>PINTURA EPOXI, TRES DEMAOS</t>
  </si>
  <si>
    <t>PINTURA EPOXI INCLUSO EMASSAMENTO E FUNDO PREPARADOR</t>
  </si>
  <si>
    <t>TRATAMENTO EM  CONCRETO COM ESTUQUE E LIXAMENTO</t>
  </si>
  <si>
    <t>VERNIZ SINTETICO BRILHANTE EM CONCRETO OU TIJOLO, DUAS DEMAOS</t>
  </si>
  <si>
    <t>VERNIZ POLIURETANO BRILHANTE EM CONCRETO OU TIJOLO, TRES DEMAOS</t>
  </si>
  <si>
    <t>PINTURA EM VERNIZ SINTETICO BRILHANTE EM MADEIRA, TRES DEMAOS</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</si>
  <si>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</si>
  <si>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</si>
  <si>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</si>
  <si>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</si>
  <si>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</si>
  <si>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</si>
  <si>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</si>
  <si>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74065/3</t>
  </si>
  <si>
    <t>PINTURA ESMALTE BRILHANTE PARA MADEIRA, DUAS DEMAOS, SOBRE FUNDO NIVELADOR BRANCO</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</si>
  <si>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</si>
  <si>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</si>
  <si>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</si>
  <si>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</si>
  <si>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</si>
  <si>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</si>
  <si>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</si>
  <si>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</si>
  <si>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</si>
  <si>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</si>
  <si>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JATEAMENTO COM AREIA EM ESTRUTURA METALICA</t>
  </si>
  <si>
    <t>73794/1</t>
  </si>
  <si>
    <t>PINTURA COM TINTA PROTETORA ACABAMENTO GRAFITE ESMALTE SOBRE SUPERFICIE METALICA, 2 DEMAOS</t>
  </si>
  <si>
    <t>73865/1</t>
  </si>
  <si>
    <t>FUNDO PREPARADOR PRIMER A BASE DE EPOXI, PARA ESTRUTURA METALICA, UMA DEMAO, ESPESSURA DE 25 MICRA.</t>
  </si>
  <si>
    <t>PINTURA ESMALTE ALTO BRILHO, DUAS DEMAOS, SOBRE SUPERFICIE METALICA</t>
  </si>
  <si>
    <t>73924/2</t>
  </si>
  <si>
    <t>PINTURA ESMALTE ACETINADO, DUAS DEMAOS, SOBRE SUPERFICIE METALICA</t>
  </si>
  <si>
    <t>73924/3</t>
  </si>
  <si>
    <t>PINTURA ESMALTE FOSCO, DUAS DEMAOS, SOBRE SUPERFICIE METALICA</t>
  </si>
  <si>
    <t>74064/1</t>
  </si>
  <si>
    <t>FUNDO ANTICORROSIVO A BASE DE OXIDO DE FERRO (ZARCAO), DUAS DEMAOS</t>
  </si>
  <si>
    <t>74064/2</t>
  </si>
  <si>
    <t>FUNDO ANTICORROSIVO A BASE DE OXIDO DE FERRO (ZARCAO), UMA DEMAO</t>
  </si>
  <si>
    <t>74145/1</t>
  </si>
  <si>
    <t>PINTURA ESMALTE FOSCO, DUAS DEMAOS, SOBRE SUPERFICIE METALICA, INCLUSO UMA DEMAO DE FUNDO ANTICORROSIVO. UTILIZACAO DE REVOLVER ( AR-COMPRIMIDO).</t>
  </si>
  <si>
    <t>79498/1</t>
  </si>
  <si>
    <t>PINTURA A OLEO BRILHANTE SOBRE SUPERFICIE METALICA, UMA DEMAO INCLUSO UMA DEMAO DE FUNDO ANTICORROSIVO</t>
  </si>
  <si>
    <t>79499/1</t>
  </si>
  <si>
    <t>PINTURA POSTE RETO DE ACO 3,5 A 6M C/1 DEMAO D/TINTA GRAFITE C/PROPRIEDADES DE PRIMER E ACABAMENTO - OBS: C/ALTO TEOR DE ZARCAO</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</si>
  <si>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</si>
  <si>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</si>
  <si>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</si>
  <si>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</si>
  <si>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</si>
  <si>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PINTURA ESMALTE BRILHANTE (2 DEMAOS) SOBRE SUPERFICIE METALICA, INCLUSIVE PROTECAO COM ZARCAO (1 DEMAO)</t>
  </si>
  <si>
    <t>PINTURA ACRILICA DE FAIXAS DE DEMARCACAO EM QUADRA POLIESPORTIVA, 5 CM DE LARGURA</t>
  </si>
  <si>
    <t>73978/1</t>
  </si>
  <si>
    <t>PINTURA HIDROFUGANTE COM SILICONE SOBRE PISO CIMENTADO, UMA DEMAO</t>
  </si>
  <si>
    <t>74245/1</t>
  </si>
  <si>
    <t>PINTURA ACRILICA EM PISO CIMENTADO DUAS DEMAOS</t>
  </si>
  <si>
    <t>PINTURA COM TINTA A BASE DE BORRACHA CLORADA , DE FAIXAS DE DEMARCACAO, EM QUADRA POLIESPORTIVA, 5 CM DE LARGURA.</t>
  </si>
  <si>
    <t>ML</t>
  </si>
  <si>
    <t>PINTURA ACRILICA EM PISO CIMENTADO, TRES DEMAOS</t>
  </si>
  <si>
    <t>APLICACAO DE VERNIZ POLIURETANO FOSCO SOBRE PISO DE PEDRAS DECORATIVAS, 3 DEMAOS</t>
  </si>
  <si>
    <t>PINTURA ACRILICA PARA SINALIZAÇÃO HORIZONTAL EM PISO CIMENTADO</t>
  </si>
  <si>
    <t>POLIMENTO E ENCERAMENTO DE PISO EM MADEIRA</t>
  </si>
  <si>
    <t>PINTURA PARA TELHAS DE ALUMINIO COM TINTA ESMALTE AUTOMOTIVA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</si>
  <si>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</si>
  <si>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</si>
  <si>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</si>
  <si>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PISO EM TABUA CORRIDA DE MADEIRA ESPESSURA 2,5CM FIXADO EM PECAS DE MADEIRA E ASSENTADO EM ARGAMASSA TRACO 1:4 (CIMENTO/AREIA)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</si>
  <si>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</si>
  <si>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</si>
  <si>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</si>
  <si>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</si>
  <si>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</si>
  <si>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</si>
  <si>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</si>
  <si>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</si>
  <si>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</si>
  <si>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</si>
  <si>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</si>
  <si>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</si>
  <si>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</si>
  <si>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</si>
  <si>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</si>
  <si>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</si>
  <si>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</si>
  <si>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</si>
  <si>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</si>
  <si>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</si>
  <si>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</si>
  <si>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</si>
  <si>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</si>
  <si>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</si>
  <si>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</si>
  <si>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</si>
  <si>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</si>
  <si>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</si>
  <si>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</si>
  <si>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</si>
  <si>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</si>
  <si>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</si>
  <si>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</si>
  <si>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</si>
  <si>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</si>
  <si>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</si>
  <si>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</si>
  <si>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</si>
  <si>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</si>
  <si>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</si>
  <si>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</si>
  <si>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</si>
  <si>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</si>
  <si>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</si>
  <si>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</si>
  <si>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</si>
  <si>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PISO INDUSTRIAL DE ALTA RESISTENCIA, ESPESSURA 8MM, INCLUSO JUNTAS DE DILATACAO PLASTICAS E POLIMENTO MECANIZADO</t>
  </si>
  <si>
    <t>PISO INDUSTRIAL ALTA RESISTENCIA, ESPESSURA 12MM, INCLUSO JUNTAS DE DILATACAO PLASTICAS E POLIMENTO MECANIZADO</t>
  </si>
  <si>
    <t>APLICACAO DE TINTA A BASE DE EPOXI SOBRE PISO</t>
  </si>
  <si>
    <t>PISO EM GRANILITE, MARMORITE OU GRANITINA ESPESSURA 8 MM, INCLUSO JUNTAS DE DILATACAO PLASTICAS</t>
  </si>
  <si>
    <t>74111/1</t>
  </si>
  <si>
    <t>SOLEIRA / TABEIRA EM MARMORE BRANCO COMUM, POLIDO, LARGURA 5 CM, ESPESSURA 2 CM, ASSENTADA COM ARGAMASSA COLANTE</t>
  </si>
  <si>
    <t>SOLEIRA EM MÁRMORE, LARGURA 15 CM, ESPESSURA 2,0 CM. AF_06/2018</t>
  </si>
  <si>
    <t>RODAPÉ EM MÁRMORE, ALTURA 7 CM. AF_06/2018</t>
  </si>
  <si>
    <t>73886/1</t>
  </si>
  <si>
    <t>RODAPE EM MADEIRA, ALTURA 7CM, FIXADO EM PECAS DE MADEIRA</t>
  </si>
  <si>
    <t>RODAPE EM MADEIRA, ALTURA 7CM, FIXADO COM COLA</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</si>
  <si>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</si>
  <si>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</si>
  <si>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</si>
  <si>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</si>
  <si>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RODAPE EM MARMORITE, ALTURA 10CM</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</si>
  <si>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</si>
  <si>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</si>
  <si>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</si>
  <si>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</si>
  <si>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JUNTA 5X5CM COM ARGAMASSA TRACO 1:3 (CIMENTO E AREIA) PARA PISO EM PLACAS</t>
  </si>
  <si>
    <t>JUNTA 2,5X2,5CM COM ARGAMASSA 1:1:3 IMPERMEABILIZANTE DE HIDRO-ASFALTO CIMENTO E AREIA PARA PISO EM PLACAS</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</si>
  <si>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</si>
  <si>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</si>
  <si>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</si>
  <si>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</si>
  <si>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</si>
  <si>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</si>
  <si>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</si>
  <si>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</si>
  <si>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</si>
  <si>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</si>
  <si>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</si>
  <si>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</si>
  <si>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</si>
  <si>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</si>
  <si>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</si>
  <si>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</si>
  <si>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</si>
  <si>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</si>
  <si>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</si>
  <si>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</si>
  <si>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</si>
  <si>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</si>
  <si>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</si>
  <si>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</si>
  <si>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</si>
  <si>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</si>
  <si>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</si>
  <si>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</si>
  <si>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</si>
  <si>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</si>
  <si>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</si>
  <si>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</si>
  <si>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</si>
  <si>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</si>
  <si>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</si>
  <si>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</si>
  <si>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</si>
  <si>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</si>
  <si>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</si>
  <si>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</si>
  <si>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</si>
  <si>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</si>
  <si>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</si>
  <si>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</si>
  <si>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</si>
  <si>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</si>
  <si>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</si>
  <si>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</si>
  <si>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</si>
  <si>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</si>
  <si>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</si>
  <si>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</si>
  <si>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</si>
  <si>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</si>
  <si>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</si>
  <si>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</si>
  <si>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</si>
  <si>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</si>
  <si>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</si>
  <si>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</si>
  <si>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</si>
  <si>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</si>
  <si>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</si>
  <si>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</si>
  <si>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</si>
  <si>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</si>
  <si>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</si>
  <si>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</si>
  <si>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</si>
  <si>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</si>
  <si>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</si>
  <si>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</si>
  <si>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</si>
  <si>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</si>
  <si>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</si>
  <si>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</si>
  <si>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</si>
  <si>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</si>
  <si>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</si>
  <si>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</si>
  <si>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</si>
  <si>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</si>
  <si>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</si>
  <si>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</si>
  <si>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</si>
  <si>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</si>
  <si>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</si>
  <si>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</si>
  <si>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</si>
  <si>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</si>
  <si>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</si>
  <si>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</si>
  <si>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</si>
  <si>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</si>
  <si>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</si>
  <si>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</si>
  <si>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</si>
  <si>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</si>
  <si>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</si>
  <si>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</si>
  <si>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</si>
  <si>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</si>
  <si>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</si>
  <si>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</si>
  <si>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</si>
  <si>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</si>
  <si>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</si>
  <si>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</si>
  <si>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</si>
  <si>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</si>
  <si>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</si>
  <si>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</si>
  <si>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</si>
  <si>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</si>
  <si>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</si>
  <si>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</si>
  <si>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</si>
  <si>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BARRA LISA COM ARGAMASSA TRACO 1:4 (CIMENTO E AREIA GROSSA), ESPESSURA 2,0CM, INCLUSO ADITIVO IMPERMEABILIZANTE, PREPARO MECANICO DA ARGAMASSA</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</si>
  <si>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</si>
  <si>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</si>
  <si>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</si>
  <si>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</si>
  <si>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</si>
  <si>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</si>
  <si>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</si>
  <si>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</si>
  <si>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</si>
  <si>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</si>
  <si>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</si>
  <si>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</si>
  <si>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</si>
  <si>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</si>
  <si>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</si>
  <si>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</si>
  <si>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</si>
  <si>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</si>
  <si>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</si>
  <si>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</si>
  <si>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</si>
  <si>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</si>
  <si>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</si>
  <si>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</si>
  <si>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</si>
  <si>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</si>
  <si>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</si>
  <si>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</si>
  <si>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</si>
  <si>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</si>
  <si>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</si>
  <si>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</si>
  <si>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</si>
  <si>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</si>
  <si>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</si>
  <si>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</si>
  <si>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</si>
  <si>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</si>
  <si>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</si>
  <si>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</si>
  <si>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</si>
  <si>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</si>
  <si>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</si>
  <si>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</si>
  <si>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</si>
  <si>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</si>
  <si>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</si>
  <si>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</si>
  <si>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</si>
  <si>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</si>
  <si>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</si>
  <si>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</si>
  <si>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</si>
  <si>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</si>
  <si>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</si>
  <si>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</si>
  <si>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</si>
  <si>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</si>
  <si>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</si>
  <si>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</si>
  <si>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</si>
  <si>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</si>
  <si>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</si>
  <si>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</si>
  <si>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</si>
  <si>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</si>
  <si>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</si>
  <si>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</si>
  <si>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</si>
  <si>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</si>
  <si>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</si>
  <si>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</si>
  <si>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</si>
  <si>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</si>
  <si>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</si>
  <si>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</si>
  <si>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</si>
  <si>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</si>
  <si>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</si>
  <si>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</si>
  <si>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</si>
  <si>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</si>
  <si>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</si>
  <si>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</si>
  <si>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</si>
  <si>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</si>
  <si>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</si>
  <si>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</si>
  <si>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</si>
  <si>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</si>
  <si>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</si>
  <si>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</si>
  <si>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</si>
  <si>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</si>
  <si>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</si>
  <si>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</si>
  <si>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</si>
  <si>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</si>
  <si>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</si>
  <si>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</si>
  <si>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</si>
  <si>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</si>
  <si>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</si>
  <si>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</si>
  <si>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</si>
  <si>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</si>
  <si>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</si>
  <si>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</si>
  <si>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</si>
  <si>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</si>
  <si>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</si>
  <si>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</si>
  <si>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</si>
  <si>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</si>
  <si>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</si>
  <si>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</si>
  <si>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</si>
  <si>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</si>
  <si>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</si>
  <si>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</si>
  <si>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</si>
  <si>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</si>
  <si>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</si>
  <si>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</si>
  <si>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</si>
  <si>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</si>
  <si>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</si>
  <si>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</si>
  <si>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</si>
  <si>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</si>
  <si>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</si>
  <si>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</si>
  <si>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</si>
  <si>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</si>
  <si>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</si>
  <si>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</si>
  <si>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</si>
  <si>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PASTA DE CIMENTO PORTLAND, ESPESSURA 1MM</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</si>
  <si>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</si>
  <si>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</si>
  <si>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</si>
  <si>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</si>
  <si>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</si>
  <si>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</si>
  <si>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</si>
  <si>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</si>
  <si>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</si>
  <si>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</si>
  <si>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</si>
  <si>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</si>
  <si>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</si>
  <si>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</si>
  <si>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</si>
  <si>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</si>
  <si>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</si>
  <si>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</si>
  <si>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</si>
  <si>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</si>
  <si>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</si>
  <si>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</si>
  <si>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</si>
  <si>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</si>
  <si>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</si>
  <si>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</si>
  <si>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</si>
  <si>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</si>
  <si>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</si>
  <si>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</si>
  <si>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TABEIRA DE MADEIRA LEI, 1A QUALIDADE, 2,5X30,0CM PARA BEIRAL DE TELHADO</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</si>
  <si>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</si>
  <si>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</si>
  <si>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</si>
  <si>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</si>
  <si>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</si>
  <si>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</si>
  <si>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</si>
  <si>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</si>
  <si>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</si>
  <si>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COM ALTURA DE 15 CM, MONTADA NA OBRA). AF_05/2017_P</t>
  </si>
  <si>
    <t>REVESTIMENTO EM LAMINADO MELAMINICO TEXTURIZADO, ESPESSURA 0,8 MM, FIXADO COM COLA</t>
  </si>
  <si>
    <t>73807/1</t>
  </si>
  <si>
    <t>CORRIMAO EM MARMORITE, LARGURA 15CM</t>
  </si>
  <si>
    <t>RECOLOCACO DE FORROS EM REGUA DE PVC E PERFIS, CONSIDERANDO REAPROVEITAMENTO DO MATERIAL</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</si>
  <si>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</si>
  <si>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</si>
  <si>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</si>
  <si>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</si>
  <si>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</si>
  <si>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ISOLAMENTO TERMICO COM ARGAMASSA TRACO 1:3 (CIMENTO E AREIA GROSSA NAO PENEIRADA), COM ADICAO DE PEROLAS DE ISOPOR, ESPESSURA 6CM, PREPARO MANUAL DA ARGAMASSA</t>
  </si>
  <si>
    <t>73833/1</t>
  </si>
  <si>
    <t>ISOLAMENTO TERMICO COM MANTA DE LA DE VIDRO, ESPESSURA 2,5CM</t>
  </si>
  <si>
    <t>REPARO ESTRUTURAL DE ESTRUTURAS DE CONCRETO COM ARGAMASSA POLIMERICA DE ALTO DESEMPENHO, E=2 CM</t>
  </si>
  <si>
    <t>REPARO/COLAGEM DE ESTRUTURAS DE CONCRETO COM ADESIVO ESTRUTURAL A BASE DE EPOXI, E=2 MM</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</si>
  <si>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</si>
  <si>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</si>
  <si>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</si>
  <si>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</si>
  <si>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</si>
  <si>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</si>
  <si>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</si>
  <si>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</si>
  <si>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TRACO 1:3 (CIMENTO E AREIA), PREPARO MANUAL, INCLUSO ADITIVO IMPERMEABILIZANTE</t>
  </si>
  <si>
    <t>ARGAMASSA TRACO 1:4 (CIMENTO E AREIA), PREPARO MANUAL, INCLUSO ADITIVO IMPERMEABILIZANTE</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</si>
  <si>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</si>
  <si>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</si>
  <si>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</si>
  <si>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</si>
  <si>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</si>
  <si>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</si>
  <si>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</si>
  <si>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</si>
  <si>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</si>
  <si>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</si>
  <si>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</si>
  <si>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</si>
  <si>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</si>
  <si>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</si>
  <si>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</si>
  <si>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</si>
  <si>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</si>
  <si>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</si>
  <si>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</si>
  <si>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</si>
  <si>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</si>
  <si>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</si>
  <si>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</si>
  <si>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</si>
  <si>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</si>
  <si>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</si>
  <si>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</si>
  <si>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</si>
  <si>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</si>
  <si>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</si>
  <si>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</si>
  <si>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</si>
  <si>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</si>
  <si>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</si>
  <si>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</si>
  <si>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</si>
  <si>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</si>
  <si>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</si>
  <si>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</si>
  <si>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</si>
  <si>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</si>
  <si>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</si>
  <si>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</si>
  <si>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</si>
  <si>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</si>
  <si>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</si>
  <si>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</si>
  <si>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</si>
  <si>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</si>
  <si>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</si>
  <si>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</si>
  <si>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</si>
  <si>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</si>
  <si>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</si>
  <si>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</si>
  <si>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</si>
  <si>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</si>
  <si>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</si>
  <si>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</si>
  <si>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</si>
  <si>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</si>
  <si>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</si>
  <si>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</si>
  <si>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</si>
  <si>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</si>
  <si>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</si>
  <si>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</si>
  <si>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</si>
  <si>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</si>
  <si>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</si>
  <si>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</si>
  <si>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</si>
  <si>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</si>
  <si>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</si>
  <si>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</si>
  <si>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</si>
  <si>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</si>
  <si>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</si>
  <si>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</si>
  <si>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</si>
  <si>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</si>
  <si>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</si>
  <si>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</si>
  <si>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</si>
  <si>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</si>
  <si>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</si>
  <si>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</si>
  <si>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</si>
  <si>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</si>
  <si>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</si>
  <si>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</si>
  <si>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</si>
  <si>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</si>
  <si>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</si>
  <si>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</si>
  <si>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</si>
  <si>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</si>
  <si>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</si>
  <si>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</si>
  <si>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</si>
  <si>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</si>
  <si>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</si>
  <si>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</si>
  <si>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PRONTA PARA CONTRAPISO, PREPARO MANUAL. AF_06/2014</t>
  </si>
  <si>
    <t>ARGAMASSA INDUSTRIALIZADA PARA CHAPISCO ROLADO, PREPARO MANUAL. AF_06/2014</t>
  </si>
  <si>
    <t>ARGAMASSA INDUSTRIALIZADA PARA CHAPISCO COLANTE,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</si>
  <si>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</si>
  <si>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</si>
  <si>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1,5 M³/H DE ARGAMASSA. AF_06/2014</t>
  </si>
  <si>
    <t>ARGAMASSA INDUSTRIALIZADA PARA REVESTIMENTOS, MISTURA E PROJEÇÃO DE 2 M³/H DE ARGAMASSA. AF_06/2014</t>
  </si>
  <si>
    <t>ARGAMASSA À BASE DE GESSO, MISTURA E PROJEÇÃO DE 1,5 M³/H DE ARGAMASSA. AF_06/2014</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</si>
  <si>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</si>
  <si>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</si>
  <si>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</si>
  <si>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</si>
  <si>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</si>
  <si>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</si>
  <si>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ARGAMASSA TRAÇO 1:2:9 (CIMENTO, CAL E AREIA MÉDIA) PARA EMBOÇO/MASSA ÚNICA/ASSENTAMENTO DE ALVENARIA DE VEDAÇÃO, PREPARO MECÂNICO COM BETONEIRA 400 L. AF_09/2014</t>
  </si>
  <si>
    <t>ARGAMASSA TRAÇO 1:1,65 (CIMENTO E AREIA MÉDIA), FCK 20 MPA, PREPARO MECÂNICO COM MISTURADOR DUPLO HORIZONTAL DE ALTA TURBULÊNCIA. AF_11/2016</t>
  </si>
  <si>
    <t>ARGAMASSA TRAÇO 1:3 (CIMENTO E AREIA), PREPARO MECANICO , INCLUSO ADITIVO IMPERMEABILIZANTE</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</si>
  <si>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</si>
  <si>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</si>
  <si>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</si>
  <si>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</si>
  <si>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</si>
  <si>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</si>
  <si>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</si>
  <si>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</si>
  <si>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</si>
  <si>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</si>
  <si>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</si>
  <si>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</si>
  <si>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</si>
  <si>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</si>
  <si>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</si>
  <si>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</si>
  <si>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</si>
  <si>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</si>
  <si>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</si>
  <si>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</si>
  <si>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</si>
  <si>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</si>
  <si>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</si>
  <si>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</si>
  <si>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</si>
  <si>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</si>
  <si>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</si>
  <si>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</si>
  <si>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</si>
  <si>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</si>
  <si>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</si>
  <si>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</si>
  <si>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</si>
  <si>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</si>
  <si>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</si>
  <si>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</si>
  <si>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</si>
  <si>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</si>
  <si>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</si>
  <si>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</si>
  <si>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L</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</si>
  <si>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</si>
  <si>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</si>
  <si>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</si>
  <si>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</si>
  <si>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</si>
  <si>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</si>
  <si>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</si>
  <si>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</si>
  <si>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</si>
  <si>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</si>
  <si>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</si>
  <si>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</si>
  <si>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</si>
  <si>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</si>
  <si>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</si>
  <si>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</si>
  <si>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</si>
  <si>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</si>
  <si>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18L</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</si>
  <si>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</si>
  <si>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</si>
  <si>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</si>
  <si>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</si>
  <si>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</si>
  <si>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</si>
  <si>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</si>
  <si>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</si>
  <si>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</si>
  <si>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</si>
  <si>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</si>
  <si>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</si>
  <si>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</si>
  <si>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</si>
  <si>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</si>
  <si>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</si>
  <si>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</si>
  <si>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</si>
  <si>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</si>
  <si>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</si>
  <si>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</si>
  <si>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</si>
  <si>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</si>
  <si>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</si>
  <si>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</si>
  <si>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</si>
  <si>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</si>
  <si>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</si>
  <si>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</si>
  <si>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</si>
  <si>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</si>
  <si>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</si>
  <si>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</si>
  <si>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</si>
  <si>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</si>
  <si>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</si>
  <si>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</si>
  <si>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</si>
  <si>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</si>
  <si>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MANIPULADOR TELESCÓPICO, 30M. AF_06/2014</t>
  </si>
  <si>
    <t>MIL</t>
  </si>
  <si>
    <t>TRANSPORTE HORIZONTAL, BLOCOS CERÂMICOS FURADOS NA VERTICAL 19X19X39 CM, MANIPULADOR TELESCÓPICO, 30M. AF_06/2014</t>
  </si>
  <si>
    <t>TRANSPORTE HORIZONTAL, BLOCOS CERÂMICOS FURADOS NA HORIZONTAL 9X19X19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</si>
  <si>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</si>
  <si>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</si>
  <si>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</si>
  <si>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</si>
  <si>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</si>
  <si>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CERÂMICOS FURADOS NA HORIZONTAL 9X19X19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</si>
  <si>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</si>
  <si>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</si>
  <si>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TRANSPORTE HORIZONTAL, BLOCOS CERÂMICOS FURADOS NA HORIZONTAL 9X19X19 CM, MANIPULADOR TELESCÓPICO, 100M. AF_06/2014</t>
  </si>
  <si>
    <t>PENEIRAMENTO DE AREIA COM PENEIRA ELÉTRICA. AF_11/2015</t>
  </si>
  <si>
    <t>PENEIRAMENTO DE AREIA COM PENEIRA MANUAL. AF_11/2015</t>
  </si>
  <si>
    <t>ENSACAMENTO DE AREIA. AF_11/2015</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</si>
  <si>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</si>
  <si>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</si>
  <si>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</si>
  <si>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</si>
  <si>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</si>
  <si>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</si>
  <si>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</si>
  <si>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</si>
  <si>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</si>
  <si>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</si>
  <si>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</si>
  <si>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</si>
  <si>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</si>
  <si>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</si>
  <si>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</si>
  <si>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AF_07/2016</t>
  </si>
  <si>
    <t>TRANSPORTE HORIZONTAL MANUAL, DE 30 M, DE TELHA TERMOACÚSTICA OU TELHA DE AÇO ZINCADO.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</si>
  <si>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</si>
  <si>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</si>
  <si>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</si>
  <si>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</si>
  <si>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</si>
  <si>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</si>
  <si>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</si>
  <si>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</si>
  <si>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</si>
  <si>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</si>
  <si>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</si>
  <si>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</si>
  <si>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</si>
  <si>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</si>
  <si>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</si>
  <si>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</si>
  <si>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TRANSPORTE HORIZONTAL DE 100 M COM CARRINHO PLATAFORMA COM BARRAMENTO BLINDADO. AF_07/2016</t>
  </si>
  <si>
    <t>TRANSPORTE HORIZONTAL MANUAL, DE 30 M, DE CALHA. AF_07/2016</t>
  </si>
  <si>
    <t>LIMPEZA FINAL DA OBRA</t>
  </si>
  <si>
    <t>73806/1</t>
  </si>
  <si>
    <t>LIMPEZA DE SUPERFICIES COM JATO DE ALTA PRESSAO DE AR E AGUA</t>
  </si>
  <si>
    <t>73948/2</t>
  </si>
  <si>
    <t>LIMPEZA/PREPARO SUPERFICIE CONCRETO P/PINTURA</t>
  </si>
  <si>
    <t>73948/3</t>
  </si>
  <si>
    <t>LIMPEZA AZULEJO</t>
  </si>
  <si>
    <t>73948/8</t>
  </si>
  <si>
    <t>LIMPEZA VIDRO COMUM</t>
  </si>
  <si>
    <t>73948/9</t>
  </si>
  <si>
    <t>LIMPEZA FORRO</t>
  </si>
  <si>
    <t>73948/11</t>
  </si>
  <si>
    <t>LIMPEZA PISO CERAMICO</t>
  </si>
  <si>
    <t>73948/15</t>
  </si>
  <si>
    <t>LIMPEZA PISO MARMORITE/GRANILITE</t>
  </si>
  <si>
    <t>73948/16</t>
  </si>
  <si>
    <t>LIMPEZA MANUAL DO TERRENO (C/ RASPAGEM SUPERFICIAL)</t>
  </si>
  <si>
    <t>74086/1</t>
  </si>
  <si>
    <t>LIMPEZA LOUCAS E METAIS</t>
  </si>
  <si>
    <t>RASPAGEM / CALAFETACAO TACOS MADEIRA 1 DEMAO CERA</t>
  </si>
  <si>
    <t>ENCERAMENTO MANUAL EM MADEIRA - 3 DEMAOS</t>
  </si>
  <si>
    <t>LIXAMENTO MAN C/ LIXA CALAFATE DE CONCR APARENTE ANTIGO</t>
  </si>
  <si>
    <t>LIMPEZA DE REVESTIMENTO EM PAREDE C/ SOLUCAO DE ACIDO MURIATICO/AMONIA</t>
  </si>
  <si>
    <t>74163/1</t>
  </si>
  <si>
    <t>PERFURACAO DE POCO COM PERFURATRIZ PNEUMATICA</t>
  </si>
  <si>
    <t>74163/2</t>
  </si>
  <si>
    <t>PERFURACAO DE POCO COM PERFURATRIZ A PERCUSSAO</t>
  </si>
  <si>
    <t>REVESTIMENTO DE POCOS C/ TUBOS DE CONCRETO</t>
  </si>
  <si>
    <t>ABRACADEIRA P/POCOS PROFUNDOS</t>
  </si>
  <si>
    <t>SOLDA TOPO DESCENDENTE CHANFRADA ESPESSURA=1/4" CHAPA/PERFIL/TUBO ACO COM CONVERSOR DIESEL.</t>
  </si>
  <si>
    <t>SOLDA DE TOPO DESCENDENTE, EM CHAPA ACO CHANFR 5/16" ESP (P/ ASSENT TUBULACAO OU PECA DE ACO) UTILIZANDO CONVERSOR DIESEL.</t>
  </si>
  <si>
    <t>SOLDA DE TOPO DESCENDENTE, EM CHAPA ACO CHANFR 3/8" ESP (P/ ASSENT TUBULACAO OU PECA DE ACO) UTILIZANDO CONVERSOR DIESEL</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</si>
  <si>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</si>
  <si>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</si>
  <si>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</si>
  <si>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MÃO FRANCESA EM BARRA DE FERRO CHATO RETANGULAR 2" X 1/4", REFORÇADA, 40 X 30 CM</t>
  </si>
  <si>
    <t>MÃO FRANCESA EM BARRA DE FERRO CHATO RETANGULAR 2" X 1/4", REFORÇADA, 30 X 25 CM</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</si>
  <si>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</si>
  <si>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</si>
  <si>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</si>
  <si>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</si>
  <si>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</si>
  <si>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</si>
  <si>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</si>
  <si>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</si>
  <si>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</si>
  <si>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</si>
  <si>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</si>
  <si>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</si>
  <si>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</si>
  <si>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</si>
  <si>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</si>
  <si>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</si>
  <si>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</si>
  <si>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</si>
  <si>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</si>
  <si>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</si>
  <si>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</si>
  <si>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</si>
  <si>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</si>
  <si>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</si>
  <si>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</si>
  <si>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</si>
  <si>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</si>
  <si>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73916/2</t>
  </si>
  <si>
    <t>PLACA ESMALTADA PARA IDENTIFICAÇÃO NR DE RUA, DIMENSÕES 45X25CM</t>
  </si>
  <si>
    <t>DESMATAMENTO E LIMPEZA MECANIZADA DE TERRENO COM ARVORES ATE Ø 15CM, UTILIZANDO TRATOR DE ESTEIRAS</t>
  </si>
  <si>
    <t>73822/2</t>
  </si>
  <si>
    <t>LIMPEZA MECANIZADA DE TERRENO COM REMOCAO DE CAMADA VEGETAL, UTILIZANDO MOTONIVELADORA</t>
  </si>
  <si>
    <t>73859/1</t>
  </si>
  <si>
    <t>DESMATAMENTO E LIMPEZA MECANIZADA DE TERRENO COM REMOCAO DE CAMADA VEGETAL, UTILIZANDO TRATOR DE ESTEIRAS</t>
  </si>
  <si>
    <t>CAPINA E LIMPEZA MANUAL DE TERRENO</t>
  </si>
  <si>
    <t>CORTE DE CAPOEIRA FINA A FOICE</t>
  </si>
  <si>
    <t>PREPARO MANUAL DE TERRENO S/ RASPAGEM SUPERFICIAL</t>
  </si>
  <si>
    <t>TAPUME DE CHAPA DE MADEIRA COMPENSADA, E= 6MM, COM PINTURA A CAL E REAPROVEITAMENTO DE 2X</t>
  </si>
  <si>
    <t>74221/1</t>
  </si>
  <si>
    <t>SINALIZACAO DE TRANSITO - NOTURNA</t>
  </si>
  <si>
    <t>74219/1</t>
  </si>
  <si>
    <t>PASSADICOS COM TABUAS DE MADEIRA PARA PEDESTRES</t>
  </si>
  <si>
    <t>74219/2</t>
  </si>
  <si>
    <t>PASSADICOS COM TABUAS DE MADEIRA PARA VEICULOS</t>
  </si>
  <si>
    <t>CHAPA DE ACO CARBONO 3/8 (COLOC/ USO/ RETIR) P/ PASS VEICULO SOBRE VALA MEDIDA P/ AREA CHAPA EM CADA APLICACAO</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</si>
  <si>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</si>
  <si>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</si>
  <si>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</si>
  <si>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</si>
  <si>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</si>
  <si>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</si>
  <si>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</si>
  <si>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</si>
  <si>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</si>
  <si>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</si>
  <si>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</si>
  <si>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</si>
  <si>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</si>
  <si>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</si>
  <si>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</si>
  <si>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</si>
  <si>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</si>
  <si>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</si>
  <si>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</si>
  <si>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</si>
  <si>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</si>
  <si>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</si>
  <si>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</si>
  <si>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</si>
  <si>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</si>
  <si>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</si>
  <si>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</si>
  <si>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</si>
  <si>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</si>
  <si>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</si>
  <si>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</si>
  <si>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</si>
  <si>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</si>
  <si>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</si>
  <si>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</si>
  <si>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</si>
  <si>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</si>
  <si>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</si>
  <si>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</si>
  <si>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</si>
  <si>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</si>
  <si>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</si>
  <si>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</si>
  <si>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</si>
  <si>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</si>
  <si>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ISOLAMENTO DE OBRA COM TELA PLASTICA COM MALHA DE 5MM</t>
  </si>
  <si>
    <t>ISOLAMENTO DE OBRA COM TELA PLASTICA COM MALHA DE 5MM E ESTRUTURA DE MADEIRA PONTALETEADA</t>
  </si>
  <si>
    <t>ENSAIO DE RECEBIMENTO E ACEITACAO DE CIMENTO PORTLAND</t>
  </si>
  <si>
    <t>ENSAIO DE RECEBIMENTO E ACEITACAO DE AGREGADO GRAUDO</t>
  </si>
  <si>
    <t>73900/11</t>
  </si>
  <si>
    <t>ENSAIOS DE AREIA ASFALTO A QUENTE</t>
  </si>
  <si>
    <t>73900/12</t>
  </si>
  <si>
    <t>ENSAIOS DE CONCRETO ASFALTICO</t>
  </si>
  <si>
    <t>74020/1</t>
  </si>
  <si>
    <t>ENSAIO DE PAVIMENTO DE CONCRETO</t>
  </si>
  <si>
    <t>74020/2</t>
  </si>
  <si>
    <t>ENSAIOS DE PAVIMENTO DE CONCRETO COMPACTADO COM ROLO</t>
  </si>
  <si>
    <t>74021/2</t>
  </si>
  <si>
    <t>ENSAIO DE TERRAPLENAGEM - CAMADA FINAL DO ATERRO</t>
  </si>
  <si>
    <t>74021/3</t>
  </si>
  <si>
    <t>ENSAIOS DE REGULARIZACAO DO SUBLEITO</t>
  </si>
  <si>
    <t>74021/4</t>
  </si>
  <si>
    <t>ENSAIOS DE REFORCO DO SUBLEITO</t>
  </si>
  <si>
    <t>74021/5</t>
  </si>
  <si>
    <t>ENSAIOS DE SUB BASE DE SOLO MELHORADO COM CIMENTO</t>
  </si>
  <si>
    <t>74021/6</t>
  </si>
  <si>
    <t>ENSAIOS DE BASE ESTABILIZADA GRANULOMETRICAMENTE</t>
  </si>
  <si>
    <t>74021/7</t>
  </si>
  <si>
    <t>ENSAIO DE BASE DE SOLO MELHORADO COM CIMENTO</t>
  </si>
  <si>
    <t>74021/8</t>
  </si>
  <si>
    <t>ENSAIOS DE BASE DE SOLO CIMENTO</t>
  </si>
  <si>
    <t>74022/1</t>
  </si>
  <si>
    <t>ENSAIO DE PENETRACAO - MATERIAL BETUMINOSO</t>
  </si>
  <si>
    <t>74022/2</t>
  </si>
  <si>
    <t>ENSAIO DE VISCOSIDADE SAYBOLT - FUROL - MATERIAL BETUMINOSO</t>
  </si>
  <si>
    <t>74022/3</t>
  </si>
  <si>
    <t>ENSAIO DE DETERMINACAO DA PENEIRACAO - EMULSAO ASFALTICA</t>
  </si>
  <si>
    <t>74022/4</t>
  </si>
  <si>
    <t>ENSAIO DE DETERMINACAO DA SEDIMENTACAO - EMULSAO ASFALTICA</t>
  </si>
  <si>
    <t>74022/5</t>
  </si>
  <si>
    <t>ENSAIO DE DETERMINACAO DO TEOR DE BETUME - CIMENTO ASFALTICO DE PETROLEO</t>
  </si>
  <si>
    <t>74022/6</t>
  </si>
  <si>
    <t>ENSAIO DE GRANULOMETRIA POR PENEIRAMENTO - SOLOS</t>
  </si>
  <si>
    <t>74022/7</t>
  </si>
  <si>
    <t>ENSAIO DE GRANULOMETRIA POR PENEIRAMENTO E SEDIMENTACAO - SOLOS</t>
  </si>
  <si>
    <t>74022/8</t>
  </si>
  <si>
    <t>ENSAIO DE LIMITE DE LIQUIDEZ - SOLOS</t>
  </si>
  <si>
    <t>74022/9</t>
  </si>
  <si>
    <t>ENSAIO DE LIMITE DE PLASTICIDADE - SOLOS</t>
  </si>
  <si>
    <t>74022/10</t>
  </si>
  <si>
    <t>ENSAIO DE COMPACTACAO - AMOSTRAS NAO TRABALHADAS - ENERGIA NORMAL - SOLOS</t>
  </si>
  <si>
    <t>74022/11</t>
  </si>
  <si>
    <t>ENSAIO DE COMPACTACAO - AMOSTRAS NAO TRABALHADAS - ENERGIA INTERMEDIARIA - SOLOS</t>
  </si>
  <si>
    <t>74022/12</t>
  </si>
  <si>
    <t>ENSAIO DE COMPACTACAO - AMOSTRAS NAO TRABALHADAS - ENERGIA MODIFICADA - SOLOS</t>
  </si>
  <si>
    <t>74022/13</t>
  </si>
  <si>
    <t>ENSAIO DE COMPACTACAO - AMOSTRAS TRABALHADAS - SOLOS</t>
  </si>
  <si>
    <t>74022/14</t>
  </si>
  <si>
    <t>ENSAIO DE MASSA ESPECIFICA - IN SITU - METODO FRASCO DE AREIA - SOLOS</t>
  </si>
  <si>
    <t>74022/15</t>
  </si>
  <si>
    <t>ENSAIO DE MASSA ESPECIFICA - IN SITU - METODO BALAO DE BORRACHA - SOLOS</t>
  </si>
  <si>
    <t>74022/16</t>
  </si>
  <si>
    <t>ENSAIO DE DENSIDADE REAL - SOLOS</t>
  </si>
  <si>
    <t>74022/17</t>
  </si>
  <si>
    <t>ENSAIO DE ABRASAO LOS ANGELES - AGREGADOS</t>
  </si>
  <si>
    <t>74022/18</t>
  </si>
  <si>
    <t>ENSAIO DE MASSA ESPECIFICA - IN SITU - EMPREGO DO OLEO - SOLOS</t>
  </si>
  <si>
    <t>74022/19</t>
  </si>
  <si>
    <t>ENSAIO DE INDICE DE SUPORTE CALIFORNIA - AMOSTRAS NAO TRABALHADAS - ENERGIA NORMAL - SOLOS</t>
  </si>
  <si>
    <t>74022/20</t>
  </si>
  <si>
    <t>ENSAIO DE INDICE DE SUPORTE CALIFORNIA - AMOSTRAS NAO TRABALHADAS - ENERGIA INTERMEDIARIA - SOLOS</t>
  </si>
  <si>
    <t>74022/21</t>
  </si>
  <si>
    <t>ENSAIO DE INDICE DE SUPORTE CALIFORNIA- AMOSTRAS NAO TRABALHADAS - ENERGIA MODIFICADA- SOLOS</t>
  </si>
  <si>
    <t>74022/22</t>
  </si>
  <si>
    <t>ENSAIO DE TEOR DE UMIDADE - METODO EXPEDITO DO ALCOOL - SOLOS</t>
  </si>
  <si>
    <t>74022/23</t>
  </si>
  <si>
    <t>ENSAIO DE TEOR DE UMIDADE - PROCESSO SPEEDY - SOLOS E AGREGADOS MIUDOS</t>
  </si>
  <si>
    <t>74022/24</t>
  </si>
  <si>
    <t>ENSAIO DE TEOR DE UMIDADE - EM LABORATORIO - SOLOS</t>
  </si>
  <si>
    <t>74022/25</t>
  </si>
  <si>
    <t>ENSAIO DE PONTO DE FULGOR - MATERIAL BETUMINOSO</t>
  </si>
  <si>
    <t>74022/26</t>
  </si>
  <si>
    <t>ENSAIO DE DESTILACAO - ASFALTO DILUIDO</t>
  </si>
  <si>
    <t>74022/27</t>
  </si>
  <si>
    <t>ENSAIO DE CONTROLE DE TAXA DE APLICACAO DE LIGANTE BETUMINOSO</t>
  </si>
  <si>
    <t>74022/28</t>
  </si>
  <si>
    <t>ENSAIO DE SUSCEPTIBILIDADE TERMICA - INDICE PFEIFFER - MATERIAL ASFALTICO</t>
  </si>
  <si>
    <t>74022/29</t>
  </si>
  <si>
    <t>ENSAIO DE ESPUMA - MATERIAL ASFALTICO</t>
  </si>
  <si>
    <t>74022/30</t>
  </si>
  <si>
    <t>ENSAIO DE RESISTENCIA A COMPRESSAO SIMPLES - CONCRETO</t>
  </si>
  <si>
    <t>74022/31</t>
  </si>
  <si>
    <t>ENSAIO DE RESISTENCIA A TRACAO POR COMPRESSAO DIAMETRAL - CONCRETO</t>
  </si>
  <si>
    <t>74022/32</t>
  </si>
  <si>
    <t>ENSAIO DE RESISTENCIA A TRACAO NA FLEXAO DE CONCRETO</t>
  </si>
  <si>
    <t>74022/33</t>
  </si>
  <si>
    <t>ENSAIO DE RESILIENCIA - SOLOS</t>
  </si>
  <si>
    <t>74022/34</t>
  </si>
  <si>
    <t>ENSAIO DE RESILIENCIA - MISTURAS BETUMINOSAS</t>
  </si>
  <si>
    <t>74022/35</t>
  </si>
  <si>
    <t>ENSAIO DE PERCENTAGEM DE BETUME - MISTURAS BETUMINOSAS</t>
  </si>
  <si>
    <t>74022/36</t>
  </si>
  <si>
    <t>ENSAIO DE ADESIVIDADE - RESISTENCIA A AGUA - EMULSAO ASFALTICA</t>
  </si>
  <si>
    <t>74022/37</t>
  </si>
  <si>
    <t>ENSAIO DE ADESIVIDADE A LIGANTE BETUMINOSO - AGREGADO GRAUDO</t>
  </si>
  <si>
    <t>74022/38</t>
  </si>
  <si>
    <t>ENSAIO DE EXPANSIBILIDADE - SOLOS</t>
  </si>
  <si>
    <t>74022/39</t>
  </si>
  <si>
    <t>PREPARACAO DE AMOSTRAS PARA ENSAIO DE CARACTERIZACAO - SOLOS</t>
  </si>
  <si>
    <t>74022/40</t>
  </si>
  <si>
    <t>ENSAIO MARSHALL - MISTURA BETUMINOSA A QUENTE</t>
  </si>
  <si>
    <t>74022/41</t>
  </si>
  <si>
    <t>ENSAIO DE DETERMINACAO DO INDICE DE FORMA - AGREGADOS</t>
  </si>
  <si>
    <t>74022/42</t>
  </si>
  <si>
    <t>ENSAIO DE EQUIVALENTE EM AREIA - SOLOS</t>
  </si>
  <si>
    <t>74022/43</t>
  </si>
  <si>
    <t>ENSAIO DE MOLDAGEM E CURA DE SOLO CIMENTO</t>
  </si>
  <si>
    <t>74022/44</t>
  </si>
  <si>
    <t>ENSAIO DE COMPRESSAO AXIAL DE SOLO CIMENTO</t>
  </si>
  <si>
    <t>74022/45</t>
  </si>
  <si>
    <t>ENSAIO DE VISCOSIDADE CINEMATICA - ASFALTO</t>
  </si>
  <si>
    <t>74022/47</t>
  </si>
  <si>
    <t>ENSAIO DE RESIDUO POR EVAPORACAO - EMULSAO ASFALTICA</t>
  </si>
  <si>
    <t>74022/48</t>
  </si>
  <si>
    <t>ENSAIO DE CARGA DA PARTICULA - EMULSAO ASFALTICA</t>
  </si>
  <si>
    <t>74022/49</t>
  </si>
  <si>
    <t>ENSAIO DE DESEMULSIBILIDADE - EMULSAO ASFALTICA</t>
  </si>
  <si>
    <t>74022/50</t>
  </si>
  <si>
    <t>ENSAIO DE DETERMINACAO DA TAXA DE ESPALHAMENTO DO AGREGADO</t>
  </si>
  <si>
    <t>74022/51</t>
  </si>
  <si>
    <t>ENSAIO DE ADESIVIDADE A LIGANTE BETUMINOSO - AGREGADO</t>
  </si>
  <si>
    <t>74022/52</t>
  </si>
  <si>
    <t>ENSAIO DE GRANULOMETRIA DO AGREGADO</t>
  </si>
  <si>
    <t>74022/53</t>
  </si>
  <si>
    <t>ENSAIO DE CONTROLE DO GRAU DE COMPACTACAO DA MISTURA ASFALTICA</t>
  </si>
  <si>
    <t>74022/54</t>
  </si>
  <si>
    <t>ENSAIO DE GRANULOMETRIA DO FILLER</t>
  </si>
  <si>
    <t>74022/55</t>
  </si>
  <si>
    <t>ENSAIO DE TRACAO POR COMPRESSAO DIAMETRAL - MISTURAS BETUMINOSAS</t>
  </si>
  <si>
    <t>74022/56</t>
  </si>
  <si>
    <t>ENSAIO DE DENSIDADE DO MATERIAL BETUMINOSO</t>
  </si>
  <si>
    <t>74022/57</t>
  </si>
  <si>
    <t>ENSAIO DE CONSISTENCIA DO CONCRETO CCR - INDICE VEBE</t>
  </si>
  <si>
    <t>74022/58</t>
  </si>
  <si>
    <t>ENSAIO DE ABATIMENTO DO TRONCO DE CONE</t>
  </si>
  <si>
    <t>SERVIÇOS TÉCNICOS ESPECIALIZADOS PARA ACOMPANHAMENTO DE EXECUÇÃO DE FUNDAÇÕES PROFUNDAS E ESTRUTURAS DE CONTENÇÃO</t>
  </si>
  <si>
    <t>MOBILIZACAO E INSTALACAO DE 01  EQUIPAMENTO DE SONDAGEM, DISTANCIA ACIMA DE 20KM</t>
  </si>
  <si>
    <t>MOBILIZACAO E INSTALACAO DE 01 EQUIPAMENTO DE SONDAGEM, DISTANCIA ATE 10KM</t>
  </si>
  <si>
    <t>MOBILIZACAO E INSTALACAO DE 01 EQUIPAMENTO DE SONDAGEM, DISTANCIA DE 10KM ATE 20KM</t>
  </si>
  <si>
    <t>LOCAÇÃO DE REDES DE ÁGUA OU DE ESGOTO</t>
  </si>
  <si>
    <t>LOCAÇÃO DE ADUTORAS, COLETORES TRONCO E INTERCEPTORES - ATÉ DN 500 MM</t>
  </si>
  <si>
    <t>LOCACAO DA OBRA, COM USO DE EQUIPAMENTOS TOPOGRAFICOS, INCLUSIVE NIVELADOR</t>
  </si>
  <si>
    <t>LOCACAO CONVENCIONAL DE OBRA, ATRAVÉS DE GABARITO DE TABUAS CORRIDAS PONTALETADAS A CADA 1,50M, SEM REAPROVEITAMENTO</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</si>
  <si>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</si>
  <si>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</si>
  <si>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</si>
  <si>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</si>
  <si>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LOCACAO E NIVELAMENTO DE EMISSARIO/REDE COLETORA COM AUXILIO DE EQUIPAMENTO TOPOGRAFICO</t>
  </si>
  <si>
    <t>73758/1</t>
  </si>
  <si>
    <t>LEVANTAMENTO SECAO TRANSVERSAL C/NIVEL TERRENO NAO ACIDENTADO VEGETAÇÃO DENSA INCLUSIVE DESENHO ESC 1:200 EM PAPEL VEGETAL MILIMETRADO (MEDIDO P/M SECAO), INCLUSIVE NIVELADOR, AUXILIAR DE CALCULO TOPOGRAFICO E DESENHISTA.</t>
  </si>
  <si>
    <t>SERVICOS TOPOGRAFICOS PARA PAVIMENTACAO, INCLUSIVE NOTA DE SERVICOS, ACOMPANHAMENTO E GREIDE</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</si>
  <si>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</si>
  <si>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</si>
  <si>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</si>
  <si>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</si>
  <si>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</si>
  <si>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</si>
  <si>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</si>
  <si>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</si>
  <si>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</si>
  <si>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</si>
  <si>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</si>
  <si>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</si>
  <si>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</si>
  <si>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</si>
  <si>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</si>
  <si>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</si>
  <si>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</si>
  <si>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</si>
  <si>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</si>
  <si>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</si>
  <si>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</si>
  <si>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</si>
  <si>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</si>
  <si>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</si>
  <si>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</si>
  <si>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</si>
  <si>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</si>
  <si>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</si>
  <si>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</si>
  <si>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</si>
  <si>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</si>
  <si>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</si>
  <si>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74142/1</t>
  </si>
  <si>
    <t>CERCA COM MOUROES DE CONCRETO, RETO, ESPACAMENTO DE 3M, CRAVADOS 0,5M, COM 4 FIOS DE ARAME FARPADO Nº 14 CLASSE 250</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</si>
  <si>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</si>
  <si>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</si>
  <si>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</si>
  <si>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</si>
  <si>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</si>
  <si>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</si>
  <si>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</si>
  <si>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</si>
  <si>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</si>
  <si>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</si>
  <si>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RECOMPOSICAO PARCIAL DO ARAME FARPADO Nº 14 CLASSE 250, FIXADO EM CERCA COM MOURÕES DE CONCRETO, RETO, 15X15CM</t>
  </si>
  <si>
    <t>73787/1</t>
  </si>
  <si>
    <t>ALAMBRADO EM TUBOS DE ACO GALVANIZADO, COM COSTURA, DIN 2440, DIAMETRO 2", ALTURA 3M, FIXADOS A CADA 2M EM BLOCOS DE CONCRETO, COM TELA DE ARAME GALVANIZADO REVESTIDO COM PVC, FIO 12 BWG E MALHA 7,5X7,5CM</t>
  </si>
  <si>
    <t>74244/1</t>
  </si>
  <si>
    <t>ALAMBRADO PARA QUADRA POLIESPORTIVA, ESTRUTURADO POR TUBOS DE ACO GALVANIZADO, COM COSTURA, DIN 2440, DIAMETRO 2", COM TELA DE ARAME GALVANIZADO, FIO 14 BWG E MALHA QUADRADA 5X5CM</t>
  </si>
  <si>
    <t>73788/2</t>
  </si>
  <si>
    <t>GRADE EM MADEIRA PARA PROTECAO DE MUDAS DE ARVORES</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</si>
  <si>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</si>
  <si>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</si>
  <si>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</si>
  <si>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</si>
  <si>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</si>
  <si>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</si>
  <si>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</si>
  <si>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</si>
  <si>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</si>
  <si>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SAO CARLOS EM LEIVAS</t>
  </si>
  <si>
    <t>PLANTIO DE GRAMA ESMERALDA EM ROLO</t>
  </si>
  <si>
    <t>PLANTIO DE GRAMA EM PAVIMENTO CONCREGRAMA. AF_05/2018</t>
  </si>
  <si>
    <t>PLANTIO DE GRAMA EM PLACAS. AF_05/2018</t>
  </si>
  <si>
    <t>PLANTIO DE FORRAÇÃO. AF_05/2018</t>
  </si>
  <si>
    <t>RETIRADA DE GRAMA EM PLACAS</t>
  </si>
  <si>
    <t>PODA E LIMPEZA DE ARBUSTO TIPO CERCA VIVA</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</si>
  <si>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</si>
  <si>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</si>
  <si>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</si>
  <si>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</si>
  <si>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</si>
  <si>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</si>
  <si>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</si>
  <si>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</si>
  <si>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</si>
  <si>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</si>
  <si>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</si>
  <si>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</si>
  <si>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</si>
  <si>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</si>
  <si>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</si>
  <si>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</si>
  <si>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</si>
  <si>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</si>
  <si>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</si>
  <si>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</si>
  <si>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</si>
  <si>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</si>
  <si>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</si>
  <si>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</si>
  <si>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</si>
  <si>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</si>
  <si>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</si>
  <si>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</si>
  <si>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</si>
  <si>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</si>
  <si>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</si>
  <si>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</si>
  <si>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</si>
  <si>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</si>
  <si>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</si>
  <si>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</si>
  <si>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</si>
  <si>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</si>
  <si>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</si>
  <si>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</si>
  <si>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</si>
  <si>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</si>
  <si>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</si>
  <si>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</si>
  <si>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</si>
  <si>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</si>
  <si>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</si>
  <si>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</si>
  <si>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</si>
  <si>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</si>
  <si>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</si>
  <si>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</si>
  <si>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</si>
  <si>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</si>
  <si>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</si>
  <si>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</si>
  <si>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</si>
  <si>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</si>
  <si>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</si>
  <si>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</si>
  <si>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</si>
  <si>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</si>
  <si>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</si>
  <si>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</si>
  <si>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</si>
  <si>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</si>
  <si>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</si>
  <si>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</si>
  <si>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</si>
  <si>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</si>
  <si>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</si>
  <si>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</si>
  <si>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</si>
  <si>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</si>
  <si>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</si>
  <si>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</si>
  <si>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</si>
  <si>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</si>
  <si>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</si>
  <si>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</si>
  <si>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</si>
  <si>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</si>
  <si>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</si>
  <si>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</si>
  <si>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</si>
  <si>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</si>
  <si>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</si>
  <si>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</si>
  <si>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</si>
  <si>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</si>
  <si>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</si>
  <si>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</si>
  <si>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</si>
  <si>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</si>
  <si>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</si>
  <si>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</si>
  <si>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</si>
  <si>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</si>
  <si>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</si>
  <si>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</si>
  <si>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</si>
  <si>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</si>
  <si>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</si>
  <si>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</si>
  <si>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</si>
  <si>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</si>
  <si>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</si>
  <si>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</si>
  <si>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</si>
  <si>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</si>
  <si>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</si>
  <si>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</si>
  <si>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</si>
  <si>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</si>
  <si>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</si>
  <si>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</si>
  <si>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</si>
  <si>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</si>
  <si>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</si>
  <si>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</si>
  <si>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</si>
  <si>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</si>
  <si>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</si>
  <si>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</si>
  <si>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</si>
  <si>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</si>
  <si>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</si>
  <si>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</si>
  <si>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</si>
  <si>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</si>
  <si>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</si>
  <si>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</si>
  <si>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</si>
  <si>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</si>
  <si>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</si>
  <si>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</si>
  <si>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</si>
  <si>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</si>
  <si>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</si>
  <si>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</si>
  <si>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</si>
  <si>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</si>
  <si>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</si>
  <si>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</si>
  <si>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</si>
  <si>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</si>
  <si>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</si>
  <si>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</si>
  <si>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</si>
  <si>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</si>
  <si>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</si>
  <si>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</si>
  <si>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</si>
  <si>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</si>
  <si>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</si>
  <si>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</si>
  <si>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</si>
  <si>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</si>
  <si>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</si>
  <si>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</si>
  <si>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</si>
  <si>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</si>
  <si>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</si>
  <si>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</si>
  <si>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</si>
  <si>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</si>
  <si>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</si>
  <si>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</si>
  <si>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</si>
  <si>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</si>
  <si>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</si>
  <si>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</si>
  <si>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</si>
  <si>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</si>
  <si>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</si>
  <si>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</si>
  <si>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</si>
  <si>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</si>
  <si>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</si>
  <si>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</si>
  <si>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</si>
  <si>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</si>
  <si>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</si>
  <si>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</si>
  <si>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</si>
  <si>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</si>
  <si>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</si>
  <si>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</si>
  <si>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</si>
  <si>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</si>
  <si>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</si>
  <si>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SONDADOR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</si>
  <si>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</si>
  <si>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</si>
  <si>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</si>
  <si>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</si>
  <si>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</si>
  <si>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</si>
  <si>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</si>
  <si>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</si>
  <si>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</si>
  <si>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</si>
  <si>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</si>
  <si>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</si>
  <si>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</si>
  <si>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</si>
  <si>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</si>
  <si>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</si>
  <si>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</si>
  <si>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</si>
  <si>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</si>
  <si>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</si>
  <si>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</si>
  <si>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</si>
  <si>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</si>
  <si>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</si>
  <si>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</si>
  <si>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</si>
  <si>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</si>
  <si>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</si>
  <si>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</si>
  <si>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</si>
  <si>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</si>
  <si>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</si>
  <si>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</si>
  <si>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</si>
  <si>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</si>
  <si>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</si>
  <si>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</si>
  <si>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</si>
  <si>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</si>
  <si>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</si>
  <si>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</si>
  <si>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</si>
  <si>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</si>
  <si>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!EM PROCESSO DE DESATIVACAO! DIVISORIA COLMEIA CEGA COM MONTANTE E RODAPE DE ALUMINIO ANODIZADO SIMPLES (SEM COLOCACAO)</t>
  </si>
  <si>
    <t xml:space="preserve">M2    </t>
  </si>
  <si>
    <t>!EM PROCESSO DE DESATIVACAO! ESCAVADEIRA DRAGA DE ARRASTE, CAP. 3/4 JC 140HP (INCL MANUTENCAO/OPERACAO)</t>
  </si>
  <si>
    <t xml:space="preserve">H     </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</si>
  <si>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</si>
  <si>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</si>
  <si>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 xml:space="preserve">UN    </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</si>
  <si>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</si>
  <si>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</si>
  <si>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</si>
  <si>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MADEIRA DE 1A. QUALIDADE (MADEIRA BRANCA), SERRADA E NAO APARELHADA, PARA FORMAS DE CONCRETO ARMADO</t>
  </si>
  <si>
    <t xml:space="preserve">M3    </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</si>
  <si>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</si>
  <si>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</si>
  <si>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</si>
  <si>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 xml:space="preserve">M     </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</si>
  <si>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</si>
  <si>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</si>
  <si>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</si>
  <si>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</si>
  <si>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</si>
  <si>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</si>
  <si>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</si>
  <si>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</si>
  <si>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</si>
  <si>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</si>
  <si>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</si>
  <si>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</si>
  <si>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</si>
  <si>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</si>
  <si>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</si>
  <si>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</si>
  <si>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</si>
  <si>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</si>
  <si>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</si>
  <si>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</si>
  <si>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</si>
  <si>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</si>
  <si>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</si>
  <si>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</si>
  <si>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</si>
  <si>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</si>
  <si>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</si>
  <si>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</si>
  <si>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</si>
  <si>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</si>
  <si>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</si>
  <si>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</si>
  <si>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</si>
  <si>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</si>
  <si>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</si>
  <si>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</si>
  <si>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</si>
  <si>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</si>
  <si>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</si>
  <si>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</si>
  <si>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</si>
  <si>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</si>
  <si>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</si>
  <si>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</si>
  <si>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</si>
  <si>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</si>
  <si>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</si>
  <si>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</si>
  <si>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</si>
  <si>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</si>
  <si>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 xml:space="preserve">KG    </t>
  </si>
  <si>
    <t>ACIDO MURIATICO, DILUICAO 10% A 12% PARA USO EM LIMPEZA</t>
  </si>
  <si>
    <t xml:space="preserve">L     </t>
  </si>
  <si>
    <t>ACO CA-25, 10,0 MM, VERGALHAO</t>
  </si>
  <si>
    <t>ACO CA-25, 12,5 MM, VERGALHAO</t>
  </si>
  <si>
    <t>ACO CA-25, 16,0 MM, VERGALHAO</t>
  </si>
  <si>
    <t>ACO CA-25, 20,0 MM, VERGALHAO</t>
  </si>
  <si>
    <t>ACO CA-25, 25,0 MM, VERGALHAO</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</si>
  <si>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</si>
  <si>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</si>
  <si>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</si>
  <si>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</si>
  <si>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</si>
  <si>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</si>
  <si>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</si>
  <si>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</si>
  <si>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</si>
  <si>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</si>
  <si>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</si>
  <si>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</si>
  <si>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</si>
  <si>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</si>
  <si>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</si>
  <si>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</si>
  <si>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</si>
  <si>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</si>
  <si>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</si>
  <si>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</si>
  <si>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</si>
  <si>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</si>
  <si>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</si>
  <si>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</si>
  <si>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</si>
  <si>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</si>
  <si>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</si>
  <si>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</si>
  <si>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</si>
  <si>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</si>
  <si>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</si>
  <si>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</si>
  <si>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</si>
  <si>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</si>
  <si>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</si>
  <si>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</si>
  <si>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</si>
  <si>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</si>
  <si>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</si>
  <si>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</si>
  <si>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</si>
  <si>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</si>
  <si>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</si>
  <si>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</si>
  <si>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</si>
  <si>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</si>
  <si>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</si>
  <si>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</si>
  <si>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</si>
  <si>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</si>
  <si>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</si>
  <si>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</si>
  <si>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</si>
  <si>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</si>
  <si>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</si>
  <si>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</si>
  <si>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</si>
  <si>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</si>
  <si>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</si>
  <si>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</si>
  <si>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</si>
  <si>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</si>
  <si>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</si>
  <si>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</si>
  <si>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</si>
  <si>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</si>
  <si>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</si>
  <si>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</si>
  <si>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</si>
  <si>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</si>
  <si>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</si>
  <si>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</si>
  <si>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</si>
  <si>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</si>
  <si>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</si>
  <si>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</si>
  <si>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</si>
  <si>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</si>
  <si>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</si>
  <si>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</si>
  <si>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</si>
  <si>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</si>
  <si>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</si>
  <si>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</si>
  <si>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</si>
  <si>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</si>
  <si>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</si>
  <si>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</si>
  <si>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</si>
  <si>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</si>
  <si>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</si>
  <si>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</si>
  <si>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</si>
  <si>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</si>
  <si>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</si>
  <si>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</si>
  <si>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</si>
  <si>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</si>
  <si>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</si>
  <si>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</si>
  <si>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</si>
  <si>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</si>
  <si>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</si>
  <si>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</si>
  <si>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</si>
  <si>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</si>
  <si>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</si>
  <si>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 xml:space="preserve">18L   </t>
  </si>
  <si>
    <t>ADITIVO PLASTIFICANTE RETARDADOR DE PEGA E REDUTOR DE AGUA PARA CONCRETO</t>
  </si>
  <si>
    <t>ADITIVO SUPERPLASTIFICANTE DE PEGA NORMAL PARA CONCRETO (TAMBOR 200 KG)</t>
  </si>
  <si>
    <t xml:space="preserve">200KG </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</si>
  <si>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</si>
  <si>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</si>
  <si>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</si>
  <si>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</si>
  <si>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</si>
  <si>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AGREGADO RECICLADO (RCD), CLASSE A, CINZA, TIPO RACHAO RECICLADO</t>
  </si>
  <si>
    <t>AGUA SANITARIA</t>
  </si>
  <si>
    <t>AJUDANTE DE ARMADOR</t>
  </si>
  <si>
    <t>AJUDANTE DE ARMADOR (MENSALISTA)</t>
  </si>
  <si>
    <t xml:space="preserve">MES   </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</si>
  <si>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</si>
  <si>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</si>
  <si>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</si>
  <si>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</si>
  <si>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</si>
  <si>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</si>
  <si>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</si>
  <si>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</si>
  <si>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</si>
  <si>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</si>
  <si>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</si>
  <si>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</si>
  <si>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</si>
  <si>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</si>
  <si>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</si>
  <si>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</si>
  <si>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</si>
  <si>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</si>
  <si>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</si>
  <si>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</si>
  <si>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</si>
  <si>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</si>
  <si>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</si>
  <si>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</si>
  <si>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(ENCARGOS COMPLEMENTARES) (COLETADO CAIXA)</t>
  </si>
  <si>
    <t>ALIMENTACAO - MENSALISTA (ENCARGOS COMPLEMENTARES)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</si>
  <si>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</si>
  <si>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</si>
  <si>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</si>
  <si>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 * COLETADO CAIXA*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</si>
  <si>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</si>
  <si>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</si>
  <si>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</si>
  <si>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</si>
  <si>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</si>
  <si>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</si>
  <si>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</si>
  <si>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</si>
  <si>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</si>
  <si>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</si>
  <si>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</si>
  <si>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</si>
  <si>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</si>
  <si>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</si>
  <si>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</si>
  <si>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</si>
  <si>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</si>
  <si>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</si>
  <si>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</si>
  <si>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</si>
  <si>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</si>
  <si>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</si>
  <si>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</si>
  <si>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</si>
  <si>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</si>
  <si>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</si>
  <si>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</si>
  <si>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</si>
  <si>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</si>
  <si>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</si>
  <si>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</si>
  <si>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</si>
  <si>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</si>
  <si>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</si>
  <si>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</si>
  <si>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</si>
  <si>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</si>
  <si>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</si>
  <si>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</si>
  <si>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</si>
  <si>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</si>
  <si>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</si>
  <si>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</si>
  <si>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</si>
  <si>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</si>
  <si>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</si>
  <si>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</si>
  <si>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</si>
  <si>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</si>
  <si>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</si>
  <si>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</si>
  <si>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</si>
  <si>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</si>
  <si>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</si>
  <si>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</si>
  <si>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</si>
  <si>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</si>
  <si>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</si>
  <si>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</si>
  <si>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</si>
  <si>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</si>
  <si>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</si>
  <si>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</si>
  <si>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</si>
  <si>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</si>
  <si>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</si>
  <si>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</si>
  <si>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</si>
  <si>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</si>
  <si>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</si>
  <si>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</si>
  <si>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</si>
  <si>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</si>
  <si>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</si>
  <si>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</si>
  <si>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</si>
  <si>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</si>
  <si>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</si>
  <si>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</si>
  <si>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</si>
  <si>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</si>
  <si>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</si>
  <si>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</si>
  <si>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</si>
  <si>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</si>
  <si>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</si>
  <si>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</si>
  <si>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</si>
  <si>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</si>
  <si>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</si>
  <si>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</si>
  <si>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</si>
  <si>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</si>
  <si>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</si>
  <si>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</si>
  <si>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</si>
  <si>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</si>
  <si>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</si>
  <si>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</si>
  <si>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</si>
  <si>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</si>
  <si>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</si>
  <si>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</si>
  <si>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</si>
  <si>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</si>
  <si>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</si>
  <si>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</si>
  <si>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</si>
  <si>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</si>
  <si>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</si>
  <si>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</si>
  <si>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</si>
  <si>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</si>
  <si>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</si>
  <si>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</si>
  <si>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</si>
  <si>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</si>
  <si>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</si>
  <si>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</si>
  <si>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</si>
  <si>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</si>
  <si>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</si>
  <si>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</si>
  <si>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</si>
  <si>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</si>
  <si>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</si>
  <si>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</si>
  <si>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</si>
  <si>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</si>
  <si>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</si>
  <si>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</si>
  <si>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</si>
  <si>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</si>
  <si>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</si>
  <si>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</si>
  <si>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</si>
  <si>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</si>
  <si>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</si>
  <si>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</si>
  <si>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</si>
  <si>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</si>
  <si>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</si>
  <si>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</si>
  <si>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</si>
  <si>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</si>
  <si>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</si>
  <si>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</si>
  <si>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</si>
  <si>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</si>
  <si>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</si>
  <si>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</si>
  <si>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</si>
  <si>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</si>
  <si>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</si>
  <si>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</si>
  <si>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</si>
  <si>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</si>
  <si>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</si>
  <si>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</si>
  <si>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</si>
  <si>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</si>
  <si>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</si>
  <si>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</si>
  <si>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</si>
  <si>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</si>
  <si>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</si>
  <si>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</si>
  <si>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</si>
  <si>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</si>
  <si>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</si>
  <si>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</si>
  <si>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</si>
  <si>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</si>
  <si>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</si>
  <si>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</si>
  <si>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</si>
  <si>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</si>
  <si>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</si>
  <si>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</si>
  <si>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</si>
  <si>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</si>
  <si>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</si>
  <si>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</si>
  <si>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</si>
  <si>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</si>
  <si>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</si>
  <si>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</si>
  <si>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</si>
  <si>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</si>
  <si>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</si>
  <si>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</si>
  <si>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</si>
  <si>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</si>
  <si>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</si>
  <si>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</si>
  <si>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</si>
  <si>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</si>
  <si>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</si>
  <si>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</si>
  <si>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</si>
  <si>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</si>
  <si>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</si>
  <si>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</si>
  <si>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</si>
  <si>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</si>
  <si>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</si>
  <si>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</si>
  <si>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</si>
  <si>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</si>
  <si>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</si>
  <si>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</si>
  <si>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</si>
  <si>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</si>
  <si>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</si>
  <si>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</si>
  <si>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</si>
  <si>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</si>
  <si>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(VASO) CONVENCIONAL PARA USO ESPECIFICO (HOSPITAIS, CLINICAS), COM FURO FRONTAL, DE LOUCA BRANCA, COM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</si>
  <si>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</si>
  <si>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</si>
  <si>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</si>
  <si>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</si>
  <si>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</si>
  <si>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</si>
  <si>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</si>
  <si>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</si>
  <si>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</si>
  <si>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</si>
  <si>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</si>
  <si>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</si>
  <si>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</si>
  <si>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</si>
  <si>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</si>
  <si>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</si>
  <si>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</si>
  <si>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</si>
  <si>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</si>
  <si>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</si>
  <si>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 xml:space="preserve">PAR   </t>
  </si>
  <si>
    <t>BARRA ANTIPANICO DUPLA, PARA PORTA DE VIDRO, COR CINZA</t>
  </si>
  <si>
    <t>BARRA ANTIPANICO SIMPLES, CEGA LADO OPOSTO, COR CINZA</t>
  </si>
  <si>
    <t>BARRA ANTIPANICO SIMPLES, COM FECHADURA LADO OPOSTO, COR CINZA</t>
  </si>
  <si>
    <t>BARRA ANTIPANICO SIMPLES, PARA PORTA DE VIDRO, COR CINZA</t>
  </si>
  <si>
    <t>BARRA DE APOIO ANGULAR, 60 CM, EM ACO INOX POLIDO,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</si>
  <si>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</si>
  <si>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</si>
  <si>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</si>
  <si>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DE CANTO, EM ACO INOX POLIDO, DIAMETRO MINIMO 3 CM.</t>
  </si>
  <si>
    <t>BARRA DE APOIO LAVATORIO, EM ACO INOX POLIDO, *40 X 50*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</si>
  <si>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</si>
  <si>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</si>
  <si>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</si>
  <si>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</si>
  <si>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</si>
  <si>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</si>
  <si>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</si>
  <si>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</si>
  <si>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</si>
  <si>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</si>
  <si>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</si>
  <si>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</si>
  <si>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</si>
  <si>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</si>
  <si>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</si>
  <si>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</si>
  <si>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</si>
  <si>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</si>
  <si>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</si>
  <si>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</si>
  <si>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</si>
  <si>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</si>
  <si>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</si>
  <si>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</si>
  <si>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</si>
  <si>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</si>
  <si>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</si>
  <si>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 xml:space="preserve">JG    </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</si>
  <si>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</si>
  <si>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</si>
  <si>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</si>
  <si>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</si>
  <si>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</si>
  <si>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</si>
  <si>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</si>
  <si>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</si>
  <si>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</si>
  <si>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</si>
  <si>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</si>
  <si>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</si>
  <si>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</si>
  <si>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</si>
  <si>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</si>
  <si>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</si>
  <si>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 xml:space="preserve">MIL   </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</si>
  <si>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</si>
  <si>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</si>
  <si>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</si>
  <si>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</si>
  <si>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</si>
  <si>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</si>
  <si>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</si>
  <si>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</si>
  <si>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</si>
  <si>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</si>
  <si>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</si>
  <si>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</si>
  <si>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</si>
  <si>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</si>
  <si>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</si>
  <si>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</si>
  <si>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</si>
  <si>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</si>
  <si>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</si>
  <si>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</si>
  <si>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</si>
  <si>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</si>
  <si>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</si>
  <si>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</si>
  <si>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</si>
  <si>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</si>
  <si>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</si>
  <si>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</si>
  <si>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</si>
  <si>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</si>
  <si>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</si>
  <si>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</si>
  <si>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</si>
  <si>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</si>
  <si>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</si>
  <si>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</si>
  <si>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</si>
  <si>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</si>
  <si>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</si>
  <si>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</si>
  <si>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</si>
  <si>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</si>
  <si>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</si>
  <si>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</si>
  <si>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</si>
  <si>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</si>
  <si>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</si>
  <si>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</si>
  <si>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</si>
  <si>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</si>
  <si>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</si>
  <si>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</si>
  <si>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</si>
  <si>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</si>
  <si>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</si>
  <si>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</si>
  <si>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</si>
  <si>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</si>
  <si>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</si>
  <si>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</si>
  <si>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</si>
  <si>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</si>
  <si>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</si>
  <si>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</si>
  <si>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</si>
  <si>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</si>
  <si>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</si>
  <si>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</si>
  <si>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</si>
  <si>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</si>
  <si>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</si>
  <si>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</si>
  <si>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</si>
  <si>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</si>
  <si>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</si>
  <si>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</si>
  <si>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</si>
  <si>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</si>
  <si>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</si>
  <si>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</si>
  <si>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</si>
  <si>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</si>
  <si>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</si>
  <si>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</si>
  <si>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</si>
  <si>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</si>
  <si>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</si>
  <si>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</si>
  <si>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</si>
  <si>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</si>
  <si>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</si>
  <si>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</si>
  <si>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</si>
  <si>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</si>
  <si>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</si>
  <si>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</si>
  <si>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</si>
  <si>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</si>
  <si>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</si>
  <si>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</si>
  <si>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</si>
  <si>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</si>
  <si>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</si>
  <si>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</si>
  <si>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</si>
  <si>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</si>
  <si>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</si>
  <si>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</si>
  <si>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</si>
  <si>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</si>
  <si>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</si>
  <si>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</si>
  <si>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</si>
  <si>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</si>
  <si>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</si>
  <si>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</si>
  <si>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</si>
  <si>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</si>
  <si>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</si>
  <si>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</si>
  <si>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</si>
  <si>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</si>
  <si>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</si>
  <si>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</si>
  <si>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</si>
  <si>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</si>
  <si>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</si>
  <si>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</si>
  <si>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</si>
  <si>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</si>
  <si>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</si>
  <si>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</si>
  <si>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</si>
  <si>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</si>
  <si>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</si>
  <si>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</si>
  <si>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</si>
  <si>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</si>
  <si>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</si>
  <si>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</si>
  <si>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</si>
  <si>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</si>
  <si>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</si>
  <si>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</si>
  <si>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</si>
  <si>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</si>
  <si>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</si>
  <si>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</si>
  <si>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</si>
  <si>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</si>
  <si>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</si>
  <si>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</si>
  <si>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</si>
  <si>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</si>
  <si>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</si>
  <si>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</si>
  <si>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</si>
  <si>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</si>
  <si>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</si>
  <si>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</si>
  <si>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</si>
  <si>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</si>
  <si>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</si>
  <si>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</si>
  <si>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</si>
  <si>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</si>
  <si>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</si>
  <si>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</si>
  <si>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</si>
  <si>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</si>
  <si>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</si>
  <si>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</si>
  <si>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</si>
  <si>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</si>
  <si>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</si>
  <si>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</si>
  <si>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</si>
  <si>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</si>
  <si>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</si>
  <si>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</si>
  <si>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</si>
  <si>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</si>
  <si>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</si>
  <si>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</si>
  <si>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</si>
  <si>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</si>
  <si>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</si>
  <si>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</si>
  <si>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</si>
  <si>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</si>
  <si>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</si>
  <si>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</si>
  <si>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</si>
  <si>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</si>
  <si>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</si>
  <si>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</si>
  <si>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</si>
  <si>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</si>
  <si>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</si>
  <si>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</si>
  <si>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</si>
  <si>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</si>
  <si>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</si>
  <si>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</si>
  <si>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</si>
  <si>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</si>
  <si>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</si>
  <si>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</si>
  <si>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</si>
  <si>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</si>
  <si>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</si>
  <si>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</si>
  <si>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</si>
  <si>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</si>
  <si>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</si>
  <si>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</si>
  <si>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</si>
  <si>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</si>
  <si>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</si>
  <si>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</si>
  <si>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</si>
  <si>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</si>
  <si>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</si>
  <si>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</si>
  <si>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</si>
  <si>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</si>
  <si>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</si>
  <si>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</si>
  <si>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</si>
  <si>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</si>
  <si>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</si>
  <si>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</si>
  <si>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</si>
  <si>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</si>
  <si>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</si>
  <si>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</si>
  <si>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</si>
  <si>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</si>
  <si>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</si>
  <si>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</si>
  <si>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</si>
  <si>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</si>
  <si>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</si>
  <si>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</si>
  <si>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</si>
  <si>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</si>
  <si>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</si>
  <si>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</si>
  <si>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</si>
  <si>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</si>
  <si>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</si>
  <si>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</si>
  <si>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</si>
  <si>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</si>
  <si>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</si>
  <si>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</si>
  <si>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</si>
  <si>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</si>
  <si>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</si>
  <si>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</si>
  <si>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</si>
  <si>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</si>
  <si>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</si>
  <si>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</si>
  <si>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</si>
  <si>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</si>
  <si>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</si>
  <si>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</si>
  <si>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</si>
  <si>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</si>
  <si>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</si>
  <si>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</si>
  <si>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</si>
  <si>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</si>
  <si>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</si>
  <si>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</si>
  <si>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</si>
  <si>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</si>
  <si>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</si>
  <si>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</si>
  <si>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</si>
  <si>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</si>
  <si>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</si>
  <si>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</si>
  <si>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</si>
  <si>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</si>
  <si>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</si>
  <si>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</si>
  <si>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</si>
  <si>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</si>
  <si>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</si>
  <si>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</si>
  <si>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</si>
  <si>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</si>
  <si>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</si>
  <si>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</si>
  <si>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</si>
  <si>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</si>
  <si>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</si>
  <si>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</si>
  <si>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</si>
  <si>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</si>
  <si>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</si>
  <si>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</si>
  <si>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</si>
  <si>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</si>
  <si>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</si>
  <si>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</si>
  <si>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</si>
  <si>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</si>
  <si>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</si>
  <si>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</si>
  <si>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</si>
  <si>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</si>
  <si>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</si>
  <si>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</si>
  <si>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</si>
  <si>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</si>
  <si>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</si>
  <si>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</si>
  <si>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</si>
  <si>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</si>
  <si>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</si>
  <si>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</si>
  <si>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</si>
  <si>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</si>
  <si>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</si>
  <si>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</si>
  <si>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</si>
  <si>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</si>
  <si>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</si>
  <si>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</si>
  <si>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</si>
  <si>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</si>
  <si>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</si>
  <si>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</si>
  <si>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</si>
  <si>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</si>
  <si>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</si>
  <si>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</si>
  <si>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</si>
  <si>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</si>
  <si>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</si>
  <si>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</si>
  <si>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</si>
  <si>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</si>
  <si>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</si>
  <si>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</si>
  <si>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</si>
  <si>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</si>
  <si>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</si>
  <si>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</si>
  <si>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</si>
  <si>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</si>
  <si>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</si>
  <si>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</si>
  <si>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</si>
  <si>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</si>
  <si>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</si>
  <si>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</si>
  <si>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</si>
  <si>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</si>
  <si>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</si>
  <si>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</si>
  <si>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</si>
  <si>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</si>
  <si>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</si>
  <si>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</si>
  <si>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</si>
  <si>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</si>
  <si>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</si>
  <si>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</si>
  <si>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</si>
  <si>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</si>
  <si>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</si>
  <si>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</si>
  <si>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</si>
  <si>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</si>
  <si>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</si>
  <si>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</si>
  <si>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</si>
  <si>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</si>
  <si>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</si>
  <si>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</si>
  <si>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</si>
  <si>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</si>
  <si>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</si>
  <si>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</si>
  <si>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</si>
  <si>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</si>
  <si>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</si>
  <si>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</si>
  <si>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</si>
  <si>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</si>
  <si>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</si>
  <si>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</si>
  <si>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</si>
  <si>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</si>
  <si>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</si>
  <si>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</si>
  <si>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</si>
  <si>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</si>
  <si>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</si>
  <si>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</si>
  <si>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NATIVA/REGIONAL 5 X 5 CM NAO APARELHADA (P/FORMA)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</si>
  <si>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</si>
  <si>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</si>
  <si>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</si>
  <si>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</si>
  <si>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</si>
  <si>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</si>
  <si>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</si>
  <si>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</si>
  <si>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</si>
  <si>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</si>
  <si>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</si>
  <si>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</si>
  <si>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</si>
  <si>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</si>
  <si>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</si>
  <si>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</si>
  <si>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</si>
  <si>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</si>
  <si>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</si>
  <si>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</si>
  <si>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</si>
  <si>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</si>
  <si>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</si>
  <si>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</si>
  <si>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</si>
  <si>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</si>
  <si>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</si>
  <si>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</si>
  <si>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</si>
  <si>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</si>
  <si>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</si>
  <si>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</si>
  <si>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</si>
  <si>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</si>
  <si>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</si>
  <si>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</si>
  <si>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</si>
  <si>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</si>
  <si>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</si>
  <si>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</si>
  <si>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</si>
  <si>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</si>
  <si>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</si>
  <si>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</si>
  <si>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</si>
  <si>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</si>
  <si>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</si>
  <si>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</si>
  <si>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</si>
  <si>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</si>
  <si>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</si>
  <si>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</si>
  <si>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</si>
  <si>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</si>
  <si>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</si>
  <si>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</si>
  <si>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</si>
  <si>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</si>
  <si>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</si>
  <si>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</si>
  <si>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</si>
  <si>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</si>
  <si>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</si>
  <si>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</si>
  <si>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</si>
  <si>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</si>
  <si>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</si>
  <si>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</si>
  <si>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</si>
  <si>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</si>
  <si>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</si>
  <si>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</si>
  <si>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</si>
  <si>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</si>
  <si>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</si>
  <si>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</si>
  <si>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</si>
  <si>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</si>
  <si>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</si>
  <si>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</si>
  <si>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</si>
  <si>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</si>
  <si>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</si>
  <si>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</si>
  <si>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</si>
  <si>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</si>
  <si>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</si>
  <si>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</si>
  <si>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</si>
  <si>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</si>
  <si>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</si>
  <si>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</si>
  <si>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</si>
  <si>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</si>
  <si>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</si>
  <si>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</si>
  <si>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</si>
  <si>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</si>
  <si>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</si>
  <si>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</si>
  <si>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</si>
  <si>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</si>
  <si>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</si>
  <si>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</si>
  <si>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</si>
  <si>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</si>
  <si>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</si>
  <si>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</si>
  <si>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</si>
  <si>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</si>
  <si>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</si>
  <si>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</si>
  <si>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</si>
  <si>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</si>
  <si>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</si>
  <si>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</si>
  <si>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</si>
  <si>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</si>
  <si>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</si>
  <si>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</si>
  <si>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</si>
  <si>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</si>
  <si>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</si>
  <si>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</si>
  <si>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</si>
  <si>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</si>
  <si>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</si>
  <si>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</si>
  <si>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</si>
  <si>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</si>
  <si>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</si>
  <si>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</si>
  <si>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</si>
  <si>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</si>
  <si>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</si>
  <si>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</si>
  <si>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</si>
  <si>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</si>
  <si>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</si>
  <si>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</si>
  <si>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</si>
  <si>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</si>
  <si>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</si>
  <si>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</si>
  <si>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</si>
  <si>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</si>
  <si>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</si>
  <si>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</si>
  <si>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</si>
  <si>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</si>
  <si>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</si>
  <si>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</si>
  <si>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</si>
  <si>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</si>
  <si>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</si>
  <si>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</si>
  <si>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</si>
  <si>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</si>
  <si>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</si>
  <si>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</si>
  <si>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</si>
  <si>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</si>
  <si>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</si>
  <si>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</si>
  <si>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</si>
  <si>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</si>
  <si>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</si>
  <si>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</si>
  <si>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</si>
  <si>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</si>
  <si>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</si>
  <si>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</si>
  <si>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</si>
  <si>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</si>
  <si>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</si>
  <si>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</si>
  <si>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</si>
  <si>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</si>
  <si>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</si>
  <si>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</si>
  <si>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</si>
  <si>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</si>
  <si>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</si>
  <si>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</si>
  <si>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</si>
  <si>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</si>
  <si>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</si>
  <si>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</si>
  <si>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</si>
  <si>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</si>
  <si>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</si>
  <si>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</si>
  <si>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</si>
  <si>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</si>
  <si>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</si>
  <si>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</si>
  <si>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</si>
  <si>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</si>
  <si>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</si>
  <si>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</si>
  <si>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</si>
  <si>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</si>
  <si>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</si>
  <si>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</si>
  <si>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</si>
  <si>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</si>
  <si>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</si>
  <si>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</si>
  <si>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</si>
  <si>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</si>
  <si>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</si>
  <si>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</si>
  <si>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</si>
  <si>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</si>
  <si>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</si>
  <si>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</si>
  <si>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</si>
  <si>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</si>
  <si>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</si>
  <si>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</si>
  <si>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</si>
  <si>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</si>
  <si>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</si>
  <si>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</si>
  <si>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</si>
  <si>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</si>
  <si>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</si>
  <si>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</si>
  <si>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</si>
  <si>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</si>
  <si>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</si>
  <si>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</si>
  <si>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</si>
  <si>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 xml:space="preserve">T     </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</si>
  <si>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</si>
  <si>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</si>
  <si>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</si>
  <si>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</si>
  <si>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</si>
  <si>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</si>
  <si>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</si>
  <si>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</si>
  <si>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</si>
  <si>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</si>
  <si>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</si>
  <si>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</si>
  <si>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</si>
  <si>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</si>
  <si>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</si>
  <si>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</si>
  <si>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</si>
  <si>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</si>
  <si>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</si>
  <si>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</si>
  <si>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</si>
  <si>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</si>
  <si>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</si>
  <si>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</si>
  <si>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</si>
  <si>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</si>
  <si>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</si>
  <si>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</si>
  <si>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</si>
  <si>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</si>
  <si>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</si>
  <si>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</si>
  <si>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</si>
  <si>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</si>
  <si>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</si>
  <si>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</si>
  <si>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</si>
  <si>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</si>
  <si>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</si>
  <si>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</si>
  <si>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</si>
  <si>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</si>
  <si>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</si>
  <si>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</si>
  <si>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</si>
  <si>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</si>
  <si>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</si>
  <si>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</si>
  <si>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</si>
  <si>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</si>
  <si>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</si>
  <si>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</si>
  <si>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</si>
  <si>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</si>
  <si>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</si>
  <si>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</si>
  <si>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</si>
  <si>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</si>
  <si>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</si>
  <si>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</si>
  <si>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</si>
  <si>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</si>
  <si>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</si>
  <si>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</si>
  <si>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</si>
  <si>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</si>
  <si>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</si>
  <si>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</si>
  <si>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</si>
  <si>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</si>
  <si>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</si>
  <si>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</si>
  <si>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</si>
  <si>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</si>
  <si>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</si>
  <si>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</si>
  <si>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</si>
  <si>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</si>
  <si>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</si>
  <si>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</si>
  <si>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</si>
  <si>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</si>
  <si>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</si>
  <si>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</si>
  <si>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</si>
  <si>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</si>
  <si>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</si>
  <si>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</si>
  <si>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</si>
  <si>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</si>
  <si>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</si>
  <si>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</si>
  <si>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</si>
  <si>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</si>
  <si>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</si>
  <si>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</si>
  <si>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</si>
  <si>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</si>
  <si>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</si>
  <si>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</si>
  <si>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</si>
  <si>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</si>
  <si>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</si>
  <si>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</si>
  <si>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</si>
  <si>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</si>
  <si>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</si>
  <si>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</si>
  <si>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</si>
  <si>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</si>
  <si>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</si>
  <si>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</si>
  <si>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</si>
  <si>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</si>
  <si>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</si>
  <si>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</si>
  <si>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</si>
  <si>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</si>
  <si>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</si>
  <si>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</si>
  <si>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</si>
  <si>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</si>
  <si>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</si>
  <si>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</si>
  <si>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</si>
  <si>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</si>
  <si>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</si>
  <si>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</si>
  <si>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</si>
  <si>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</si>
  <si>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 xml:space="preserve">50KG  </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</si>
  <si>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</si>
  <si>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</si>
  <si>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</si>
  <si>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</si>
  <si>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</si>
  <si>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</si>
  <si>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</si>
  <si>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</si>
  <si>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</si>
  <si>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</si>
  <si>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</si>
  <si>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</si>
  <si>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</si>
  <si>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</si>
  <si>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</si>
  <si>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</si>
  <si>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</si>
  <si>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</si>
  <si>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</si>
  <si>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</si>
  <si>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</si>
  <si>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</si>
  <si>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</si>
  <si>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</si>
  <si>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</si>
  <si>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</si>
  <si>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</si>
  <si>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</si>
  <si>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</si>
  <si>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</si>
  <si>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</si>
  <si>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</si>
  <si>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</si>
  <si>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</si>
  <si>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</si>
  <si>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</si>
  <si>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</si>
  <si>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</si>
  <si>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</si>
  <si>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</si>
  <si>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</si>
  <si>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</si>
  <si>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</si>
  <si>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</si>
  <si>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</si>
  <si>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</si>
  <si>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</si>
  <si>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</si>
  <si>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</si>
  <si>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</si>
  <si>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</si>
  <si>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</si>
  <si>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</si>
  <si>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</si>
  <si>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</si>
  <si>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</si>
  <si>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</si>
  <si>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</si>
  <si>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</si>
  <si>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</si>
  <si>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</si>
  <si>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</si>
  <si>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</si>
  <si>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</si>
  <si>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</si>
  <si>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</si>
  <si>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</si>
  <si>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</si>
  <si>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</si>
  <si>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</si>
  <si>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</si>
  <si>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</si>
  <si>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</si>
  <si>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</si>
  <si>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</si>
  <si>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</si>
  <si>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</si>
  <si>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</si>
  <si>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</si>
  <si>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</si>
  <si>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</si>
  <si>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</si>
  <si>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</si>
  <si>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</si>
  <si>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</si>
  <si>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</si>
  <si>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</si>
  <si>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</si>
  <si>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</si>
  <si>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</si>
  <si>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</si>
  <si>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</si>
  <si>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</si>
  <si>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</si>
  <si>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</si>
  <si>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</si>
  <si>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</si>
  <si>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</si>
  <si>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</si>
  <si>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</si>
  <si>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</si>
  <si>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</si>
  <si>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</si>
  <si>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</si>
  <si>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</si>
  <si>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</si>
  <si>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</si>
  <si>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</si>
  <si>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</si>
  <si>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</si>
  <si>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</si>
  <si>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</si>
  <si>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</si>
  <si>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</si>
  <si>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</si>
  <si>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</si>
  <si>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</si>
  <si>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</si>
  <si>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</si>
  <si>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</si>
  <si>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</si>
  <si>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</si>
  <si>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</si>
  <si>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</si>
  <si>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</si>
  <si>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</si>
  <si>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</si>
  <si>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</si>
  <si>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</si>
  <si>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</si>
  <si>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</si>
  <si>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</si>
  <si>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</si>
  <si>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</si>
  <si>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</si>
  <si>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</si>
  <si>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</si>
  <si>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</si>
  <si>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</si>
  <si>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</si>
  <si>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</si>
  <si>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</si>
  <si>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</si>
  <si>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</si>
  <si>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</si>
  <si>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</si>
  <si>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</si>
  <si>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</si>
  <si>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</si>
  <si>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</si>
  <si>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</si>
  <si>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</si>
  <si>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</si>
  <si>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</si>
  <si>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</si>
  <si>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</si>
  <si>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</si>
  <si>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</si>
  <si>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</si>
  <si>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</si>
  <si>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</si>
  <si>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</si>
  <si>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</si>
  <si>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</si>
  <si>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</si>
  <si>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</si>
  <si>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</si>
  <si>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</si>
  <si>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</si>
  <si>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</si>
  <si>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</si>
  <si>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</si>
  <si>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</si>
  <si>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</si>
  <si>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</si>
  <si>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</si>
  <si>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</si>
  <si>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</si>
  <si>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</si>
  <si>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</si>
  <si>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</si>
  <si>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</si>
  <si>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</si>
  <si>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</si>
  <si>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</si>
  <si>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</si>
  <si>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</si>
  <si>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</si>
  <si>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</si>
  <si>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</si>
  <si>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</si>
  <si>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</si>
  <si>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</si>
  <si>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</si>
  <si>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</si>
  <si>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</si>
  <si>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</si>
  <si>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</si>
  <si>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</si>
  <si>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</si>
  <si>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</si>
  <si>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</si>
  <si>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</si>
  <si>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</si>
  <si>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</si>
  <si>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</si>
  <si>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</si>
  <si>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</si>
  <si>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</si>
  <si>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</si>
  <si>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</si>
  <si>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</si>
  <si>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</si>
  <si>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</si>
  <si>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</si>
  <si>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</si>
  <si>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</si>
  <si>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</si>
  <si>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</si>
  <si>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</si>
  <si>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</si>
  <si>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</si>
  <si>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 xml:space="preserve">CJ    </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</si>
  <si>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</si>
  <si>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</si>
  <si>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</si>
  <si>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</si>
  <si>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</si>
  <si>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</si>
  <si>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</si>
  <si>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</si>
  <si>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</si>
  <si>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</si>
  <si>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</si>
  <si>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</si>
  <si>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</si>
  <si>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</si>
  <si>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</si>
  <si>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</si>
  <si>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</si>
  <si>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</si>
  <si>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</si>
  <si>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</si>
  <si>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</si>
  <si>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</si>
  <si>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</si>
  <si>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</si>
  <si>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</si>
  <si>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</si>
  <si>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</si>
  <si>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</si>
  <si>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</si>
  <si>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</si>
  <si>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</si>
  <si>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 xml:space="preserve">100M  </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</si>
  <si>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</si>
  <si>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</si>
  <si>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</si>
  <si>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</si>
  <si>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</si>
  <si>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</si>
  <si>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</si>
  <si>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</si>
  <si>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</si>
  <si>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</si>
  <si>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</si>
  <si>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</si>
  <si>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</si>
  <si>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</si>
  <si>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</si>
  <si>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</si>
  <si>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</si>
  <si>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</si>
  <si>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</si>
  <si>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</si>
  <si>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</si>
  <si>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</si>
  <si>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</si>
  <si>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</si>
  <si>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</si>
  <si>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</si>
  <si>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</si>
  <si>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</si>
  <si>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</si>
  <si>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</si>
  <si>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</si>
  <si>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</si>
  <si>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</si>
  <si>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</si>
  <si>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</si>
  <si>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</si>
  <si>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</si>
  <si>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</si>
  <si>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</si>
  <si>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</si>
  <si>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</si>
  <si>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</si>
  <si>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</si>
  <si>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</si>
  <si>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</si>
  <si>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</si>
  <si>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</si>
  <si>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</si>
  <si>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</si>
  <si>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</si>
  <si>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</si>
  <si>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</si>
  <si>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</si>
  <si>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</si>
  <si>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</si>
  <si>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</si>
  <si>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</si>
  <si>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</si>
  <si>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</si>
  <si>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</si>
  <si>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</si>
  <si>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</si>
  <si>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</si>
  <si>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</si>
  <si>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</si>
  <si>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</si>
  <si>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</si>
  <si>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</si>
  <si>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</si>
  <si>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</si>
  <si>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</si>
  <si>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</si>
  <si>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</si>
  <si>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</si>
  <si>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</si>
  <si>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</si>
  <si>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</si>
  <si>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</si>
  <si>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</si>
  <si>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</si>
  <si>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</si>
  <si>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</si>
  <si>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</si>
  <si>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</si>
  <si>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</si>
  <si>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</si>
  <si>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</si>
  <si>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REDUCAO PVC PBA, JE, BBBB, DN 75 X 50 / DE 85 X 60 MM</t>
  </si>
  <si>
    <t>CRUZETA PVC PBA, JE, BBBB, DN 100 / DE 110 MM</t>
  </si>
  <si>
    <t>CRUZETA PVC PBA, JE, BBBB, DN 50 / DE 60 MM</t>
  </si>
  <si>
    <t>CRUZETA PVC PBA, JE, BBBB, DN 75 / DE 85 MM</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</si>
  <si>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</si>
  <si>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</si>
  <si>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</si>
  <si>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</si>
  <si>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</si>
  <si>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</si>
  <si>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</si>
  <si>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</si>
  <si>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</si>
  <si>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</si>
  <si>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</si>
  <si>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</si>
  <si>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</si>
  <si>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</si>
  <si>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</si>
  <si>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</si>
  <si>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</si>
  <si>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</si>
  <si>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</si>
  <si>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</si>
  <si>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</si>
  <si>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</si>
  <si>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</si>
  <si>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</si>
  <si>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</si>
  <si>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</si>
  <si>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</si>
  <si>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</si>
  <si>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</si>
  <si>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</si>
  <si>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</si>
  <si>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</si>
  <si>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</si>
  <si>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</si>
  <si>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</si>
  <si>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</si>
  <si>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</si>
  <si>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</si>
  <si>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</si>
  <si>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</si>
  <si>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</si>
  <si>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</si>
  <si>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CURVA DE PVC, 90 GRAUS, SERIE R, DN 150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</si>
  <si>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</si>
  <si>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</si>
  <si>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</si>
  <si>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</si>
  <si>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</si>
  <si>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</si>
  <si>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</si>
  <si>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</si>
  <si>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</si>
  <si>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</si>
  <si>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</si>
  <si>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</si>
  <si>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45 GRAUS, DN 250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</si>
  <si>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</si>
  <si>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</si>
  <si>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</si>
  <si>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</si>
  <si>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</si>
  <si>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250 MM, PARA REDE COLETORA ESGOTO (NBR 10569)</t>
  </si>
  <si>
    <t>CURVA LONGA PVC, PB, JE, 90 GRAUS, DN 300 MM, PARA REDE COLETORA ESGOTO (NBR 10569)</t>
  </si>
  <si>
    <t>CURVA LONGA PVC, PB, JE, 90 GRAUS, DN 350 MM, PARA REDE COLETORA ESGOTO (NBR 10569)</t>
  </si>
  <si>
    <t>CURVA LONGA PVC, PB, JE, 90 GRAUS, DN 400 MM, PARA REDE COLETORA ESGOTO (NBR 10569)</t>
  </si>
  <si>
    <t>CURVA LONGA, PVC, PB, JE, 45 GRAUS, DN 200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</si>
  <si>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</si>
  <si>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</si>
  <si>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</si>
  <si>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</si>
  <si>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</si>
  <si>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</si>
  <si>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</si>
  <si>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</si>
  <si>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</si>
  <si>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</si>
  <si>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</si>
  <si>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</si>
  <si>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</si>
  <si>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</si>
  <si>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</si>
  <si>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</si>
  <si>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</si>
  <si>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</si>
  <si>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</si>
  <si>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</si>
  <si>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</si>
  <si>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</si>
  <si>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</si>
  <si>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</si>
  <si>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</si>
  <si>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</si>
  <si>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</si>
  <si>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</si>
  <si>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</si>
  <si>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</si>
  <si>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</si>
  <si>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</si>
  <si>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</si>
  <si>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</si>
  <si>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</si>
  <si>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</si>
  <si>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</si>
  <si>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</si>
  <si>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</si>
  <si>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</si>
  <si>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</si>
  <si>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</si>
  <si>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</si>
  <si>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</si>
  <si>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</si>
  <si>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</si>
  <si>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</si>
  <si>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</si>
  <si>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</si>
  <si>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</si>
  <si>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</si>
  <si>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</si>
  <si>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</si>
  <si>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</si>
  <si>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</si>
  <si>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</si>
  <si>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</si>
  <si>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</si>
  <si>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</si>
  <si>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</si>
  <si>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</si>
  <si>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</si>
  <si>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</si>
  <si>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</si>
  <si>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</si>
  <si>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</si>
  <si>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</si>
  <si>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</si>
  <si>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</si>
  <si>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</si>
  <si>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</si>
  <si>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</si>
  <si>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</si>
  <si>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</si>
  <si>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</si>
  <si>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</si>
  <si>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</si>
  <si>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</si>
  <si>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</si>
  <si>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</si>
  <si>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</si>
  <si>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</si>
  <si>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</si>
  <si>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</si>
  <si>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</si>
  <si>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</si>
  <si>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</si>
  <si>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</si>
  <si>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</si>
  <si>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</si>
  <si>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</si>
  <si>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</si>
  <si>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</si>
  <si>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</si>
  <si>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</si>
  <si>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</si>
  <si>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</si>
  <si>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</si>
  <si>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</si>
  <si>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</si>
  <si>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</si>
  <si>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</si>
  <si>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</si>
  <si>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</si>
  <si>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</si>
  <si>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</si>
  <si>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</si>
  <si>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</si>
  <si>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</si>
  <si>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</si>
  <si>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</si>
  <si>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</si>
  <si>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</si>
  <si>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</si>
  <si>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</si>
  <si>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</si>
  <si>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</si>
  <si>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</si>
  <si>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</si>
  <si>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</si>
  <si>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</si>
  <si>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</si>
  <si>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</si>
  <si>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</si>
  <si>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</si>
  <si>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</si>
  <si>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</si>
  <si>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</si>
  <si>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</si>
  <si>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</si>
  <si>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</si>
  <si>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</si>
  <si>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</si>
  <si>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</si>
  <si>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</si>
  <si>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</si>
  <si>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</si>
  <si>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</si>
  <si>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</si>
  <si>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</si>
  <si>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</si>
  <si>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</si>
  <si>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</si>
  <si>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</si>
  <si>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</si>
  <si>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</si>
  <si>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</si>
  <si>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</si>
  <si>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</si>
  <si>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</si>
  <si>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</si>
  <si>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</si>
  <si>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</si>
  <si>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</si>
  <si>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</si>
  <si>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</si>
  <si>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</si>
  <si>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</si>
  <si>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</si>
  <si>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</si>
  <si>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</si>
  <si>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</si>
  <si>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</si>
  <si>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</si>
  <si>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</si>
  <si>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</si>
  <si>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</si>
  <si>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</si>
  <si>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</si>
  <si>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</si>
  <si>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</si>
  <si>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</si>
  <si>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</si>
  <si>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</si>
  <si>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</si>
  <si>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</si>
  <si>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</si>
  <si>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</si>
  <si>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</si>
  <si>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</si>
  <si>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</si>
  <si>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</si>
  <si>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</si>
  <si>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</si>
  <si>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</si>
  <si>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</si>
  <si>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</si>
  <si>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</si>
  <si>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</si>
  <si>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</si>
  <si>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</si>
  <si>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</si>
  <si>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</si>
  <si>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</si>
  <si>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</si>
  <si>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</si>
  <si>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</si>
  <si>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</si>
  <si>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</si>
  <si>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</si>
  <si>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</si>
  <si>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</si>
  <si>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</si>
  <si>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</si>
  <si>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</si>
  <si>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</si>
  <si>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</si>
  <si>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</si>
  <si>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</si>
  <si>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</si>
  <si>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</si>
  <si>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</si>
  <si>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</si>
  <si>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</si>
  <si>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</si>
  <si>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</si>
  <si>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</si>
  <si>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</si>
  <si>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</si>
  <si>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</si>
  <si>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</si>
  <si>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</si>
  <si>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</si>
  <si>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</si>
  <si>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</si>
  <si>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</si>
  <si>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</si>
  <si>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</si>
  <si>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</si>
  <si>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</si>
  <si>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</si>
  <si>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</si>
  <si>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</si>
  <si>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</si>
  <si>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</si>
  <si>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</si>
  <si>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</si>
  <si>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</si>
  <si>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</si>
  <si>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</si>
  <si>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</si>
  <si>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</si>
  <si>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</si>
  <si>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</si>
  <si>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</si>
  <si>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</si>
  <si>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</si>
  <si>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</si>
  <si>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</si>
  <si>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</si>
  <si>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</si>
  <si>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</si>
  <si>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</si>
  <si>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</si>
  <si>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</si>
  <si>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</si>
  <si>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</si>
  <si>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</si>
  <si>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</si>
  <si>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</si>
  <si>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</si>
  <si>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</si>
  <si>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</si>
  <si>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</si>
  <si>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</si>
  <si>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</si>
  <si>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</si>
  <si>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</si>
  <si>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</si>
  <si>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</si>
  <si>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</si>
  <si>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</si>
  <si>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</si>
  <si>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</si>
  <si>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</si>
  <si>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</si>
  <si>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</si>
  <si>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</si>
  <si>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</si>
  <si>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</si>
  <si>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</si>
  <si>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</si>
  <si>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</si>
  <si>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</si>
  <si>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</si>
  <si>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</si>
  <si>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</si>
  <si>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</si>
  <si>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</si>
  <si>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</si>
  <si>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</si>
  <si>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</si>
  <si>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</si>
  <si>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</si>
  <si>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</si>
  <si>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</si>
  <si>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</si>
  <si>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</si>
  <si>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</si>
  <si>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</si>
  <si>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</si>
  <si>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</si>
  <si>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</si>
  <si>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</si>
  <si>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</si>
  <si>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</si>
  <si>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</si>
  <si>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</si>
  <si>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</si>
  <si>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</si>
  <si>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</si>
  <si>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</si>
  <si>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</si>
  <si>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</si>
  <si>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</si>
  <si>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</si>
  <si>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</si>
  <si>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</si>
  <si>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</si>
  <si>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</si>
  <si>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</si>
  <si>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</si>
  <si>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</si>
  <si>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</si>
  <si>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</si>
  <si>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</si>
  <si>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</si>
  <si>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</si>
  <si>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</si>
  <si>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</si>
  <si>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</si>
  <si>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</si>
  <si>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</si>
  <si>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</si>
  <si>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</si>
  <si>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</si>
  <si>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</si>
  <si>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</si>
  <si>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</si>
  <si>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</si>
  <si>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</si>
  <si>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</si>
  <si>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</si>
  <si>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</si>
  <si>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</si>
  <si>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</si>
  <si>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</si>
  <si>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</si>
  <si>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</si>
  <si>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</si>
  <si>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</si>
  <si>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</si>
  <si>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</si>
  <si>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</si>
  <si>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</si>
  <si>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</si>
  <si>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</si>
  <si>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</si>
  <si>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</si>
  <si>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</si>
  <si>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</si>
  <si>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</si>
  <si>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</si>
  <si>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</si>
  <si>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</si>
  <si>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</si>
  <si>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</si>
  <si>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</si>
  <si>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</si>
  <si>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</si>
  <si>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</si>
  <si>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</si>
  <si>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</si>
  <si>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</si>
  <si>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</si>
  <si>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</si>
  <si>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</si>
  <si>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</si>
  <si>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</si>
  <si>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</si>
  <si>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</si>
  <si>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</si>
  <si>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</si>
  <si>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</si>
  <si>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</si>
  <si>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</si>
  <si>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</si>
  <si>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</si>
  <si>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</si>
  <si>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</si>
  <si>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</si>
  <si>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</si>
  <si>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</si>
  <si>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</si>
  <si>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</si>
  <si>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</si>
  <si>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</si>
  <si>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</si>
  <si>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</si>
  <si>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</si>
  <si>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</si>
  <si>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</si>
  <si>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</si>
  <si>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</si>
  <si>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</si>
  <si>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</si>
  <si>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</si>
  <si>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</si>
  <si>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</si>
  <si>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</si>
  <si>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</si>
  <si>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</si>
  <si>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</si>
  <si>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</si>
  <si>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</si>
  <si>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</si>
  <si>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</si>
  <si>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</si>
  <si>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</si>
  <si>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</si>
  <si>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</si>
  <si>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</si>
  <si>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</si>
  <si>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</si>
  <si>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</si>
  <si>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</si>
  <si>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</si>
  <si>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</si>
  <si>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</si>
  <si>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</si>
  <si>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</si>
  <si>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</si>
  <si>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</si>
  <si>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</si>
  <si>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</si>
  <si>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</si>
  <si>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</si>
  <si>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</si>
  <si>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</si>
  <si>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</si>
  <si>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</si>
  <si>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</si>
  <si>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</si>
  <si>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</si>
  <si>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</si>
  <si>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</si>
  <si>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</si>
  <si>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</si>
  <si>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</si>
  <si>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</si>
  <si>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</si>
  <si>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</si>
  <si>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</si>
  <si>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</si>
  <si>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</si>
  <si>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</si>
  <si>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</si>
  <si>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</si>
  <si>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</si>
  <si>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 * COLETADO CAIXA *</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</si>
  <si>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</si>
  <si>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</si>
  <si>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</si>
  <si>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</si>
  <si>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</si>
  <si>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</si>
  <si>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</si>
  <si>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</si>
  <si>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</si>
  <si>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</si>
  <si>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(ENCARGOS COMPLEMENTARES) (COLETADO CAIXA)</t>
  </si>
  <si>
    <t>EXAMES - MENSALISTA (ENCARGOS COMPLEMENTARES)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</si>
  <si>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</si>
  <si>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</si>
  <si>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</si>
  <si>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</si>
  <si>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</si>
  <si>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</si>
  <si>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</si>
  <si>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</si>
  <si>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</si>
  <si>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</si>
  <si>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</si>
  <si>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</si>
  <si>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</si>
  <si>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</si>
  <si>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</si>
  <si>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</si>
  <si>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</si>
  <si>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</si>
  <si>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</si>
  <si>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</si>
  <si>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</si>
  <si>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</si>
  <si>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</si>
  <si>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</si>
  <si>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</si>
  <si>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</si>
  <si>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</si>
  <si>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</si>
  <si>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</si>
  <si>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</si>
  <si>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</si>
  <si>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</si>
  <si>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</si>
  <si>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</si>
  <si>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</si>
  <si>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</si>
  <si>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</si>
  <si>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</si>
  <si>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</si>
  <si>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</si>
  <si>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</si>
  <si>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</si>
  <si>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</si>
  <si>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</si>
  <si>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</si>
  <si>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</si>
  <si>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</si>
  <si>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</si>
  <si>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</si>
  <si>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</si>
  <si>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</si>
  <si>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</si>
  <si>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</si>
  <si>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</si>
  <si>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</si>
  <si>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</si>
  <si>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</si>
  <si>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</si>
  <si>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</si>
  <si>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</si>
  <si>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</si>
  <si>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</si>
  <si>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</si>
  <si>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</si>
  <si>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</si>
  <si>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</si>
  <si>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</si>
  <si>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</si>
  <si>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</si>
  <si>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</si>
  <si>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</si>
  <si>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</si>
  <si>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</si>
  <si>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</si>
  <si>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</si>
  <si>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</si>
  <si>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</si>
  <si>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</si>
  <si>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</si>
  <si>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</si>
  <si>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</si>
  <si>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</si>
  <si>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</si>
  <si>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</si>
  <si>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</si>
  <si>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</si>
  <si>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</si>
  <si>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</si>
  <si>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</si>
  <si>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</si>
  <si>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</si>
  <si>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</si>
  <si>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</si>
  <si>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</si>
  <si>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</si>
  <si>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</si>
  <si>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</si>
  <si>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</si>
  <si>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</si>
  <si>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</si>
  <si>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</si>
  <si>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</si>
  <si>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</si>
  <si>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</si>
  <si>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</si>
  <si>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</si>
  <si>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</si>
  <si>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</si>
  <si>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</si>
  <si>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</si>
  <si>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</si>
  <si>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</si>
  <si>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</si>
  <si>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</si>
  <si>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</si>
  <si>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</si>
  <si>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</si>
  <si>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</si>
  <si>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</si>
  <si>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</si>
  <si>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</si>
  <si>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</si>
  <si>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</si>
  <si>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</si>
  <si>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</si>
  <si>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</si>
  <si>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</si>
  <si>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</si>
  <si>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</si>
  <si>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</si>
  <si>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</si>
  <si>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</si>
  <si>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</si>
  <si>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</si>
  <si>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</si>
  <si>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</si>
  <si>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</si>
  <si>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</si>
  <si>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</si>
  <si>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</si>
  <si>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</si>
  <si>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</si>
  <si>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</si>
  <si>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</si>
  <si>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</si>
  <si>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</si>
  <si>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</si>
  <si>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</si>
  <si>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</si>
  <si>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</si>
  <si>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</si>
  <si>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</si>
  <si>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</si>
  <si>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</si>
  <si>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</si>
  <si>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</si>
  <si>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</si>
  <si>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</si>
  <si>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 xml:space="preserve">GL    </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</si>
  <si>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</si>
  <si>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</si>
  <si>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</si>
  <si>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</si>
  <si>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</si>
  <si>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</si>
  <si>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</si>
  <si>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</si>
  <si>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</si>
  <si>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</si>
  <si>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</si>
  <si>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</si>
  <si>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</si>
  <si>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</si>
  <si>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</si>
  <si>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</si>
  <si>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</si>
  <si>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</si>
  <si>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</si>
  <si>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</si>
  <si>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</si>
  <si>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</si>
  <si>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</si>
  <si>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</si>
  <si>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</si>
  <si>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</si>
  <si>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</si>
  <si>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</si>
  <si>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</si>
  <si>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</si>
  <si>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</si>
  <si>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</si>
  <si>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</si>
  <si>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</si>
  <si>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</si>
  <si>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</si>
  <si>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</si>
  <si>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</si>
  <si>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</si>
  <si>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</si>
  <si>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</si>
  <si>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</si>
  <si>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</si>
  <si>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</si>
  <si>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</si>
  <si>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</si>
  <si>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</si>
  <si>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</si>
  <si>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</si>
  <si>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</si>
  <si>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</si>
  <si>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</si>
  <si>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</si>
  <si>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</si>
  <si>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</si>
  <si>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</si>
  <si>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</si>
  <si>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</si>
  <si>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</si>
  <si>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</si>
  <si>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</si>
  <si>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</si>
  <si>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</si>
  <si>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</si>
  <si>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</si>
  <si>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</si>
  <si>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</si>
  <si>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</si>
  <si>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</si>
  <si>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</si>
  <si>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</si>
  <si>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</si>
  <si>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</si>
  <si>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</si>
  <si>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</si>
  <si>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</si>
  <si>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</si>
  <si>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</si>
  <si>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</si>
  <si>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</si>
  <si>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</si>
  <si>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</si>
  <si>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</si>
  <si>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</si>
  <si>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</si>
  <si>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</si>
  <si>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</si>
  <si>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</si>
  <si>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</si>
  <si>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</si>
  <si>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</si>
  <si>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</si>
  <si>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</si>
  <si>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</si>
  <si>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</si>
  <si>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</si>
  <si>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</si>
  <si>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</si>
  <si>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</si>
  <si>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</si>
  <si>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</si>
  <si>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</si>
  <si>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</si>
  <si>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</si>
  <si>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</si>
  <si>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</si>
  <si>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</si>
  <si>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</si>
  <si>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</si>
  <si>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</si>
  <si>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</si>
  <si>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</si>
  <si>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</si>
  <si>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</si>
  <si>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</si>
  <si>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</si>
  <si>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</si>
  <si>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</si>
  <si>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</si>
  <si>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</si>
  <si>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</si>
  <si>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</si>
  <si>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</si>
  <si>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</si>
  <si>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</si>
  <si>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</si>
  <si>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</si>
  <si>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</si>
  <si>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</si>
  <si>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</si>
  <si>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</si>
  <si>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</si>
  <si>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</si>
  <si>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</si>
  <si>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</si>
  <si>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</si>
  <si>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</si>
  <si>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</si>
  <si>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</si>
  <si>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</si>
  <si>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</si>
  <si>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</si>
  <si>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</si>
  <si>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</si>
  <si>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</si>
  <si>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</si>
  <si>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</si>
  <si>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</si>
  <si>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</si>
  <si>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</si>
  <si>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</si>
  <si>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</si>
  <si>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</si>
  <si>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</si>
  <si>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</si>
  <si>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</si>
  <si>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</si>
  <si>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</si>
  <si>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</si>
  <si>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</si>
  <si>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</si>
  <si>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</si>
  <si>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</si>
  <si>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</si>
  <si>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</si>
  <si>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</si>
  <si>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</si>
  <si>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</si>
  <si>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</si>
  <si>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</si>
  <si>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</si>
  <si>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</si>
  <si>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</si>
  <si>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</si>
  <si>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</si>
  <si>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</si>
  <si>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</si>
  <si>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</si>
  <si>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</si>
  <si>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</si>
  <si>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</si>
  <si>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</si>
  <si>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</si>
  <si>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</si>
  <si>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</si>
  <si>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</si>
  <si>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</si>
  <si>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</si>
  <si>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</si>
  <si>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</si>
  <si>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</si>
  <si>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</si>
  <si>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</si>
  <si>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</si>
  <si>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</si>
  <si>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</si>
  <si>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</si>
  <si>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</si>
  <si>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</si>
  <si>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</si>
  <si>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</si>
  <si>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</si>
  <si>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</si>
  <si>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</si>
  <si>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</si>
  <si>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</si>
  <si>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</si>
  <si>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</si>
  <si>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</si>
  <si>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</si>
  <si>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</si>
  <si>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</si>
  <si>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</si>
  <si>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</si>
  <si>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</si>
  <si>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</si>
  <si>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</si>
  <si>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</si>
  <si>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</si>
  <si>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</si>
  <si>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</si>
  <si>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</si>
  <si>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</si>
  <si>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</si>
  <si>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</si>
  <si>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</si>
  <si>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</si>
  <si>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</si>
  <si>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</si>
  <si>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</si>
  <si>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</si>
  <si>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</si>
  <si>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</si>
  <si>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</si>
  <si>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</si>
  <si>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</si>
  <si>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</si>
  <si>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</si>
  <si>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</si>
  <si>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</si>
  <si>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</si>
  <si>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</si>
  <si>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</si>
  <si>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</si>
  <si>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</si>
  <si>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</si>
  <si>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</si>
  <si>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</si>
  <si>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</si>
  <si>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</si>
  <si>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</si>
  <si>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</si>
  <si>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</si>
  <si>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</si>
  <si>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</si>
  <si>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</si>
  <si>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</si>
  <si>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</si>
  <si>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</si>
  <si>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</si>
  <si>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</si>
  <si>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</si>
  <si>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</si>
  <si>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</si>
  <si>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</si>
  <si>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</si>
  <si>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</si>
  <si>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</si>
  <si>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</si>
  <si>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</si>
  <si>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</si>
  <si>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</si>
  <si>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</si>
  <si>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</si>
  <si>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</si>
  <si>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</si>
  <si>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</si>
  <si>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</si>
  <si>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</si>
  <si>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</si>
  <si>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</si>
  <si>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</si>
  <si>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</si>
  <si>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</si>
  <si>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</si>
  <si>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</si>
  <si>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</si>
  <si>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</si>
  <si>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</si>
  <si>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</si>
  <si>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</si>
  <si>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</si>
  <si>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</si>
  <si>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</si>
  <si>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</si>
  <si>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</si>
  <si>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</si>
  <si>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</si>
  <si>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</si>
  <si>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</si>
  <si>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</si>
  <si>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</si>
  <si>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</si>
  <si>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</si>
  <si>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</si>
  <si>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</si>
  <si>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</si>
  <si>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</si>
  <si>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</si>
  <si>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</si>
  <si>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</si>
  <si>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</si>
  <si>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</si>
  <si>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</si>
  <si>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</si>
  <si>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</si>
  <si>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</si>
  <si>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</si>
  <si>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</si>
  <si>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</si>
  <si>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</si>
  <si>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</si>
  <si>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</si>
  <si>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</si>
  <si>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</si>
  <si>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</si>
  <si>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</si>
  <si>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</si>
  <si>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</si>
  <si>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</si>
  <si>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</si>
  <si>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</si>
  <si>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</si>
  <si>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</si>
  <si>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</si>
  <si>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</si>
  <si>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</si>
  <si>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</si>
  <si>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</si>
  <si>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</si>
  <si>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</si>
  <si>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</si>
  <si>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</si>
  <si>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</si>
  <si>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</si>
  <si>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</si>
  <si>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</si>
  <si>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</si>
  <si>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</si>
  <si>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</si>
  <si>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</si>
  <si>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</si>
  <si>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</si>
  <si>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</si>
  <si>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</si>
  <si>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</si>
  <si>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</si>
  <si>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</si>
  <si>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</si>
  <si>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</si>
  <si>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</si>
  <si>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</si>
  <si>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</si>
  <si>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</si>
  <si>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</si>
  <si>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</si>
  <si>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</si>
  <si>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</si>
  <si>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</si>
  <si>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</si>
  <si>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</si>
  <si>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</si>
  <si>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</si>
  <si>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</si>
  <si>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</si>
  <si>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</si>
  <si>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</si>
  <si>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</si>
  <si>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</si>
  <si>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</si>
  <si>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</si>
  <si>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</si>
  <si>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</si>
  <si>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</si>
  <si>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</si>
  <si>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</si>
  <si>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</si>
  <si>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</si>
  <si>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</si>
  <si>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</si>
  <si>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</si>
  <si>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</si>
  <si>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</si>
  <si>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</si>
  <si>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</si>
  <si>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</si>
  <si>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</si>
  <si>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</si>
  <si>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JUNCAO PVC, 45 GRAUS, ROSCAVEL, 1 1/2", PARA AGUA FRIA PREDIAL</t>
  </si>
  <si>
    <t>JUNCAO PVC, 45 GRAUS, ROSCAVEL, 1 1/4", AGUA FRIA PREDIAL</t>
  </si>
  <si>
    <t>JUNCAO PVC, 45 GRAUS, ROSCAVEL, 2",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</si>
  <si>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</si>
  <si>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</si>
  <si>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</si>
  <si>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</si>
  <si>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</si>
  <si>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</si>
  <si>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</si>
  <si>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</si>
  <si>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</si>
  <si>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</si>
  <si>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</si>
  <si>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</si>
  <si>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</si>
  <si>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</si>
  <si>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</si>
  <si>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</si>
  <si>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</si>
  <si>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PBA, BBB, DN 50 / DE 60 MM, PARA REDE DE AGUA (NBR 5647)</t>
  </si>
  <si>
    <t>JUNCAO, PVC, 45 GRAUS, JE, BBB, DN 100 MM, PARA REDE COLETORA DE ESGOTO (NBR 10569)</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</si>
  <si>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</si>
  <si>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</si>
  <si>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</si>
  <si>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</si>
  <si>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</si>
  <si>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</si>
  <si>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</si>
  <si>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</si>
  <si>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</si>
  <si>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</si>
  <si>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</si>
  <si>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</si>
  <si>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</si>
  <si>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</si>
  <si>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</si>
  <si>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</si>
  <si>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</si>
  <si>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</si>
  <si>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</si>
  <si>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</si>
  <si>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</si>
  <si>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</si>
  <si>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</si>
  <si>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</si>
  <si>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</si>
  <si>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</si>
  <si>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</si>
  <si>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</si>
  <si>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</si>
  <si>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</si>
  <si>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</si>
  <si>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</si>
  <si>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</si>
  <si>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</si>
  <si>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</si>
  <si>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</si>
  <si>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</si>
  <si>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</si>
  <si>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</si>
  <si>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</si>
  <si>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</si>
  <si>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</si>
  <si>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</si>
  <si>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</si>
  <si>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</si>
  <si>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</si>
  <si>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</si>
  <si>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</si>
  <si>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</si>
  <si>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</si>
  <si>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</si>
  <si>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</si>
  <si>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</si>
  <si>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</si>
  <si>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</si>
  <si>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</si>
  <si>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</si>
  <si>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</si>
  <si>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</si>
  <si>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</si>
  <si>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</si>
  <si>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</si>
  <si>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</si>
  <si>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</si>
  <si>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</si>
  <si>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</si>
  <si>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</si>
  <si>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</si>
  <si>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</si>
  <si>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</si>
  <si>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</si>
  <si>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</si>
  <si>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</si>
  <si>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</si>
  <si>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</si>
  <si>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</si>
  <si>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</si>
  <si>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</si>
  <si>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</si>
  <si>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</si>
  <si>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</si>
  <si>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</si>
  <si>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</si>
  <si>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</si>
  <si>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</si>
  <si>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</si>
  <si>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</si>
  <si>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</si>
  <si>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</si>
  <si>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</si>
  <si>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</si>
  <si>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</si>
  <si>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</si>
  <si>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</si>
  <si>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</si>
  <si>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</si>
  <si>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</si>
  <si>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</si>
  <si>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</si>
  <si>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</si>
  <si>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</si>
  <si>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</si>
  <si>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</si>
  <si>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</si>
  <si>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</si>
  <si>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</si>
  <si>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</si>
  <si>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</si>
  <si>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</si>
  <si>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</si>
  <si>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</si>
  <si>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</si>
  <si>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</si>
  <si>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</si>
  <si>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</si>
  <si>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</si>
  <si>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</si>
  <si>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</si>
  <si>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</si>
  <si>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</si>
  <si>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</si>
  <si>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</si>
  <si>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</si>
  <si>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</si>
  <si>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</si>
  <si>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</si>
  <si>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</si>
  <si>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M2/MES</t>
  </si>
  <si>
    <t>LOCACAO DE ANDAIME METALICO TUBULAR DE ENCAIXE, TIPO DE TORRE, COM LARGURA DE 1 ATE 1,5 M E ALTURA DE *1,00* M</t>
  </si>
  <si>
    <t xml:space="preserve">M/MES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</si>
  <si>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</si>
  <si>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</si>
  <si>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</si>
  <si>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</si>
  <si>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</si>
  <si>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</si>
  <si>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</si>
  <si>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</si>
  <si>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</si>
  <si>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</si>
  <si>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</si>
  <si>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</si>
  <si>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</si>
  <si>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</si>
  <si>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</si>
  <si>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</si>
  <si>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</si>
  <si>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</si>
  <si>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</si>
  <si>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</si>
  <si>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</si>
  <si>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</si>
  <si>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</si>
  <si>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</si>
  <si>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</si>
  <si>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</si>
  <si>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</si>
  <si>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</si>
  <si>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</si>
  <si>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</si>
  <si>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</si>
  <si>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</si>
  <si>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</si>
  <si>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</si>
  <si>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</si>
  <si>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</si>
  <si>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</si>
  <si>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</si>
  <si>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</si>
  <si>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</si>
  <si>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</si>
  <si>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</si>
  <si>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</si>
  <si>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</si>
  <si>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</si>
  <si>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</si>
  <si>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</si>
  <si>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</si>
  <si>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</si>
  <si>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</si>
  <si>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</si>
  <si>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</si>
  <si>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</si>
  <si>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</si>
  <si>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</si>
  <si>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</si>
  <si>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</si>
  <si>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</si>
  <si>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</si>
  <si>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</si>
  <si>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</si>
  <si>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</si>
  <si>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</si>
  <si>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</si>
  <si>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</si>
  <si>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</si>
  <si>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</si>
  <si>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</si>
  <si>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</si>
  <si>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</si>
  <si>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</si>
  <si>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</si>
  <si>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</si>
  <si>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</si>
  <si>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</si>
  <si>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</si>
  <si>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</si>
  <si>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</si>
  <si>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</si>
  <si>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</si>
  <si>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</si>
  <si>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</si>
  <si>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</si>
  <si>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</si>
  <si>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</si>
  <si>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</si>
  <si>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</si>
  <si>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</si>
  <si>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</si>
  <si>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</si>
  <si>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</si>
  <si>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</si>
  <si>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</si>
  <si>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</si>
  <si>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</si>
  <si>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</si>
  <si>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</si>
  <si>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</si>
  <si>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</si>
  <si>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</si>
  <si>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</si>
  <si>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</si>
  <si>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</si>
  <si>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</si>
  <si>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</si>
  <si>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</si>
  <si>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</si>
  <si>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</si>
  <si>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</si>
  <si>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</si>
  <si>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</si>
  <si>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</si>
  <si>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</si>
  <si>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</si>
  <si>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</si>
  <si>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</si>
  <si>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</si>
  <si>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</si>
  <si>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</si>
  <si>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</si>
  <si>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</si>
  <si>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</si>
  <si>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</si>
  <si>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</si>
  <si>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</si>
  <si>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</si>
  <si>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</si>
  <si>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</si>
  <si>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</si>
  <si>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</si>
  <si>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</si>
  <si>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</si>
  <si>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</si>
  <si>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</si>
  <si>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</si>
  <si>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</si>
  <si>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</si>
  <si>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</si>
  <si>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</si>
  <si>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</si>
  <si>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</si>
  <si>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</si>
  <si>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</si>
  <si>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</si>
  <si>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</si>
  <si>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</si>
  <si>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</si>
  <si>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</si>
  <si>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</si>
  <si>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</si>
  <si>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</si>
  <si>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</si>
  <si>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</si>
  <si>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</si>
  <si>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</si>
  <si>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</si>
  <si>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</si>
  <si>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</si>
  <si>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</si>
  <si>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</si>
  <si>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</si>
  <si>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</si>
  <si>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</si>
  <si>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</si>
  <si>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</si>
  <si>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</si>
  <si>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</si>
  <si>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</si>
  <si>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</si>
  <si>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</si>
  <si>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</si>
  <si>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</si>
  <si>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</si>
  <si>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</si>
  <si>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</si>
  <si>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</si>
  <si>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</si>
  <si>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</si>
  <si>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</si>
  <si>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</si>
  <si>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</si>
  <si>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</si>
  <si>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</si>
  <si>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</si>
  <si>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</si>
  <si>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</si>
  <si>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</si>
  <si>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</si>
  <si>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</si>
  <si>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</si>
  <si>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</si>
  <si>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</si>
  <si>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</si>
  <si>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</si>
  <si>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</si>
  <si>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</si>
  <si>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</si>
  <si>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</si>
  <si>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</si>
  <si>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</si>
  <si>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</si>
  <si>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</si>
  <si>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</si>
  <si>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</si>
  <si>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</si>
  <si>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</si>
  <si>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</si>
  <si>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</si>
  <si>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</si>
  <si>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</si>
  <si>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</si>
  <si>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</si>
  <si>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</si>
  <si>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</si>
  <si>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</si>
  <si>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</si>
  <si>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</si>
  <si>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</si>
  <si>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</si>
  <si>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</si>
  <si>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</si>
  <si>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</si>
  <si>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</si>
  <si>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</si>
  <si>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</si>
  <si>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</si>
  <si>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</si>
  <si>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</si>
  <si>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</si>
  <si>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</si>
  <si>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</si>
  <si>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</si>
  <si>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</si>
  <si>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</si>
  <si>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</si>
  <si>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</si>
  <si>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</si>
  <si>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</si>
  <si>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</si>
  <si>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</si>
  <si>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</si>
  <si>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</si>
  <si>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</si>
  <si>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</si>
  <si>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</si>
  <si>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</si>
  <si>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</si>
  <si>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</si>
  <si>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</si>
  <si>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</si>
  <si>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</si>
  <si>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</si>
  <si>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</si>
  <si>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</si>
  <si>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</si>
  <si>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</si>
  <si>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</si>
  <si>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</si>
  <si>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</si>
  <si>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</si>
  <si>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</si>
  <si>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</si>
  <si>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</si>
  <si>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</si>
  <si>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</si>
  <si>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</si>
  <si>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</si>
  <si>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</si>
  <si>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</si>
  <si>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</si>
  <si>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</si>
  <si>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</si>
  <si>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</si>
  <si>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</si>
  <si>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</si>
  <si>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</si>
  <si>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</si>
  <si>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</si>
  <si>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</si>
  <si>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</si>
  <si>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</si>
  <si>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</si>
  <si>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</si>
  <si>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</si>
  <si>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</si>
  <si>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</si>
  <si>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</si>
  <si>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</si>
  <si>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</si>
  <si>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</si>
  <si>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PINHO SERRADA 3A QUALIDADE NAO APARELHADA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</si>
  <si>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</si>
  <si>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</si>
  <si>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</si>
  <si>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</si>
  <si>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</si>
  <si>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</si>
  <si>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</si>
  <si>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</si>
  <si>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</si>
  <si>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</si>
  <si>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</si>
  <si>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</si>
  <si>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</si>
  <si>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</si>
  <si>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</si>
  <si>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</si>
  <si>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</si>
  <si>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MADEIRA 2A QUALIDADE SERRADA NAO APARELHADA -TIPO VIROLA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</si>
  <si>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</si>
  <si>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</si>
  <si>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</si>
  <si>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</si>
  <si>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</si>
  <si>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</si>
  <si>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</si>
  <si>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</si>
  <si>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</si>
  <si>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</si>
  <si>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</si>
  <si>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</si>
  <si>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</si>
  <si>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</si>
  <si>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</si>
  <si>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</si>
  <si>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</si>
  <si>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</si>
  <si>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</si>
  <si>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</si>
  <si>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</si>
  <si>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</si>
  <si>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</si>
  <si>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</si>
  <si>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</si>
  <si>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</si>
  <si>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</si>
  <si>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</si>
  <si>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</si>
  <si>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</si>
  <si>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</si>
  <si>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</si>
  <si>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</si>
  <si>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</si>
  <si>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</si>
  <si>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</si>
  <si>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</si>
  <si>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</si>
  <si>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</si>
  <si>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</si>
  <si>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</si>
  <si>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</si>
  <si>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</si>
  <si>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</si>
  <si>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</si>
  <si>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</si>
  <si>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</si>
  <si>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</si>
  <si>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</si>
  <si>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</si>
  <si>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</si>
  <si>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</si>
  <si>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</si>
  <si>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</si>
  <si>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</si>
  <si>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</si>
  <si>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</si>
  <si>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</si>
  <si>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</si>
  <si>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</si>
  <si>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</si>
  <si>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</si>
  <si>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</si>
  <si>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</si>
  <si>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</si>
  <si>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</si>
  <si>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</si>
  <si>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</si>
  <si>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</si>
  <si>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</si>
  <si>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</si>
  <si>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</si>
  <si>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</si>
  <si>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</si>
  <si>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</si>
  <si>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</si>
  <si>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</si>
  <si>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</si>
  <si>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</si>
  <si>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</si>
  <si>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</si>
  <si>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</si>
  <si>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</si>
  <si>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</si>
  <si>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</si>
  <si>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</si>
  <si>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</si>
  <si>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</si>
  <si>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</si>
  <si>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</si>
  <si>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</si>
  <si>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</si>
  <si>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</si>
  <si>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</si>
  <si>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</si>
  <si>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</si>
  <si>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</si>
  <si>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</si>
  <si>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</si>
  <si>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</si>
  <si>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</si>
  <si>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</si>
  <si>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</si>
  <si>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</si>
  <si>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</si>
  <si>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</si>
  <si>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</si>
  <si>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</si>
  <si>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</si>
  <si>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</si>
  <si>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</si>
  <si>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</si>
  <si>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</si>
  <si>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</si>
  <si>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</si>
  <si>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</si>
  <si>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</si>
  <si>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</si>
  <si>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</si>
  <si>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</si>
  <si>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</si>
  <si>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</si>
  <si>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</si>
  <si>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</si>
  <si>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</si>
  <si>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</si>
  <si>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</si>
  <si>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</si>
  <si>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</si>
  <si>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</si>
  <si>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</si>
  <si>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</si>
  <si>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</si>
  <si>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</si>
  <si>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</si>
  <si>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</si>
  <si>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</si>
  <si>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</si>
  <si>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</si>
  <si>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</si>
  <si>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</si>
  <si>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</si>
  <si>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</si>
  <si>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</si>
  <si>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</si>
  <si>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</si>
  <si>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</si>
  <si>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</si>
  <si>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</si>
  <si>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</si>
  <si>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</si>
  <si>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</si>
  <si>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</si>
  <si>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</si>
  <si>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</si>
  <si>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</si>
  <si>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</si>
  <si>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</si>
  <si>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</si>
  <si>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</si>
  <si>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</si>
  <si>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</si>
  <si>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</si>
  <si>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</si>
  <si>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</si>
  <si>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</si>
  <si>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</si>
  <si>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</si>
  <si>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</si>
  <si>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</si>
  <si>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</si>
  <si>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</si>
  <si>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</si>
  <si>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</si>
  <si>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</si>
  <si>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</si>
  <si>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</si>
  <si>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</si>
  <si>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</si>
  <si>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</si>
  <si>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</si>
  <si>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</si>
  <si>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</si>
  <si>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</si>
  <si>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</si>
  <si>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</si>
  <si>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</si>
  <si>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</si>
  <si>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</si>
  <si>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</si>
  <si>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</si>
  <si>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</si>
  <si>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</si>
  <si>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</si>
  <si>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</si>
  <si>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</si>
  <si>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</si>
  <si>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</si>
  <si>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</si>
  <si>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</si>
  <si>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 * COLETADO CAIXA *</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</si>
  <si>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</si>
  <si>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</si>
  <si>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</si>
  <si>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</si>
  <si>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</si>
  <si>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</si>
  <si>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</si>
  <si>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</si>
  <si>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</si>
  <si>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</si>
  <si>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</si>
  <si>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</si>
  <si>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</si>
  <si>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</si>
  <si>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</si>
  <si>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</si>
  <si>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</si>
  <si>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</si>
  <si>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</si>
  <si>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</si>
  <si>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</si>
  <si>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</si>
  <si>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</si>
  <si>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</si>
  <si>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</si>
  <si>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</si>
  <si>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</si>
  <si>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</si>
  <si>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</si>
  <si>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</si>
  <si>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</si>
  <si>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</si>
  <si>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</si>
  <si>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</si>
  <si>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</si>
  <si>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</si>
  <si>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</si>
  <si>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</si>
  <si>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</si>
  <si>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</si>
  <si>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</si>
  <si>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</si>
  <si>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</si>
  <si>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</si>
  <si>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</si>
  <si>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</si>
  <si>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</si>
  <si>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</si>
  <si>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</si>
  <si>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</si>
  <si>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</si>
  <si>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</si>
  <si>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</si>
  <si>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</si>
  <si>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</si>
  <si>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</si>
  <si>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</si>
  <si>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</si>
  <si>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</si>
  <si>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</si>
  <si>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</si>
  <si>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</si>
  <si>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</si>
  <si>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</si>
  <si>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</si>
  <si>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</si>
  <si>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</si>
  <si>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</si>
  <si>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</si>
  <si>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</si>
  <si>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</si>
  <si>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</si>
  <si>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MESA VIBROACABADORA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</si>
  <si>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</si>
  <si>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</si>
  <si>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</si>
  <si>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</si>
  <si>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</si>
  <si>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</si>
  <si>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</si>
  <si>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</si>
  <si>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</si>
  <si>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</si>
  <si>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</si>
  <si>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</si>
  <si>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</si>
  <si>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</si>
  <si>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</si>
  <si>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</si>
  <si>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</si>
  <si>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</si>
  <si>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</si>
  <si>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</si>
  <si>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</si>
  <si>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</si>
  <si>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</si>
  <si>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</si>
  <si>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</si>
  <si>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</si>
  <si>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</si>
  <si>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</si>
  <si>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</si>
  <si>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</si>
  <si>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</si>
  <si>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</si>
  <si>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</si>
  <si>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</si>
  <si>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</si>
  <si>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</si>
  <si>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</si>
  <si>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</si>
  <si>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</si>
  <si>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</si>
  <si>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</si>
  <si>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</si>
  <si>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</si>
  <si>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</si>
  <si>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</si>
  <si>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</si>
  <si>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</si>
  <si>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</si>
  <si>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</si>
  <si>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</si>
  <si>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</si>
  <si>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</si>
  <si>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</si>
  <si>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</si>
  <si>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</si>
  <si>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</si>
  <si>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</si>
  <si>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</si>
  <si>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</si>
  <si>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</si>
  <si>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</si>
  <si>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</si>
  <si>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</si>
  <si>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</si>
  <si>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</si>
  <si>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</si>
  <si>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</si>
  <si>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</si>
  <si>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</si>
  <si>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</si>
  <si>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</si>
  <si>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</si>
  <si>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</si>
  <si>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</si>
  <si>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</si>
  <si>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</si>
  <si>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</si>
  <si>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</si>
  <si>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</si>
  <si>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</si>
  <si>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</si>
  <si>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</si>
  <si>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</si>
  <si>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</si>
  <si>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</si>
  <si>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</si>
  <si>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</si>
  <si>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</si>
  <si>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</si>
  <si>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</si>
  <si>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</si>
  <si>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</si>
  <si>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</si>
  <si>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</si>
  <si>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</si>
  <si>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</si>
  <si>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</si>
  <si>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</si>
  <si>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</si>
  <si>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</si>
  <si>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</si>
  <si>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</si>
  <si>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</si>
  <si>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</si>
  <si>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</si>
  <si>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</si>
  <si>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</si>
  <si>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</si>
  <si>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</si>
  <si>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</si>
  <si>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</si>
  <si>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</si>
  <si>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</si>
  <si>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</si>
  <si>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</si>
  <si>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</si>
  <si>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</si>
  <si>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</si>
  <si>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</si>
  <si>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</si>
  <si>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</si>
  <si>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</si>
  <si>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</si>
  <si>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</si>
  <si>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</si>
  <si>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</si>
  <si>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</si>
  <si>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</si>
  <si>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</si>
  <si>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</si>
  <si>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</si>
  <si>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</si>
  <si>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</si>
  <si>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PECA DE MADEIRA NATIVA / REGIONAL 7,5 X 7,5CM (3X3) NAO APARELHADA (P/FORMA)</t>
  </si>
  <si>
    <t>PECA DE MADEIRA NATIVA/REGIONAL 1 X 7CM NAO APARELHADA (P/FORMA)</t>
  </si>
  <si>
    <t>PECA DE MADEIRA NATIVA/REGIONAL 2,5 X 7,0 CM (SARRAFO-P/FORMA)</t>
  </si>
  <si>
    <t>PECA DE MADEIRA NATIVA/REGIONAL 7,5 X 12,50 CM (3X5") NAO APARELHADA (P/FORMA)</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</si>
  <si>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</si>
  <si>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</si>
  <si>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</si>
  <si>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</si>
  <si>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</si>
  <si>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</si>
  <si>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</si>
  <si>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</si>
  <si>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</si>
  <si>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</si>
  <si>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</si>
  <si>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</si>
  <si>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</si>
  <si>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</si>
  <si>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</si>
  <si>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</si>
  <si>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</si>
  <si>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</si>
  <si>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</si>
  <si>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</si>
  <si>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</si>
  <si>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</si>
  <si>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</si>
  <si>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</si>
  <si>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</si>
  <si>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</si>
  <si>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</si>
  <si>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</si>
  <si>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</si>
  <si>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</si>
  <si>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</si>
  <si>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</si>
  <si>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</si>
  <si>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</si>
  <si>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</si>
  <si>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</si>
  <si>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</si>
  <si>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</si>
  <si>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</si>
  <si>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</si>
  <si>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</si>
  <si>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</si>
  <si>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</si>
  <si>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</si>
  <si>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</si>
  <si>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</si>
  <si>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</si>
  <si>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</si>
  <si>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</si>
  <si>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</si>
  <si>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</si>
  <si>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</si>
  <si>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</si>
  <si>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</si>
  <si>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</si>
  <si>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</si>
  <si>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</si>
  <si>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</si>
  <si>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</si>
  <si>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</si>
  <si>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</si>
  <si>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</si>
  <si>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</si>
  <si>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</si>
  <si>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</si>
  <si>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</si>
  <si>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</si>
  <si>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</si>
  <si>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</si>
  <si>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</si>
  <si>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</si>
  <si>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</si>
  <si>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</si>
  <si>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</si>
  <si>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</si>
  <si>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</si>
  <si>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</si>
  <si>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</si>
  <si>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</si>
  <si>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</si>
  <si>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</si>
  <si>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</si>
  <si>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</si>
  <si>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</si>
  <si>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</si>
  <si>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</si>
  <si>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</si>
  <si>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</si>
  <si>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</si>
  <si>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</si>
  <si>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</si>
  <si>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</si>
  <si>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</si>
  <si>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</si>
  <si>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</si>
  <si>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</si>
  <si>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</si>
  <si>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</si>
  <si>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</si>
  <si>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</si>
  <si>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</si>
  <si>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</si>
  <si>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</si>
  <si>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</si>
  <si>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</si>
  <si>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</si>
  <si>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</si>
  <si>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</si>
  <si>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</si>
  <si>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</si>
  <si>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</si>
  <si>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</si>
  <si>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</si>
  <si>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</si>
  <si>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</si>
  <si>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</si>
  <si>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</si>
  <si>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</si>
  <si>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</si>
  <si>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</si>
  <si>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</si>
  <si>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</si>
  <si>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</si>
  <si>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</si>
  <si>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</si>
  <si>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</si>
  <si>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</si>
  <si>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</si>
  <si>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</si>
  <si>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</si>
  <si>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</si>
  <si>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</si>
  <si>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</si>
  <si>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</si>
  <si>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</si>
  <si>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</si>
  <si>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</si>
  <si>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</si>
  <si>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</si>
  <si>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</si>
  <si>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</si>
  <si>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</si>
  <si>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</si>
  <si>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</si>
  <si>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</si>
  <si>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</si>
  <si>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</si>
  <si>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</si>
  <si>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</si>
  <si>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</si>
  <si>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</si>
  <si>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</si>
  <si>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</si>
  <si>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</si>
  <si>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</si>
  <si>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</si>
  <si>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</si>
  <si>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</si>
  <si>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</si>
  <si>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</si>
  <si>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</si>
  <si>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</si>
  <si>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 * COLETADO CAIXA *</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</si>
  <si>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</si>
  <si>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</si>
  <si>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</si>
  <si>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</si>
  <si>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</si>
  <si>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</si>
  <si>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</si>
  <si>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</si>
  <si>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</si>
  <si>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</si>
  <si>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</si>
  <si>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</si>
  <si>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</si>
  <si>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</si>
  <si>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</si>
  <si>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</si>
  <si>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</si>
  <si>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</si>
  <si>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</si>
  <si>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</si>
  <si>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</si>
  <si>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</si>
  <si>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</si>
  <si>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</si>
  <si>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</si>
  <si>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</si>
  <si>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</si>
  <si>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</si>
  <si>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</si>
  <si>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</si>
  <si>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</si>
  <si>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</si>
  <si>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</si>
  <si>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</si>
  <si>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</si>
  <si>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</si>
  <si>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</si>
  <si>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</si>
  <si>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</si>
  <si>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</si>
  <si>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</si>
  <si>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</si>
  <si>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</si>
  <si>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</si>
  <si>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</si>
  <si>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</si>
  <si>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</si>
  <si>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</si>
  <si>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</si>
  <si>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</si>
  <si>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</si>
  <si>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</si>
  <si>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</si>
  <si>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</si>
  <si>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</si>
  <si>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</si>
  <si>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</si>
  <si>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</si>
  <si>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</si>
  <si>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</si>
  <si>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</si>
  <si>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</si>
  <si>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</si>
  <si>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</si>
  <si>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</si>
  <si>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</si>
  <si>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</si>
  <si>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</si>
  <si>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</si>
  <si>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</si>
  <si>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</si>
  <si>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</si>
  <si>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</si>
  <si>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</si>
  <si>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</si>
  <si>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</si>
  <si>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</si>
  <si>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</si>
  <si>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</si>
  <si>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</si>
  <si>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</si>
  <si>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</si>
  <si>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</si>
  <si>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</si>
  <si>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</si>
  <si>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</si>
  <si>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</si>
  <si>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</si>
  <si>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</si>
  <si>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</si>
  <si>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</si>
  <si>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</si>
  <si>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</si>
  <si>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</si>
  <si>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</si>
  <si>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</si>
  <si>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</si>
  <si>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</si>
  <si>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</si>
  <si>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</si>
  <si>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</si>
  <si>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</si>
  <si>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</si>
  <si>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</si>
  <si>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</si>
  <si>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</si>
  <si>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</si>
  <si>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</si>
  <si>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</si>
  <si>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</si>
  <si>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</si>
  <si>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</si>
  <si>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</si>
  <si>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</si>
  <si>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</si>
  <si>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</si>
  <si>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</si>
  <si>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</si>
  <si>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</si>
  <si>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</si>
  <si>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</si>
  <si>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</si>
  <si>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</si>
  <si>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</si>
  <si>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</si>
  <si>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</si>
  <si>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</si>
  <si>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</si>
  <si>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</si>
  <si>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</si>
  <si>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</si>
  <si>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</si>
  <si>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</si>
  <si>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</si>
  <si>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</si>
  <si>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</si>
  <si>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</si>
  <si>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</si>
  <si>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</si>
  <si>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</si>
  <si>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</si>
  <si>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</si>
  <si>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</si>
  <si>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</si>
  <si>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</si>
  <si>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</si>
  <si>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</si>
  <si>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</si>
  <si>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</si>
  <si>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</si>
  <si>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</si>
  <si>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</si>
  <si>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</si>
  <si>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</si>
  <si>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</si>
  <si>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</si>
  <si>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</si>
  <si>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</si>
  <si>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</si>
  <si>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</si>
  <si>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</si>
  <si>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</si>
  <si>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</si>
  <si>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</si>
  <si>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</si>
  <si>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</si>
  <si>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</si>
  <si>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</si>
  <si>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</si>
  <si>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</si>
  <si>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</si>
  <si>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</si>
  <si>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</si>
  <si>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</si>
  <si>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</si>
  <si>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</si>
  <si>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 * COLETADO CAIXA *</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</si>
  <si>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</si>
  <si>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</si>
  <si>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</si>
  <si>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</si>
  <si>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</si>
  <si>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</si>
  <si>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</si>
  <si>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</si>
  <si>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</si>
  <si>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</si>
  <si>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</si>
  <si>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</si>
  <si>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</si>
  <si>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</si>
  <si>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</si>
  <si>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</si>
  <si>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</si>
  <si>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</si>
  <si>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</si>
  <si>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</si>
  <si>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</si>
  <si>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</si>
  <si>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</si>
  <si>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</si>
  <si>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</si>
  <si>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</si>
  <si>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</si>
  <si>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</si>
  <si>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</si>
  <si>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</si>
  <si>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</si>
  <si>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</si>
  <si>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</si>
  <si>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</si>
  <si>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</si>
  <si>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</si>
  <si>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</si>
  <si>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</si>
  <si>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</si>
  <si>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</si>
  <si>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</si>
  <si>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</si>
  <si>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</si>
  <si>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</si>
  <si>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</si>
  <si>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</si>
  <si>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</si>
  <si>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</si>
  <si>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</si>
  <si>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</si>
  <si>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</si>
  <si>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</si>
  <si>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</si>
  <si>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</si>
  <si>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</si>
  <si>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</si>
  <si>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</si>
  <si>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</si>
  <si>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</si>
  <si>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</si>
  <si>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</si>
  <si>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</si>
  <si>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</si>
  <si>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</si>
  <si>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</si>
  <si>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</si>
  <si>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</si>
  <si>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</si>
  <si>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</si>
  <si>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</si>
  <si>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</si>
  <si>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</si>
  <si>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</si>
  <si>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</si>
  <si>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</si>
  <si>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</si>
  <si>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</si>
  <si>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</si>
  <si>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</si>
  <si>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</si>
  <si>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</si>
  <si>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</si>
  <si>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</si>
  <si>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</si>
  <si>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</si>
  <si>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</si>
  <si>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</si>
  <si>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</si>
  <si>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</si>
  <si>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</si>
  <si>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</si>
  <si>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</si>
  <si>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</si>
  <si>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</si>
  <si>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</si>
  <si>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</si>
  <si>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</si>
  <si>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</si>
  <si>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</si>
  <si>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</si>
  <si>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</si>
  <si>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</si>
  <si>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</si>
  <si>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</si>
  <si>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</si>
  <si>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</si>
  <si>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</si>
  <si>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</si>
  <si>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</si>
  <si>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</si>
  <si>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</si>
  <si>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</si>
  <si>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</si>
  <si>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</si>
  <si>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</si>
  <si>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</si>
  <si>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</si>
  <si>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</si>
  <si>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</si>
  <si>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</si>
  <si>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</si>
  <si>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</si>
  <si>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</si>
  <si>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</si>
  <si>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</si>
  <si>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</si>
  <si>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</si>
  <si>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</si>
  <si>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</si>
  <si>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</si>
  <si>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</si>
  <si>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</si>
  <si>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</si>
  <si>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</si>
  <si>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</si>
  <si>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</si>
  <si>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</si>
  <si>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</si>
  <si>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</si>
  <si>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</si>
  <si>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</si>
  <si>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</si>
  <si>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</si>
  <si>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</si>
  <si>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</si>
  <si>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</si>
  <si>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</si>
  <si>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</si>
  <si>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</si>
  <si>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</si>
  <si>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</si>
  <si>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</si>
  <si>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</si>
  <si>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</si>
  <si>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</si>
  <si>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</si>
  <si>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</si>
  <si>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</si>
  <si>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</si>
  <si>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</si>
  <si>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</si>
  <si>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</si>
  <si>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</si>
  <si>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</si>
  <si>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</si>
  <si>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</si>
  <si>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</si>
  <si>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</si>
  <si>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</si>
  <si>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</si>
  <si>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</si>
  <si>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</si>
  <si>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</si>
  <si>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</si>
  <si>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</si>
  <si>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</si>
  <si>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</si>
  <si>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</si>
  <si>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</si>
  <si>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</si>
  <si>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</si>
  <si>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</si>
  <si>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</si>
  <si>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</si>
  <si>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*1,5 X 5* CM, MACARANDUBA, ANGELIM OU EQUIVALENTE DA REGIAO</t>
  </si>
  <si>
    <t>RIPA DE MADEIRA NAO APARELHADA 1 X 3*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</si>
  <si>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</si>
  <si>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</si>
  <si>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</si>
  <si>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</si>
  <si>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</si>
  <si>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</si>
  <si>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</si>
  <si>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</si>
  <si>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</si>
  <si>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</si>
  <si>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</si>
  <si>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</si>
  <si>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</si>
  <si>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</si>
  <si>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</si>
  <si>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</si>
  <si>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</si>
  <si>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</si>
  <si>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</si>
  <si>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</si>
  <si>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</si>
  <si>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</si>
  <si>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</si>
  <si>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</si>
  <si>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</si>
  <si>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</si>
  <si>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</si>
  <si>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</si>
  <si>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</si>
  <si>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</si>
  <si>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</si>
  <si>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</si>
  <si>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</si>
  <si>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</si>
  <si>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</si>
  <si>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</si>
  <si>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</si>
  <si>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</si>
  <si>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</si>
  <si>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</si>
  <si>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</si>
  <si>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</si>
  <si>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</si>
  <si>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</si>
  <si>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</si>
  <si>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</si>
  <si>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</si>
  <si>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</si>
  <si>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</si>
  <si>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</si>
  <si>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</si>
  <si>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</si>
  <si>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</si>
  <si>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</si>
  <si>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SEGURO - HORISTA (ENCARGOS COMPLEMENTARES) (COLETADO CAIXA)</t>
  </si>
  <si>
    <t>SEGURO - MENSALISTA (ENCARGOS COMPLEMENTARES)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</si>
  <si>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</si>
  <si>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</si>
  <si>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</si>
  <si>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</si>
  <si>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</si>
  <si>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</si>
  <si>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</si>
  <si>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</si>
  <si>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 xml:space="preserve">310ML </t>
  </si>
  <si>
    <t>SELANTE TIPO VEDA CALHA PARA METAL E FIBROCIMENTO</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</si>
  <si>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</si>
  <si>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</si>
  <si>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</si>
  <si>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</si>
  <si>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</si>
  <si>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</si>
  <si>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</si>
  <si>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</si>
  <si>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</si>
  <si>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</si>
  <si>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</si>
  <si>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</si>
  <si>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</si>
  <si>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</si>
  <si>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</si>
  <si>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</si>
  <si>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</si>
  <si>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</si>
  <si>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</si>
  <si>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</si>
  <si>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</si>
  <si>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</si>
  <si>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</si>
  <si>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</si>
  <si>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</si>
  <si>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</si>
  <si>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</si>
  <si>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</si>
  <si>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</si>
  <si>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</si>
  <si>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</si>
  <si>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</si>
  <si>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</si>
  <si>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</si>
  <si>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</si>
  <si>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</si>
  <si>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SINALIZADOR NOTURNO SIMPLES PARA PARA-RAIOS, SEM RELE FOTOELETRICO</t>
  </si>
  <si>
    <t>SISAL EM FIBRA</t>
  </si>
  <si>
    <t>SISTEMA DE FORMAS MANUSEAVEIS DE ALUMINIO, PARA BLOCO RESID. COM PAREDES DE CONCRETO MOLDADAS IN LOCO, EM CONFORMIDADE COM O ORCAMENTO REF. 9672: BLOCO COM 4 PAV. E 4 UNIDADES POR PAV., UNIDADE HABITACIONALCOM 48 M2 E 2 QUARTOS; TELHA DE FIBROCIMENTO (COLETADO CAIXA)</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</si>
  <si>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</si>
  <si>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</si>
  <si>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</si>
  <si>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</si>
  <si>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</si>
  <si>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</si>
  <si>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</si>
  <si>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</si>
  <si>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</si>
  <si>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</si>
  <si>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</si>
  <si>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</si>
  <si>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</si>
  <si>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</si>
  <si>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</si>
  <si>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</si>
  <si>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</si>
  <si>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</si>
  <si>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</si>
  <si>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</si>
  <si>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</si>
  <si>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</si>
  <si>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</si>
  <si>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</si>
  <si>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</si>
  <si>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</si>
  <si>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</si>
  <si>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</si>
  <si>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</si>
  <si>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</si>
  <si>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</si>
  <si>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</si>
  <si>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</si>
  <si>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</si>
  <si>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</si>
  <si>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</si>
  <si>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</si>
  <si>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</si>
  <si>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</si>
  <si>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</si>
  <si>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</si>
  <si>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</si>
  <si>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</si>
  <si>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</si>
  <si>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</si>
  <si>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</si>
  <si>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</si>
  <si>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</si>
  <si>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</si>
  <si>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</si>
  <si>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 * COLETADO CAIXA *</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</si>
  <si>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</si>
  <si>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</si>
  <si>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</si>
  <si>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</si>
  <si>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</si>
  <si>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</si>
  <si>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MADEIRA 2A QUALIDADE 2,5 X 20,0CM (1 X 8") NAO APARELHADA</t>
  </si>
  <si>
    <t>TABUA MADEIRA 2A QUALIDADE 2,5 X 30,0CM (1 X 12") NAO APARELHADA</t>
  </si>
  <si>
    <t>TABUA MADEIRA 3A QUALIDADE 2,5 X 23,0CM (1 X 9") NAO APARELHADA</t>
  </si>
  <si>
    <t>TABUA MADEIRA 3A QUALIDADE 2,5 X 30,0CM (1 X 12 ) NAO APARELHADA</t>
  </si>
  <si>
    <t>TABUA MADEIRA 3A QUALIDADE 2,5 X 30CM (1 X 12 ) NAO APARELHADA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</si>
  <si>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</si>
  <si>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</si>
  <si>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</si>
  <si>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</si>
  <si>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</si>
  <si>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</si>
  <si>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</si>
  <si>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</si>
  <si>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COM TOMADA HEXAGONAL</t>
  </si>
  <si>
    <t>TAMPA PARA CONDULETE, EM PVC, COM 1 MODULO RJ</t>
  </si>
  <si>
    <t>TAMPA PARA CONDULETE, EM PVC, COM 1 OU 2 OU 3 POSTOS PARA INTERRUPTOR</t>
  </si>
  <si>
    <t>TAMPA PARA CONDULETE, EM PVC, COM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</si>
  <si>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</si>
  <si>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</si>
  <si>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</si>
  <si>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</si>
  <si>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</si>
  <si>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</si>
  <si>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</si>
  <si>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</si>
  <si>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</si>
  <si>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</si>
  <si>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</si>
  <si>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</si>
  <si>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</si>
  <si>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</si>
  <si>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</si>
  <si>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</si>
  <si>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</si>
  <si>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</si>
  <si>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</si>
  <si>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</si>
  <si>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</si>
  <si>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</si>
  <si>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</si>
  <si>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</si>
  <si>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</si>
  <si>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</si>
  <si>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</si>
  <si>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</si>
  <si>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</si>
  <si>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</si>
  <si>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</si>
  <si>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</si>
  <si>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DAQUI PARA BAIXO REFERE-SE A SINAPI DE JANEIRO DE 2017</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</si>
  <si>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</si>
  <si>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</si>
  <si>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</si>
  <si>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</si>
  <si>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</si>
  <si>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</si>
  <si>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</si>
  <si>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</si>
  <si>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</si>
  <si>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</si>
  <si>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</si>
  <si>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</si>
  <si>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</si>
  <si>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</si>
  <si>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</si>
  <si>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</si>
  <si>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</si>
  <si>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</si>
  <si>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</si>
  <si>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</si>
  <si>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</si>
  <si>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</si>
  <si>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</si>
  <si>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</si>
  <si>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</si>
  <si>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</si>
  <si>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</si>
  <si>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</si>
  <si>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</si>
  <si>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</si>
  <si>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</si>
  <si>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</si>
  <si>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</si>
  <si>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</si>
  <si>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</si>
  <si>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</si>
  <si>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</si>
  <si>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</si>
  <si>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</si>
  <si>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</si>
  <si>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</si>
  <si>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</si>
  <si>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</si>
  <si>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</si>
  <si>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</si>
  <si>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</si>
  <si>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</si>
  <si>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</si>
  <si>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</si>
  <si>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</si>
  <si>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</si>
  <si>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</si>
  <si>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</si>
  <si>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</si>
  <si>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</si>
  <si>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</si>
  <si>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</si>
  <si>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</si>
  <si>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</si>
  <si>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</si>
  <si>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</si>
  <si>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</si>
  <si>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</si>
  <si>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</si>
  <si>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</si>
  <si>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</si>
  <si>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</si>
  <si>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</si>
  <si>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</si>
  <si>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</si>
  <si>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</si>
  <si>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</si>
  <si>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</si>
  <si>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</si>
  <si>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</si>
  <si>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</si>
  <si>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</si>
  <si>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</si>
  <si>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</si>
  <si>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</si>
  <si>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</si>
  <si>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</si>
  <si>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</si>
  <si>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</si>
  <si>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</si>
  <si>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</si>
  <si>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</si>
  <si>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</si>
  <si>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</si>
  <si>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</si>
  <si>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</si>
  <si>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</si>
  <si>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</si>
  <si>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</si>
  <si>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</si>
  <si>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</si>
  <si>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</si>
  <si>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</si>
  <si>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</si>
  <si>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</si>
  <si>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</si>
  <si>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</si>
  <si>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</si>
  <si>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</si>
  <si>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</si>
  <si>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</si>
  <si>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</si>
  <si>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</si>
  <si>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</si>
  <si>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</si>
  <si>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</si>
  <si>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</si>
  <si>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</si>
  <si>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</si>
  <si>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</si>
  <si>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</si>
  <si>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</si>
  <si>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</si>
  <si>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</si>
  <si>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</si>
  <si>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</si>
  <si>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</si>
  <si>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</si>
  <si>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</si>
  <si>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</si>
  <si>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</si>
  <si>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</si>
  <si>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</si>
  <si>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</si>
  <si>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</si>
  <si>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</si>
  <si>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</si>
  <si>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</si>
  <si>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</si>
  <si>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</si>
  <si>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</si>
  <si>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</si>
  <si>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</si>
  <si>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</si>
  <si>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</si>
  <si>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</si>
  <si>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</si>
  <si>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</si>
  <si>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</si>
  <si>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</si>
  <si>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</si>
  <si>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</si>
  <si>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</si>
  <si>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</si>
  <si>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</si>
  <si>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</si>
  <si>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</si>
  <si>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</si>
  <si>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</si>
  <si>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</si>
  <si>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</si>
  <si>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</si>
  <si>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</si>
  <si>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</si>
  <si>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</si>
  <si>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</si>
  <si>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</si>
  <si>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</si>
  <si>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</si>
  <si>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</si>
  <si>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</si>
  <si>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</si>
  <si>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</si>
  <si>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</si>
  <si>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</si>
  <si>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</si>
  <si>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</si>
  <si>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</si>
  <si>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</si>
  <si>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</si>
  <si>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</si>
  <si>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</si>
  <si>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</si>
  <si>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</si>
  <si>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</si>
  <si>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</si>
  <si>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</si>
  <si>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</si>
  <si>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</si>
  <si>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</si>
  <si>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</si>
  <si>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</si>
  <si>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</si>
  <si>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</si>
  <si>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</si>
  <si>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</si>
  <si>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</si>
  <si>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</si>
  <si>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</si>
  <si>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</si>
  <si>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</si>
  <si>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</si>
  <si>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</si>
  <si>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</si>
  <si>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</si>
  <si>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</si>
  <si>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</si>
  <si>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</si>
  <si>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</si>
  <si>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</si>
  <si>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</si>
  <si>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</si>
  <si>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</si>
  <si>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</si>
  <si>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</si>
  <si>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</si>
  <si>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</si>
  <si>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</si>
  <si>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</si>
  <si>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</si>
  <si>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</si>
  <si>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</si>
  <si>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</si>
  <si>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</si>
  <si>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</si>
  <si>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</si>
  <si>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</si>
  <si>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</si>
  <si>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</si>
  <si>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</si>
  <si>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</si>
  <si>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</si>
  <si>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</si>
  <si>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</si>
  <si>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</si>
  <si>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</si>
  <si>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</si>
  <si>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</si>
  <si>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</si>
  <si>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</si>
  <si>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</si>
  <si>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</si>
  <si>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</si>
  <si>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</si>
  <si>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</si>
  <si>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</si>
  <si>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</si>
  <si>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</si>
  <si>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</si>
  <si>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</si>
  <si>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</si>
  <si>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</si>
  <si>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</si>
  <si>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</si>
  <si>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</si>
  <si>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</si>
  <si>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</si>
  <si>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</si>
  <si>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</si>
  <si>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</si>
  <si>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</si>
  <si>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</si>
  <si>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</si>
  <si>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</si>
  <si>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</si>
  <si>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</si>
  <si>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</si>
  <si>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</si>
  <si>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</si>
  <si>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</si>
  <si>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</si>
  <si>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</si>
  <si>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</si>
  <si>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</si>
  <si>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</si>
  <si>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</si>
  <si>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</si>
  <si>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</si>
  <si>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</si>
  <si>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</si>
  <si>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</si>
  <si>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</si>
  <si>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</si>
  <si>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</si>
  <si>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</si>
  <si>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</si>
  <si>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</si>
  <si>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</si>
  <si>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</si>
  <si>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</si>
  <si>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</si>
  <si>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</si>
  <si>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</si>
  <si>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</si>
  <si>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</si>
  <si>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</si>
  <si>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</si>
  <si>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</si>
  <si>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</si>
  <si>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</si>
  <si>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</si>
  <si>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</si>
  <si>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</si>
  <si>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</si>
  <si>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</si>
  <si>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</si>
  <si>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</si>
  <si>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</si>
  <si>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</si>
  <si>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</si>
  <si>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</si>
  <si>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</si>
  <si>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</si>
  <si>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</si>
  <si>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</si>
  <si>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</si>
  <si>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</si>
  <si>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</si>
  <si>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</si>
  <si>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</si>
  <si>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</si>
  <si>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</si>
  <si>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</si>
  <si>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</si>
  <si>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</si>
  <si>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</si>
  <si>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</si>
  <si>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</si>
  <si>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</si>
  <si>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</si>
  <si>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</si>
  <si>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</si>
  <si>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</si>
  <si>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</si>
  <si>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</si>
  <si>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</si>
  <si>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</si>
  <si>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</si>
  <si>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</si>
  <si>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</si>
  <si>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</si>
  <si>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</si>
  <si>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</si>
  <si>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</si>
  <si>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</si>
  <si>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</si>
  <si>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</si>
  <si>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</si>
  <si>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</si>
  <si>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</si>
  <si>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</si>
  <si>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</si>
  <si>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</si>
  <si>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</si>
  <si>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</si>
  <si>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</si>
  <si>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</si>
  <si>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</si>
  <si>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</si>
  <si>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</si>
  <si>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</si>
  <si>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</si>
  <si>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</si>
  <si>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</si>
  <si>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</si>
  <si>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</si>
  <si>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</si>
  <si>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</si>
  <si>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</si>
  <si>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</si>
  <si>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</si>
  <si>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</si>
  <si>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</si>
  <si>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</si>
  <si>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</si>
  <si>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</si>
  <si>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</si>
  <si>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</si>
  <si>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</si>
  <si>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</si>
  <si>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</si>
  <si>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</si>
  <si>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</si>
  <si>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</si>
  <si>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</si>
  <si>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</si>
  <si>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</si>
  <si>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</si>
  <si>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</si>
  <si>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</si>
  <si>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</si>
  <si>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PARA LIGACAO PREDIAL, EM PVC, JE, BBB, DN 100 X 100 MM, PARA REDE COLETORA ESGOTO (NBR 10569)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</si>
  <si>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</si>
  <si>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</si>
  <si>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</si>
  <si>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</si>
  <si>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</si>
  <si>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</si>
  <si>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</si>
  <si>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</si>
  <si>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</si>
  <si>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</si>
  <si>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</si>
  <si>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</si>
  <si>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</si>
  <si>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</si>
  <si>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</si>
  <si>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</si>
  <si>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</si>
  <si>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</si>
  <si>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</si>
  <si>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</si>
  <si>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</si>
  <si>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</si>
  <si>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</si>
  <si>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</si>
  <si>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</si>
  <si>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</si>
  <si>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</si>
  <si>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</si>
  <si>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</si>
  <si>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</si>
  <si>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</si>
  <si>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</si>
  <si>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</si>
  <si>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</si>
  <si>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</si>
  <si>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</si>
  <si>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</si>
  <si>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</si>
  <si>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</si>
  <si>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</si>
  <si>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</si>
  <si>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</si>
  <si>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</si>
  <si>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</si>
  <si>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</si>
  <si>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</si>
  <si>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</si>
  <si>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</si>
  <si>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</si>
  <si>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</si>
  <si>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</si>
  <si>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</si>
  <si>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</si>
  <si>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</si>
  <si>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</si>
  <si>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</si>
  <si>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</si>
  <si>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</si>
  <si>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</si>
  <si>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</si>
  <si>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</si>
  <si>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</si>
  <si>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</si>
  <si>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</si>
  <si>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</si>
  <si>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</si>
  <si>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</si>
  <si>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</si>
  <si>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</si>
  <si>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</si>
  <si>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1.1/2", COM HASTE METALICA E BALAO PLASTICO</t>
  </si>
  <si>
    <t>TORNEIRA METALICA DE BOIA CONVENCIONAL PARA CAIXA D'AGUA, 1.1/4",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</si>
  <si>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</si>
  <si>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</si>
  <si>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</si>
  <si>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</si>
  <si>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</si>
  <si>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</si>
  <si>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</si>
  <si>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</si>
  <si>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</si>
  <si>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</si>
  <si>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</si>
  <si>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</si>
  <si>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</si>
  <si>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</si>
  <si>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</si>
  <si>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</si>
  <si>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</si>
  <si>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</si>
  <si>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</si>
  <si>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</si>
  <si>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</si>
  <si>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</si>
  <si>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</si>
  <si>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</si>
  <si>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</si>
  <si>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(ENCARGOS COMPLEMENTARES) (COLETADO CAIXA)</t>
  </si>
  <si>
    <t>TRANSPORTE - MENSALISTA (ENCARGOS COMPLEMENTARES)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</si>
  <si>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</si>
  <si>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</si>
  <si>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</si>
  <si>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</si>
  <si>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</si>
  <si>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</si>
  <si>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</si>
  <si>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</si>
  <si>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</si>
  <si>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</si>
  <si>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</si>
  <si>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</si>
  <si>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</si>
  <si>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</si>
  <si>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</si>
  <si>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</si>
  <si>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</si>
  <si>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</si>
  <si>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</si>
  <si>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</si>
  <si>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</si>
  <si>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</si>
  <si>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</si>
  <si>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</si>
  <si>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</si>
  <si>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</si>
  <si>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</si>
  <si>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</si>
  <si>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</si>
  <si>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</si>
  <si>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</si>
  <si>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</si>
  <si>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</si>
  <si>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</si>
  <si>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</si>
  <si>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</si>
  <si>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</si>
  <si>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</si>
  <si>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</si>
  <si>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</si>
  <si>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</si>
  <si>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</si>
  <si>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</si>
  <si>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</si>
  <si>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</si>
  <si>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</si>
  <si>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</si>
  <si>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</si>
  <si>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</si>
  <si>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</si>
  <si>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</si>
  <si>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</si>
  <si>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</si>
  <si>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</si>
  <si>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</si>
  <si>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</si>
  <si>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</si>
  <si>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</si>
  <si>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</si>
  <si>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</si>
  <si>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</si>
  <si>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</si>
  <si>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</si>
  <si>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</si>
  <si>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</si>
  <si>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</si>
  <si>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</si>
  <si>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</si>
  <si>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</si>
  <si>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</si>
  <si>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</si>
  <si>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</si>
  <si>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</si>
  <si>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</si>
  <si>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</si>
  <si>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</si>
  <si>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</si>
  <si>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</si>
  <si>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</si>
  <si>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</si>
  <si>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</si>
  <si>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</si>
  <si>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</si>
  <si>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</si>
  <si>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</si>
  <si>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</si>
  <si>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</si>
  <si>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</si>
  <si>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</si>
  <si>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</si>
  <si>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</si>
  <si>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</si>
  <si>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</si>
  <si>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</si>
  <si>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</si>
  <si>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</si>
  <si>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</si>
  <si>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</si>
  <si>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</si>
  <si>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</si>
  <si>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</si>
  <si>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</si>
  <si>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</si>
  <si>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</si>
  <si>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</si>
  <si>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</si>
  <si>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</si>
  <si>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</si>
  <si>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</si>
  <si>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</si>
  <si>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</si>
  <si>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</si>
  <si>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</si>
  <si>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</si>
  <si>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</si>
  <si>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</si>
  <si>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</si>
  <si>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</si>
  <si>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</si>
  <si>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</si>
  <si>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</si>
  <si>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</si>
  <si>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</si>
  <si>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</si>
  <si>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</si>
  <si>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</si>
  <si>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</si>
  <si>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</si>
  <si>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</si>
  <si>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</si>
  <si>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</si>
  <si>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</si>
  <si>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</si>
  <si>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</si>
  <si>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</si>
  <si>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</si>
  <si>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</si>
  <si>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</si>
  <si>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</si>
  <si>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</si>
  <si>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</si>
  <si>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</si>
  <si>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</si>
  <si>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</si>
  <si>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</si>
  <si>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</si>
  <si>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</si>
  <si>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</si>
  <si>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</si>
  <si>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</si>
  <si>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</si>
  <si>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</si>
  <si>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</si>
  <si>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</si>
  <si>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</si>
  <si>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</si>
  <si>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</si>
  <si>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</si>
  <si>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</si>
  <si>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</si>
  <si>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</si>
  <si>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</si>
  <si>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</si>
  <si>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</si>
  <si>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</si>
  <si>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</si>
  <si>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</si>
  <si>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</si>
  <si>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</si>
  <si>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</si>
  <si>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</si>
  <si>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</si>
  <si>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</si>
  <si>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</si>
  <si>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</si>
  <si>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</si>
  <si>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</si>
  <si>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</si>
  <si>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</si>
  <si>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</si>
  <si>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</si>
  <si>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</si>
  <si>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</si>
  <si>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</si>
  <si>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</si>
  <si>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</si>
  <si>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</si>
  <si>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</si>
  <si>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</si>
  <si>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</si>
  <si>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</si>
  <si>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</si>
  <si>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</si>
  <si>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</si>
  <si>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</si>
  <si>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</si>
  <si>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</si>
  <si>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</si>
  <si>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</si>
  <si>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</si>
  <si>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</si>
  <si>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</si>
  <si>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</si>
  <si>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</si>
  <si>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</si>
  <si>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</si>
  <si>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</si>
  <si>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</si>
  <si>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</si>
  <si>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</si>
  <si>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</si>
  <si>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</si>
  <si>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</si>
  <si>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</si>
  <si>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</si>
  <si>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</si>
  <si>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</si>
  <si>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</si>
  <si>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</si>
  <si>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</si>
  <si>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</si>
  <si>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</si>
  <si>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</si>
  <si>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</si>
  <si>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</si>
  <si>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</si>
  <si>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</si>
  <si>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</si>
  <si>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</si>
  <si>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</si>
  <si>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</si>
  <si>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</si>
  <si>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</si>
  <si>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</si>
  <si>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</si>
  <si>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</si>
  <si>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</si>
  <si>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</si>
  <si>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</si>
  <si>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</si>
  <si>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</si>
  <si>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</si>
  <si>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</si>
  <si>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</si>
  <si>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</si>
  <si>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</si>
  <si>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</si>
  <si>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</si>
  <si>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</si>
  <si>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</si>
  <si>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</si>
  <si>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</si>
  <si>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</si>
  <si>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</si>
  <si>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</si>
  <si>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</si>
  <si>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</si>
  <si>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</si>
  <si>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</si>
  <si>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</si>
  <si>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</si>
  <si>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</si>
  <si>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</si>
  <si>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</si>
  <si>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</si>
  <si>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</si>
  <si>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</si>
  <si>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</si>
  <si>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</si>
  <si>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</si>
  <si>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</si>
  <si>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</si>
  <si>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</si>
  <si>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</si>
  <si>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</si>
  <si>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</si>
  <si>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</si>
  <si>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</si>
  <si>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</si>
  <si>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</si>
  <si>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</si>
  <si>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</si>
  <si>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</si>
  <si>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</si>
  <si>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</si>
  <si>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</si>
  <si>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</si>
  <si>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</si>
  <si>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</si>
  <si>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</si>
  <si>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</si>
  <si>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</si>
  <si>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</si>
  <si>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</si>
  <si>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</si>
  <si>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</si>
  <si>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</si>
  <si>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</si>
  <si>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</si>
  <si>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</si>
  <si>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</si>
  <si>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</si>
  <si>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</si>
  <si>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</si>
  <si>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</si>
  <si>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</si>
  <si>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</si>
  <si>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</si>
  <si>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</si>
  <si>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</si>
  <si>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</si>
  <si>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</si>
  <si>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</si>
  <si>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</si>
  <si>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</si>
  <si>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</si>
  <si>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</si>
  <si>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</si>
  <si>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</si>
  <si>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</si>
  <si>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</si>
  <si>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</si>
  <si>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</si>
  <si>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</si>
  <si>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</si>
  <si>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</si>
  <si>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</si>
  <si>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</si>
  <si>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</si>
  <si>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</si>
  <si>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</si>
  <si>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</si>
  <si>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</si>
  <si>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</si>
  <si>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</si>
  <si>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</si>
  <si>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</si>
  <si>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</si>
  <si>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</si>
  <si>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</si>
  <si>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</si>
  <si>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</si>
  <si>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</si>
  <si>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</si>
  <si>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</si>
  <si>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</si>
  <si>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</si>
  <si>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</si>
  <si>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</si>
  <si>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</si>
  <si>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</si>
  <si>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</si>
  <si>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</si>
  <si>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</si>
  <si>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</si>
  <si>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</si>
  <si>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</si>
  <si>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</si>
  <si>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</si>
  <si>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</si>
  <si>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</si>
  <si>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</si>
  <si>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</si>
  <si>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</si>
  <si>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</si>
  <si>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</si>
  <si>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</si>
  <si>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</si>
  <si>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</si>
  <si>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</si>
  <si>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</si>
  <si>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</si>
  <si>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</si>
  <si>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</si>
  <si>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</si>
  <si>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</si>
  <si>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</si>
  <si>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</si>
  <si>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</si>
  <si>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</si>
  <si>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</si>
  <si>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</si>
  <si>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</si>
  <si>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</si>
  <si>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</si>
  <si>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</si>
  <si>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</si>
  <si>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</si>
  <si>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</si>
  <si>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</si>
  <si>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</si>
  <si>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</si>
  <si>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</si>
  <si>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</si>
  <si>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</si>
  <si>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</si>
  <si>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</si>
  <si>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</si>
  <si>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</si>
  <si>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</si>
  <si>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</si>
  <si>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</si>
  <si>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</si>
  <si>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</si>
  <si>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</si>
  <si>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</si>
  <si>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</si>
  <si>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</si>
  <si>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</si>
  <si>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</si>
  <si>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</si>
  <si>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</si>
  <si>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</si>
  <si>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</si>
  <si>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</si>
  <si>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</si>
  <si>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</si>
  <si>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</si>
  <si>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</si>
  <si>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</si>
  <si>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</si>
  <si>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</si>
  <si>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</si>
  <si>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</si>
  <si>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</si>
  <si>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</si>
  <si>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</si>
  <si>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</si>
  <si>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</si>
  <si>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</si>
  <si>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</si>
  <si>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</si>
  <si>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</si>
  <si>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</si>
  <si>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</si>
  <si>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</si>
  <si>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</si>
  <si>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</si>
  <si>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</si>
  <si>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</si>
  <si>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</si>
  <si>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</si>
  <si>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</si>
  <si>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</si>
  <si>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</si>
  <si>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</si>
  <si>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</si>
  <si>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</si>
  <si>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</si>
  <si>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</si>
  <si>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</si>
  <si>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</si>
  <si>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</si>
  <si>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</si>
  <si>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</si>
  <si>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</si>
  <si>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</si>
  <si>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</si>
  <si>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</si>
  <si>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</si>
  <si>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</si>
  <si>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</si>
  <si>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</si>
  <si>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</si>
  <si>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</si>
  <si>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</si>
  <si>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</si>
  <si>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</si>
  <si>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</si>
  <si>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</si>
  <si>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</si>
  <si>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</si>
  <si>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</si>
  <si>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</si>
  <si>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</si>
  <si>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</si>
  <si>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</si>
  <si>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</si>
  <si>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</si>
  <si>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</si>
  <si>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</si>
  <si>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</si>
  <si>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</si>
  <si>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</si>
  <si>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</si>
  <si>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</si>
  <si>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</si>
  <si>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</si>
  <si>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</si>
  <si>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</si>
  <si>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</si>
  <si>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</si>
  <si>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</si>
  <si>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</si>
  <si>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</si>
  <si>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</si>
  <si>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</si>
  <si>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</si>
  <si>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</si>
  <si>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</si>
  <si>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</si>
  <si>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</si>
  <si>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</si>
  <si>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</si>
  <si>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</si>
  <si>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</si>
  <si>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</si>
  <si>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</si>
  <si>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</si>
  <si>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</si>
  <si>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</si>
  <si>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</si>
  <si>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</si>
  <si>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</si>
  <si>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</si>
  <si>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</si>
  <si>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</si>
  <si>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</si>
  <si>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</si>
  <si>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</si>
  <si>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</si>
  <si>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</si>
  <si>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</si>
  <si>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</si>
  <si>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</si>
  <si>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</si>
  <si>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</si>
  <si>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</si>
  <si>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</si>
  <si>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</si>
  <si>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RESUMO</t>
  </si>
  <si>
    <t>ITEM</t>
  </si>
  <si>
    <t>DESCRIÇÃO / ETAPA</t>
  </si>
  <si>
    <t>TOTAL</t>
  </si>
  <si>
    <t>VALOR (R$)</t>
  </si>
  <si>
    <t>(%)</t>
  </si>
  <si>
    <t xml:space="preserve">VALOR TOTAL </t>
  </si>
  <si>
    <t>CLAUDENIR TOMAS JUNIOR</t>
  </si>
  <si>
    <t>ENG. CIVIL CREA-MT 038835</t>
  </si>
  <si>
    <t>MUNICÍPIO: VÁRZEA GRANDE - MT</t>
  </si>
  <si>
    <t>DATA BASE: SINAPI JULHO- COM DESONERAÇÃO / 2018 - BDI - 28,24%</t>
  </si>
  <si>
    <t>PLANILHA ORÇAMENTÁRIA</t>
  </si>
  <si>
    <t>CÓDIGO</t>
  </si>
  <si>
    <t>FONTE</t>
  </si>
  <si>
    <t>ESPECIFICAÇÃO</t>
  </si>
  <si>
    <t>UNID.</t>
  </si>
  <si>
    <t>P. UNIT. SEM BDI (R$)</t>
  </si>
  <si>
    <t>P.UNI.COM BDI(R$)</t>
  </si>
  <si>
    <t>P. TOTAL SEM BDI (R$)</t>
  </si>
  <si>
    <t>P. TOTAL COM BDI (R$)</t>
  </si>
  <si>
    <t>1.0</t>
  </si>
  <si>
    <t>1.1</t>
  </si>
  <si>
    <t>1.2</t>
  </si>
  <si>
    <t>1.3</t>
  </si>
  <si>
    <t xml:space="preserve">TOTAL DO ITEM </t>
  </si>
  <si>
    <t>2.0</t>
  </si>
  <si>
    <t>2.1</t>
  </si>
  <si>
    <t>2.2</t>
  </si>
  <si>
    <t>2.3</t>
  </si>
  <si>
    <t>2.4</t>
  </si>
  <si>
    <t>2.5</t>
  </si>
  <si>
    <t>2.6</t>
  </si>
  <si>
    <t>2.7</t>
  </si>
  <si>
    <t>2.8</t>
  </si>
  <si>
    <t>2.9</t>
  </si>
  <si>
    <t>2.10</t>
  </si>
  <si>
    <t>3.0</t>
  </si>
  <si>
    <t>3.1</t>
  </si>
  <si>
    <t>3.2</t>
  </si>
  <si>
    <t>3.3</t>
  </si>
  <si>
    <t>3.4</t>
  </si>
  <si>
    <t>3.5</t>
  </si>
  <si>
    <t>3.6</t>
  </si>
  <si>
    <t>3.7</t>
  </si>
  <si>
    <t>3.8</t>
  </si>
  <si>
    <t>4.0</t>
  </si>
  <si>
    <t>4.1</t>
  </si>
  <si>
    <t>4.1.1</t>
  </si>
  <si>
    <t>4.1.1.1</t>
  </si>
  <si>
    <t>4.1.1.2</t>
  </si>
  <si>
    <t>4.1.1.3</t>
  </si>
  <si>
    <t>4.1.1.4</t>
  </si>
  <si>
    <t>4.1.1.5</t>
  </si>
  <si>
    <t>4.1.2</t>
  </si>
  <si>
    <t>4.1.2.1</t>
  </si>
  <si>
    <t>4.1.2.2</t>
  </si>
  <si>
    <t>4.1.2.3</t>
  </si>
  <si>
    <t>4.1.2.4</t>
  </si>
  <si>
    <t>4.1.2.5</t>
  </si>
  <si>
    <t>4.1.2.6</t>
  </si>
  <si>
    <t>4.1.2.7</t>
  </si>
  <si>
    <t>4.1.2.8</t>
  </si>
  <si>
    <t>4.1.2.9</t>
  </si>
  <si>
    <t>4.1.2.10</t>
  </si>
  <si>
    <t>4.1.2.11</t>
  </si>
  <si>
    <t>4.2</t>
  </si>
  <si>
    <t>4.2.1</t>
  </si>
  <si>
    <t>4.2.1.1</t>
  </si>
  <si>
    <t>4.2.1.2</t>
  </si>
  <si>
    <t>4.2.1.3</t>
  </si>
  <si>
    <t>4.2.1.4</t>
  </si>
  <si>
    <t>4.2.1.5</t>
  </si>
  <si>
    <t>4.2.2</t>
  </si>
  <si>
    <t>4.2.2.1</t>
  </si>
  <si>
    <t>4.2.2.2</t>
  </si>
  <si>
    <t>4.2.2.3</t>
  </si>
  <si>
    <t>4.2.2.4</t>
  </si>
  <si>
    <t>4.2.2.5</t>
  </si>
  <si>
    <t>4.2.2.6</t>
  </si>
  <si>
    <t>4.2.2.7</t>
  </si>
  <si>
    <t>4.2.2.8</t>
  </si>
  <si>
    <t>4.2.2.9</t>
  </si>
  <si>
    <t>4.2.2.10</t>
  </si>
  <si>
    <t>4.2.2.11</t>
  </si>
  <si>
    <t>4.3</t>
  </si>
  <si>
    <t>4.3.1</t>
  </si>
  <si>
    <t>4.3.1.1</t>
  </si>
  <si>
    <t>4.3.1.2</t>
  </si>
  <si>
    <t>4.3.1.3</t>
  </si>
  <si>
    <t>4.3.1.4</t>
  </si>
  <si>
    <t>4.3.1.5</t>
  </si>
  <si>
    <t>4.3.2</t>
  </si>
  <si>
    <t>4.3.2.1</t>
  </si>
  <si>
    <t>4.3.2.2</t>
  </si>
  <si>
    <t>4.3.2.3</t>
  </si>
  <si>
    <t>4.3.2.4</t>
  </si>
  <si>
    <t>4.3.2.5</t>
  </si>
  <si>
    <t>4.3.2.6</t>
  </si>
  <si>
    <t>4.3.2.7</t>
  </si>
  <si>
    <t>4.3.2.8</t>
  </si>
  <si>
    <t>4.3.2.9</t>
  </si>
  <si>
    <t>4.3.2.10</t>
  </si>
  <si>
    <t>4.3.2.11</t>
  </si>
  <si>
    <t>5.0</t>
  </si>
  <si>
    <t>5.1</t>
  </si>
  <si>
    <t>5.1.1</t>
  </si>
  <si>
    <t>5.1.1.1</t>
  </si>
  <si>
    <t>5.1.1.2</t>
  </si>
  <si>
    <t>5.1.1.3</t>
  </si>
  <si>
    <t>5.1.1.4</t>
  </si>
  <si>
    <t>5.1.1.5</t>
  </si>
  <si>
    <t>5.1.2</t>
  </si>
  <si>
    <t>5.1.2.1</t>
  </si>
  <si>
    <t>5.1.2.2</t>
  </si>
  <si>
    <t>5.1.2.3</t>
  </si>
  <si>
    <t>5.1.2.4</t>
  </si>
  <si>
    <t>5.1.2.5</t>
  </si>
  <si>
    <t>5.2</t>
  </si>
  <si>
    <t>5.2.1</t>
  </si>
  <si>
    <t>5.2.1.1</t>
  </si>
  <si>
    <t>5.2.1.2</t>
  </si>
  <si>
    <t>5.2.1.3</t>
  </si>
  <si>
    <t>5.2.1.4</t>
  </si>
  <si>
    <t>5.2.1.5</t>
  </si>
  <si>
    <t>6.0</t>
  </si>
  <si>
    <t>6.1</t>
  </si>
  <si>
    <t>6.2</t>
  </si>
  <si>
    <t>6.3</t>
  </si>
  <si>
    <t>TOTAL DO ITEM</t>
  </si>
  <si>
    <t>7.0</t>
  </si>
  <si>
    <t>7.1</t>
  </si>
  <si>
    <t>7.2</t>
  </si>
  <si>
    <t>7.3</t>
  </si>
  <si>
    <t>8.0</t>
  </si>
  <si>
    <t>8.1</t>
  </si>
  <si>
    <t>8.1.1</t>
  </si>
  <si>
    <t>8.1.2</t>
  </si>
  <si>
    <t>8.1.3</t>
  </si>
  <si>
    <t>8.1.4</t>
  </si>
  <si>
    <t>8.1.5</t>
  </si>
  <si>
    <t>8.1.6</t>
  </si>
  <si>
    <t>8.1.7</t>
  </si>
  <si>
    <t>8.1.8</t>
  </si>
  <si>
    <t>8.2</t>
  </si>
  <si>
    <t>8.2.1</t>
  </si>
  <si>
    <t>8.2.2</t>
  </si>
  <si>
    <t>8.2.3</t>
  </si>
  <si>
    <t>8.2.4</t>
  </si>
  <si>
    <t>8.2.5</t>
  </si>
  <si>
    <t>8.2.6</t>
  </si>
  <si>
    <t>8.3</t>
  </si>
  <si>
    <t>8.3.1</t>
  </si>
  <si>
    <t>8.3.2</t>
  </si>
  <si>
    <t>8.3.3</t>
  </si>
  <si>
    <t>8.3.4</t>
  </si>
  <si>
    <t>8.3.5</t>
  </si>
  <si>
    <t>8.3.6</t>
  </si>
  <si>
    <t>8.4</t>
  </si>
  <si>
    <t>8.4.1</t>
  </si>
  <si>
    <t>8.4.2</t>
  </si>
  <si>
    <t>8.4.3</t>
  </si>
  <si>
    <t>8.4.4</t>
  </si>
  <si>
    <t>8.4.5</t>
  </si>
  <si>
    <t>8.4.6</t>
  </si>
  <si>
    <t>8.4.7</t>
  </si>
  <si>
    <t>8.5</t>
  </si>
  <si>
    <t>8.5.1</t>
  </si>
  <si>
    <t>8.5.2</t>
  </si>
  <si>
    <t>8.5.3</t>
  </si>
  <si>
    <t>8.5.4</t>
  </si>
  <si>
    <t>8.5.5</t>
  </si>
  <si>
    <t>8.6</t>
  </si>
  <si>
    <t>8.6.1</t>
  </si>
  <si>
    <t>8.6.2</t>
  </si>
  <si>
    <t>8.6.3</t>
  </si>
  <si>
    <t>8.6.4</t>
  </si>
  <si>
    <t>8.6.5</t>
  </si>
  <si>
    <t>8.6.6</t>
  </si>
  <si>
    <t>8.6.7</t>
  </si>
  <si>
    <t>8.6.8</t>
  </si>
  <si>
    <t>8.7</t>
  </si>
  <si>
    <t>8.7.1</t>
  </si>
  <si>
    <t>8.7.2</t>
  </si>
  <si>
    <t>8.7.3</t>
  </si>
  <si>
    <t>8.7.4</t>
  </si>
  <si>
    <t>8.7.5</t>
  </si>
  <si>
    <t>8.7.6</t>
  </si>
  <si>
    <t>8.7.7</t>
  </si>
  <si>
    <t>8.7.8</t>
  </si>
  <si>
    <t>8.7.9</t>
  </si>
  <si>
    <t>8.7.10</t>
  </si>
  <si>
    <t>8.7.11</t>
  </si>
  <si>
    <t>9.0</t>
  </si>
  <si>
    <t>9.1</t>
  </si>
  <si>
    <t>9.2</t>
  </si>
  <si>
    <t>9.3</t>
  </si>
  <si>
    <t>10.0</t>
  </si>
  <si>
    <t>10.1</t>
  </si>
  <si>
    <t>10.1.1</t>
  </si>
  <si>
    <t>10.1.2</t>
  </si>
  <si>
    <t>10.2</t>
  </si>
  <si>
    <t>ATERRO PARA BANCO DE RESERVA E ORIFICIOS DE POSTES RETIRADOS</t>
  </si>
  <si>
    <t>10.2.1</t>
  </si>
  <si>
    <t>10.2.2</t>
  </si>
  <si>
    <t>10.2.3</t>
  </si>
  <si>
    <t>10.2.4</t>
  </si>
  <si>
    <t>10.2.5</t>
  </si>
  <si>
    <t>11.0</t>
  </si>
  <si>
    <t>11.1</t>
  </si>
  <si>
    <t>11.2</t>
  </si>
  <si>
    <t>11.3</t>
  </si>
  <si>
    <t>11.4</t>
  </si>
  <si>
    <t>11.5</t>
  </si>
  <si>
    <t>12.0</t>
  </si>
  <si>
    <t>12.1</t>
  </si>
  <si>
    <t>12.2</t>
  </si>
  <si>
    <t>12.3</t>
  </si>
  <si>
    <t>12.4</t>
  </si>
  <si>
    <t>13.0</t>
  </si>
  <si>
    <t>13.1</t>
  </si>
  <si>
    <t>13.2</t>
  </si>
  <si>
    <t>13.3</t>
  </si>
  <si>
    <t>14.0</t>
  </si>
  <si>
    <t>14.1</t>
  </si>
  <si>
    <t>14.1.1</t>
  </si>
  <si>
    <t>14.1.2</t>
  </si>
  <si>
    <t>14.1.3</t>
  </si>
  <si>
    <t>14.2</t>
  </si>
  <si>
    <t>14.2.1</t>
  </si>
  <si>
    <t>14.2.1.1</t>
  </si>
  <si>
    <t>14.2.1.2</t>
  </si>
  <si>
    <t>14.2.1.3</t>
  </si>
  <si>
    <t>14.2.1.4</t>
  </si>
  <si>
    <t>14.2.1.5</t>
  </si>
  <si>
    <t>14.2.2</t>
  </si>
  <si>
    <t>14.2.2.1</t>
  </si>
  <si>
    <t>14.2.2.2</t>
  </si>
  <si>
    <t>14.2.2.3</t>
  </si>
  <si>
    <t>14.2.2.4</t>
  </si>
  <si>
    <t>14.2.2.5</t>
  </si>
  <si>
    <t>14.2.2.6</t>
  </si>
  <si>
    <t>14.2.2.7</t>
  </si>
  <si>
    <t>14.2.2.8</t>
  </si>
  <si>
    <t>14.2.2.9</t>
  </si>
  <si>
    <t>14.2.2.10</t>
  </si>
  <si>
    <t>14.2.2.11</t>
  </si>
  <si>
    <t>14.2.3</t>
  </si>
  <si>
    <t>14.2.3.1</t>
  </si>
  <si>
    <t>14.2.3.2</t>
  </si>
  <si>
    <t>14.2.4</t>
  </si>
  <si>
    <t>14.2.4.1</t>
  </si>
  <si>
    <t>14.2.4.2</t>
  </si>
  <si>
    <t>14.2.4.3</t>
  </si>
  <si>
    <t>14.2.5</t>
  </si>
  <si>
    <t>14.2.5.1</t>
  </si>
  <si>
    <t>14.2.5.2</t>
  </si>
  <si>
    <t>14.2.5.3</t>
  </si>
  <si>
    <t>14.2.6</t>
  </si>
  <si>
    <t>14.2.6.1</t>
  </si>
  <si>
    <t>14.2.6.2</t>
  </si>
  <si>
    <t>14.2.6.3</t>
  </si>
  <si>
    <t>14.2.6.4</t>
  </si>
  <si>
    <t>14.2.6.5</t>
  </si>
  <si>
    <t>14.2.6.6</t>
  </si>
  <si>
    <t>14.2.6.7</t>
  </si>
  <si>
    <t>14.2.6.8</t>
  </si>
  <si>
    <t>14.2.7</t>
  </si>
  <si>
    <t>14.2.7.1</t>
  </si>
  <si>
    <t>14.2.7.2</t>
  </si>
  <si>
    <t>14.2.7.3</t>
  </si>
  <si>
    <t>14.3</t>
  </si>
  <si>
    <t>14.3.1</t>
  </si>
  <si>
    <t>14.3.1.1</t>
  </si>
  <si>
    <t>14.3.1.2</t>
  </si>
  <si>
    <t>14.3.1.3</t>
  </si>
  <si>
    <t>14.3.1.4</t>
  </si>
  <si>
    <t>14.3.1.5</t>
  </si>
  <si>
    <t>14.3.2</t>
  </si>
  <si>
    <t>14.3.2.1</t>
  </si>
  <si>
    <t>14.3.2.2</t>
  </si>
  <si>
    <t>14.3.2.3</t>
  </si>
  <si>
    <t>14.3.2.4</t>
  </si>
  <si>
    <t>14.3.2.5</t>
  </si>
  <si>
    <t>14.3.2.6</t>
  </si>
  <si>
    <t>14.3.2.7</t>
  </si>
  <si>
    <t>14.3.2.8</t>
  </si>
  <si>
    <t>14.3.2.9</t>
  </si>
  <si>
    <t>14.3.2.10</t>
  </si>
  <si>
    <t>14.3.2.11</t>
  </si>
  <si>
    <t>14.3.3</t>
  </si>
  <si>
    <t>14.3.3.1</t>
  </si>
  <si>
    <t>14.3.3.2</t>
  </si>
  <si>
    <t>14.3.4</t>
  </si>
  <si>
    <t>14.3.4.1</t>
  </si>
  <si>
    <t>14.3.4.2</t>
  </si>
  <si>
    <t>14.3.4.3</t>
  </si>
  <si>
    <t>14.3.5</t>
  </si>
  <si>
    <t>14.3.5.1</t>
  </si>
  <si>
    <t>14.3.5.2</t>
  </si>
  <si>
    <t>14.3.5.3</t>
  </si>
  <si>
    <t>14.3.6</t>
  </si>
  <si>
    <t>14.3.6.1</t>
  </si>
  <si>
    <t>14.3.6.2</t>
  </si>
  <si>
    <t>14.3.6.3</t>
  </si>
  <si>
    <t>14.3.6.4</t>
  </si>
  <si>
    <t>14.3.6.5</t>
  </si>
  <si>
    <t>14.3.6.6</t>
  </si>
  <si>
    <t>14.3.6.7</t>
  </si>
  <si>
    <t>14.3.7</t>
  </si>
  <si>
    <t>14.3.7.1</t>
  </si>
  <si>
    <t>14.3.7.2</t>
  </si>
  <si>
    <t>14.3.7.3</t>
  </si>
  <si>
    <t>14.4</t>
  </si>
  <si>
    <t>14.4.1</t>
  </si>
  <si>
    <t>14.4.1.1</t>
  </si>
  <si>
    <t>14.4.1.2</t>
  </si>
  <si>
    <t>14.4.1.3</t>
  </si>
  <si>
    <t>14.4.1.4</t>
  </si>
  <si>
    <t>14.4.1.5</t>
  </si>
  <si>
    <t>14.4.2</t>
  </si>
  <si>
    <t>14.4.2.1</t>
  </si>
  <si>
    <t>14.4.2.2</t>
  </si>
  <si>
    <t>14.4.2.3</t>
  </si>
  <si>
    <t>14.4.2.4</t>
  </si>
  <si>
    <t>14.4.2.5</t>
  </si>
  <si>
    <t>14.4.2.6</t>
  </si>
  <si>
    <t>14.4.2.7</t>
  </si>
  <si>
    <t>14.4.2.8</t>
  </si>
  <si>
    <t>14.4.2.9</t>
  </si>
  <si>
    <t>14.4.2.10</t>
  </si>
  <si>
    <t>14.4.2.11</t>
  </si>
  <si>
    <t>14.4.3</t>
  </si>
  <si>
    <t>14.4.3.1</t>
  </si>
  <si>
    <t>14.4.3.2</t>
  </si>
  <si>
    <t>14.4.4</t>
  </si>
  <si>
    <t>14.4.4.1</t>
  </si>
  <si>
    <t>14.4.4.2</t>
  </si>
  <si>
    <t>14.4.4.3</t>
  </si>
  <si>
    <t>14.4.5</t>
  </si>
  <si>
    <t>14.4.5.1</t>
  </si>
  <si>
    <t>14.4.5.2</t>
  </si>
  <si>
    <t>14.4.5.3</t>
  </si>
  <si>
    <t>14.4.6</t>
  </si>
  <si>
    <t>14.4.6.1</t>
  </si>
  <si>
    <t>14.4.6.2</t>
  </si>
  <si>
    <t>14.4.6.3</t>
  </si>
  <si>
    <t>14.4.6.4</t>
  </si>
  <si>
    <t>14.4.6.5</t>
  </si>
  <si>
    <t>14.4.6.6</t>
  </si>
  <si>
    <t>14.4.6.7</t>
  </si>
  <si>
    <t>14.4.7</t>
  </si>
  <si>
    <t>14.4.7.1</t>
  </si>
  <si>
    <t>14.4.7.2</t>
  </si>
  <si>
    <t>14.4.7.3</t>
  </si>
  <si>
    <t>14.4.7.4</t>
  </si>
  <si>
    <t>14.4.7.5</t>
  </si>
  <si>
    <t>14.4.8</t>
  </si>
  <si>
    <t>14.4.8.1</t>
  </si>
  <si>
    <t>14.4.8.2</t>
  </si>
  <si>
    <t>14.4.8.3</t>
  </si>
  <si>
    <t>14.4.8.4</t>
  </si>
  <si>
    <t>14.4.8.5</t>
  </si>
  <si>
    <t>14.4.8.6</t>
  </si>
  <si>
    <t>14.4.8.7</t>
  </si>
  <si>
    <t>14.4.8.8</t>
  </si>
  <si>
    <t>14.4.8.9</t>
  </si>
  <si>
    <t>14.4.8.10</t>
  </si>
  <si>
    <t>14.4.8.11</t>
  </si>
  <si>
    <t>14.4.9</t>
  </si>
  <si>
    <t>14.4.9.1</t>
  </si>
  <si>
    <t>14.4.9.2</t>
  </si>
  <si>
    <t>14.4.9.3</t>
  </si>
  <si>
    <t>14.4.9.4</t>
  </si>
  <si>
    <t>14.4.9.5</t>
  </si>
  <si>
    <t>14.4.10</t>
  </si>
  <si>
    <t>14.4.10.1</t>
  </si>
  <si>
    <t>14.4.10.2</t>
  </si>
  <si>
    <t>14.4.10.3</t>
  </si>
  <si>
    <t>14.4.10.4</t>
  </si>
  <si>
    <t>14.4.10.5</t>
  </si>
  <si>
    <t>14.4.11</t>
  </si>
  <si>
    <t>14.4.11.1</t>
  </si>
  <si>
    <t>14.4.11.2</t>
  </si>
  <si>
    <t>14.4.11.3</t>
  </si>
  <si>
    <t>14.4.11.4</t>
  </si>
  <si>
    <t>14.4.11.5</t>
  </si>
  <si>
    <t>14.4.11.6</t>
  </si>
  <si>
    <t>14.4.11.7</t>
  </si>
  <si>
    <t>14.4.11.8</t>
  </si>
  <si>
    <t>15.0</t>
  </si>
  <si>
    <t>15.1</t>
  </si>
  <si>
    <t>15.1.1</t>
  </si>
  <si>
    <t>15.1.2</t>
  </si>
  <si>
    <t>15.1.3</t>
  </si>
  <si>
    <t>15.1.4</t>
  </si>
  <si>
    <t>15.1.5</t>
  </si>
  <si>
    <t>15.1.6</t>
  </si>
  <si>
    <t>15.1.7</t>
  </si>
  <si>
    <t>15.1.8</t>
  </si>
  <si>
    <t>15.1.9</t>
  </si>
  <si>
    <t>15.2</t>
  </si>
  <si>
    <t>15.2.1</t>
  </si>
  <si>
    <t>15.2.2</t>
  </si>
  <si>
    <t>15.2.3</t>
  </si>
  <si>
    <t>15.2.4</t>
  </si>
  <si>
    <t>15.2.5</t>
  </si>
  <si>
    <t>15.2.6</t>
  </si>
  <si>
    <t>15.2.7</t>
  </si>
  <si>
    <t>15.2.8</t>
  </si>
  <si>
    <t>15.2.9</t>
  </si>
  <si>
    <t>15.2.10</t>
  </si>
  <si>
    <t>15.2.11</t>
  </si>
  <si>
    <t>15.3</t>
  </si>
  <si>
    <t>15.3.1</t>
  </si>
  <si>
    <t>15.3.2</t>
  </si>
  <si>
    <t>15.3.3</t>
  </si>
  <si>
    <t>15.3.4</t>
  </si>
  <si>
    <t>15.3.5</t>
  </si>
  <si>
    <t>15.4</t>
  </si>
  <si>
    <t>15.4.1</t>
  </si>
  <si>
    <t>15.4.2</t>
  </si>
  <si>
    <t>15.4.3</t>
  </si>
  <si>
    <t>15.4.4</t>
  </si>
  <si>
    <t>15.4.5</t>
  </si>
  <si>
    <t>15.5</t>
  </si>
  <si>
    <t>15.5.1</t>
  </si>
  <si>
    <t>15.5.2</t>
  </si>
  <si>
    <t>15.5.3</t>
  </si>
  <si>
    <t>15.5.4</t>
  </si>
  <si>
    <t>15.5.5</t>
  </si>
  <si>
    <t>15.5.6</t>
  </si>
  <si>
    <t>15.6</t>
  </si>
  <si>
    <t>15.6.1</t>
  </si>
  <si>
    <t>15.6.2</t>
  </si>
  <si>
    <t>15.6.3</t>
  </si>
  <si>
    <t>15.6.4</t>
  </si>
  <si>
    <t>15.7</t>
  </si>
  <si>
    <t>15.7.1</t>
  </si>
  <si>
    <t>15.7.2</t>
  </si>
  <si>
    <t>15.7.3</t>
  </si>
  <si>
    <t>15.7.4</t>
  </si>
  <si>
    <t>15.7.5</t>
  </si>
  <si>
    <t>15.7.6</t>
  </si>
  <si>
    <t>15.7.7</t>
  </si>
  <si>
    <t>15.7.8</t>
  </si>
  <si>
    <t>15.8</t>
  </si>
  <si>
    <t>15.8.1</t>
  </si>
  <si>
    <t>15.8.2</t>
  </si>
  <si>
    <t>15.8.3</t>
  </si>
  <si>
    <t>15.8.4</t>
  </si>
  <si>
    <t>15.8.5</t>
  </si>
  <si>
    <t>15.8.6</t>
  </si>
  <si>
    <t>15.8.7</t>
  </si>
  <si>
    <t>16.0</t>
  </si>
  <si>
    <t>16.1</t>
  </si>
  <si>
    <t>16.1.1</t>
  </si>
  <si>
    <t>16.1.2</t>
  </si>
  <si>
    <t>16.1.3</t>
  </si>
  <si>
    <t>16.1.4</t>
  </si>
  <si>
    <t>16.1.5</t>
  </si>
  <si>
    <t>16.1.6</t>
  </si>
  <si>
    <t>16.1.7</t>
  </si>
  <si>
    <t>16.1.8</t>
  </si>
  <si>
    <t>16.2</t>
  </si>
  <si>
    <t>16.2.1</t>
  </si>
  <si>
    <t>16.2.1.1</t>
  </si>
  <si>
    <t>16.2.1.2</t>
  </si>
  <si>
    <t>16.2.1.3</t>
  </si>
  <si>
    <t>16.2.1.4</t>
  </si>
  <si>
    <t>16.2.1.5</t>
  </si>
  <si>
    <t>16.2.1.6</t>
  </si>
  <si>
    <t>16.2.1.7</t>
  </si>
  <si>
    <t>16.2.1.8</t>
  </si>
  <si>
    <t>16.2.1.9</t>
  </si>
  <si>
    <t>16.2.2</t>
  </si>
  <si>
    <t>16.2.2.1</t>
  </si>
  <si>
    <t>16.2.2.2</t>
  </si>
  <si>
    <t>16.2.2.3</t>
  </si>
  <si>
    <t>16.2.2.4</t>
  </si>
  <si>
    <t>16.2.2.5</t>
  </si>
  <si>
    <t>16.2.2.6</t>
  </si>
  <si>
    <t>16.2.2.7</t>
  </si>
  <si>
    <t>16.2.2.8</t>
  </si>
  <si>
    <t>16.2.2.9</t>
  </si>
  <si>
    <t>16.2.2.10</t>
  </si>
  <si>
    <t>16.2.2.11</t>
  </si>
  <si>
    <t>16.3</t>
  </si>
  <si>
    <t>16.3.1</t>
  </si>
  <si>
    <t>16.3.1.1</t>
  </si>
  <si>
    <t>16.3.1.2</t>
  </si>
  <si>
    <t>16.3.1.3</t>
  </si>
  <si>
    <t>16.3.1.4</t>
  </si>
  <si>
    <t>16.3.1.5</t>
  </si>
  <si>
    <t>16.3.2</t>
  </si>
  <si>
    <t>16.3.2.1</t>
  </si>
  <si>
    <t>16.3.2.2</t>
  </si>
  <si>
    <t>16.3.2.3</t>
  </si>
  <si>
    <t>16.3.2.4</t>
  </si>
  <si>
    <t>16.3.2.5</t>
  </si>
  <si>
    <t>16.4</t>
  </si>
  <si>
    <t>16.4.1</t>
  </si>
  <si>
    <t>16.4.2</t>
  </si>
  <si>
    <t>16.4.3</t>
  </si>
  <si>
    <t>16.4.4</t>
  </si>
  <si>
    <t>16.4.5</t>
  </si>
  <si>
    <t>16.4.6</t>
  </si>
  <si>
    <t>16.4.7</t>
  </si>
  <si>
    <t>16.4.8</t>
  </si>
  <si>
    <t>16.4.9</t>
  </si>
  <si>
    <t>16.5</t>
  </si>
  <si>
    <t>16.5.1</t>
  </si>
  <si>
    <t>16.5.2</t>
  </si>
  <si>
    <t>16.5.3</t>
  </si>
  <si>
    <t>16.5.4</t>
  </si>
  <si>
    <t>16.6</t>
  </si>
  <si>
    <t>16.6.1</t>
  </si>
  <si>
    <t>16.6.2</t>
  </si>
  <si>
    <t>16.6.3</t>
  </si>
  <si>
    <t>16.6.4</t>
  </si>
  <si>
    <t>16.6.5</t>
  </si>
  <si>
    <t>16.7</t>
  </si>
  <si>
    <t>16.7.1</t>
  </si>
  <si>
    <t>16.7.2</t>
  </si>
  <si>
    <t>16.7.3</t>
  </si>
  <si>
    <t>16.7.4</t>
  </si>
  <si>
    <t>16.7.5</t>
  </si>
  <si>
    <t>16.7.6</t>
  </si>
  <si>
    <t>16.7.7</t>
  </si>
  <si>
    <t>16.7.8</t>
  </si>
  <si>
    <t>16.7.9</t>
  </si>
  <si>
    <t>16.7.10</t>
  </si>
  <si>
    <t>16.7.11</t>
  </si>
  <si>
    <t>16.7.12</t>
  </si>
  <si>
    <t>16.8</t>
  </si>
  <si>
    <t>16.8.1</t>
  </si>
  <si>
    <t>16.8.2</t>
  </si>
  <si>
    <t>16.8.3</t>
  </si>
  <si>
    <t>16.8.4</t>
  </si>
  <si>
    <t>16.8.5</t>
  </si>
  <si>
    <t>16.8.6</t>
  </si>
  <si>
    <t>16.8.7</t>
  </si>
  <si>
    <t>16.8.8</t>
  </si>
  <si>
    <t>16.8.9</t>
  </si>
  <si>
    <t>16.8.10</t>
  </si>
  <si>
    <t>17.0</t>
  </si>
  <si>
    <t>17.1</t>
  </si>
  <si>
    <t>17.1.1</t>
  </si>
  <si>
    <t>17.1.2</t>
  </si>
  <si>
    <t>17.1.3</t>
  </si>
  <si>
    <t>17.1.4</t>
  </si>
  <si>
    <t>17.1.5</t>
  </si>
  <si>
    <t>17.1.6</t>
  </si>
  <si>
    <t>17.1.7</t>
  </si>
  <si>
    <t>17.2</t>
  </si>
  <si>
    <t>17.2.1</t>
  </si>
  <si>
    <t>17.2.2</t>
  </si>
  <si>
    <t>17.2.3</t>
  </si>
  <si>
    <t>17.2.4</t>
  </si>
  <si>
    <t>17.2.5</t>
  </si>
  <si>
    <t>17.2.6</t>
  </si>
  <si>
    <t>17.2.7</t>
  </si>
  <si>
    <t>17.3</t>
  </si>
  <si>
    <t>17.3.1</t>
  </si>
  <si>
    <t>17.3.2</t>
  </si>
  <si>
    <t>17.3.3</t>
  </si>
  <si>
    <t>17.3.4</t>
  </si>
  <si>
    <t>17.3.5</t>
  </si>
  <si>
    <t>17.3.6</t>
  </si>
  <si>
    <t>17.3.7</t>
  </si>
  <si>
    <t>17.3.8</t>
  </si>
  <si>
    <t>17.4</t>
  </si>
  <si>
    <t>17.4.1</t>
  </si>
  <si>
    <t>17.4.2</t>
  </si>
  <si>
    <t>17.4.3</t>
  </si>
  <si>
    <t>17.4.4</t>
  </si>
  <si>
    <t>17.4.5</t>
  </si>
  <si>
    <t>17.5</t>
  </si>
  <si>
    <t>17.5.1</t>
  </si>
  <si>
    <t>17.5.2</t>
  </si>
  <si>
    <t>18.0</t>
  </si>
  <si>
    <t>18.1</t>
  </si>
  <si>
    <t>18.1.1</t>
  </si>
  <si>
    <t>18.1.1.1</t>
  </si>
  <si>
    <t>18.1.1.2</t>
  </si>
  <si>
    <t>18.1.1.3</t>
  </si>
  <si>
    <t>18.1.1.4</t>
  </si>
  <si>
    <t>18.1.1.5</t>
  </si>
  <si>
    <t>18.1.1.6</t>
  </si>
  <si>
    <t>18.1.1.7</t>
  </si>
  <si>
    <t>18.1.1.8</t>
  </si>
  <si>
    <t>18.1.1.9</t>
  </si>
  <si>
    <t>18.1.2</t>
  </si>
  <si>
    <t>18.1.2.1</t>
  </si>
  <si>
    <t>18.1.2.2</t>
  </si>
  <si>
    <t>18.1.2.3</t>
  </si>
  <si>
    <t>18.1.2.4</t>
  </si>
  <si>
    <t>18.1.2.5</t>
  </si>
  <si>
    <t>18.1.2.6</t>
  </si>
  <si>
    <t>18.1.2.7</t>
  </si>
  <si>
    <t>18.1.2.8</t>
  </si>
  <si>
    <t>18.1.2.9</t>
  </si>
  <si>
    <t>18.1.2.10</t>
  </si>
  <si>
    <t>18.1.2.11</t>
  </si>
  <si>
    <t>18.2</t>
  </si>
  <si>
    <t>18.2.1</t>
  </si>
  <si>
    <t>18.2.1.1</t>
  </si>
  <si>
    <t>18.2.1.2</t>
  </si>
  <si>
    <t>18.2.1.3</t>
  </si>
  <si>
    <t>18.2.1.4</t>
  </si>
  <si>
    <t>18.2.1.5</t>
  </si>
  <si>
    <t>18.2.2</t>
  </si>
  <si>
    <t>18.2.2.1</t>
  </si>
  <si>
    <t>18.2.2.2</t>
  </si>
  <si>
    <t>18.2.2.3</t>
  </si>
  <si>
    <t>18.2.2.4</t>
  </si>
  <si>
    <t>18.2.2.5</t>
  </si>
  <si>
    <t>18.3</t>
  </si>
  <si>
    <t>18.3.1</t>
  </si>
  <si>
    <t>18.3.2</t>
  </si>
  <si>
    <t>18.3.3</t>
  </si>
  <si>
    <t>18.3.4</t>
  </si>
  <si>
    <t>18.3.5</t>
  </si>
  <si>
    <t>18.3.6</t>
  </si>
  <si>
    <t>18.3.7</t>
  </si>
  <si>
    <t>18.3.8</t>
  </si>
  <si>
    <t>18.3.9</t>
  </si>
  <si>
    <t>18.4</t>
  </si>
  <si>
    <t>18.4.1</t>
  </si>
  <si>
    <t>18.4.2</t>
  </si>
  <si>
    <t>18.4.3</t>
  </si>
  <si>
    <t>18.4.4</t>
  </si>
  <si>
    <t>18.5</t>
  </si>
  <si>
    <t>18.5.1</t>
  </si>
  <si>
    <t>18.5.2</t>
  </si>
  <si>
    <t>18.5.3</t>
  </si>
  <si>
    <t>18.5.4</t>
  </si>
  <si>
    <t>18.5.5</t>
  </si>
  <si>
    <t>18.5.6</t>
  </si>
  <si>
    <t>18.5.7</t>
  </si>
  <si>
    <t>18.5.8</t>
  </si>
  <si>
    <t>18.6</t>
  </si>
  <si>
    <t>18.6.1</t>
  </si>
  <si>
    <t>18.6.2</t>
  </si>
  <si>
    <t>18.6.3</t>
  </si>
  <si>
    <t>18.6.4</t>
  </si>
  <si>
    <t>18.6.5</t>
  </si>
  <si>
    <t>18.6.6</t>
  </si>
  <si>
    <t>18.6.7</t>
  </si>
  <si>
    <t>18.7</t>
  </si>
  <si>
    <t>18.7.1</t>
  </si>
  <si>
    <t>18.7.2</t>
  </si>
  <si>
    <t>18.7.3</t>
  </si>
  <si>
    <t>18.7.4</t>
  </si>
  <si>
    <t>18.7.5</t>
  </si>
  <si>
    <t>18.7.6</t>
  </si>
  <si>
    <t>18.7.7</t>
  </si>
  <si>
    <t>18.7.8</t>
  </si>
  <si>
    <t>18.8</t>
  </si>
  <si>
    <t>18.8.1</t>
  </si>
  <si>
    <t>18.8.2</t>
  </si>
  <si>
    <t>18.8.3</t>
  </si>
  <si>
    <t>18.8.4</t>
  </si>
  <si>
    <t>18.8.5</t>
  </si>
  <si>
    <t>18.8.6</t>
  </si>
  <si>
    <t>18.8.7</t>
  </si>
  <si>
    <t>18.8.8</t>
  </si>
  <si>
    <t>19.0</t>
  </si>
  <si>
    <t>19.1</t>
  </si>
  <si>
    <t>19.1.1</t>
  </si>
  <si>
    <t>19.2</t>
  </si>
  <si>
    <t>19.2.1</t>
  </si>
  <si>
    <t>19.2.2</t>
  </si>
  <si>
    <t>19.2.3</t>
  </si>
  <si>
    <t>19.2.4</t>
  </si>
  <si>
    <t>19.2.5</t>
  </si>
  <si>
    <t>19.2.6</t>
  </si>
  <si>
    <t>19.2.7</t>
  </si>
  <si>
    <t>19.2.8</t>
  </si>
  <si>
    <t>19.2.9</t>
  </si>
  <si>
    <t>19.2.10</t>
  </si>
  <si>
    <t>19.2.11</t>
  </si>
  <si>
    <t>19.3</t>
  </si>
  <si>
    <t>19.3.1</t>
  </si>
  <si>
    <t>19.3.2</t>
  </si>
  <si>
    <t>19.3.3</t>
  </si>
  <si>
    <t>19.3.4</t>
  </si>
  <si>
    <t>19.3.5</t>
  </si>
  <si>
    <t>19.4</t>
  </si>
  <si>
    <t>19.4.1</t>
  </si>
  <si>
    <t>19.4.2</t>
  </si>
  <si>
    <t>19.4.3</t>
  </si>
  <si>
    <t>19.4.4</t>
  </si>
  <si>
    <t>19.4.5</t>
  </si>
  <si>
    <t>19.4.6</t>
  </si>
  <si>
    <t>19.5</t>
  </si>
  <si>
    <t>19.5.1</t>
  </si>
  <si>
    <t>19.5.2</t>
  </si>
  <si>
    <t>19.6</t>
  </si>
  <si>
    <t>19.6.1</t>
  </si>
  <si>
    <t>19.6.2</t>
  </si>
  <si>
    <t>19.6.3</t>
  </si>
  <si>
    <t>19.6.4</t>
  </si>
  <si>
    <t>19.6.5</t>
  </si>
  <si>
    <t>19.6.6</t>
  </si>
  <si>
    <t>19.7</t>
  </si>
  <si>
    <t>19.7.1</t>
  </si>
  <si>
    <t>19.7.2</t>
  </si>
  <si>
    <t>19.7.3</t>
  </si>
  <si>
    <t>20.0</t>
  </si>
  <si>
    <t>20.1</t>
  </si>
  <si>
    <t>20.2</t>
  </si>
  <si>
    <t>20.3</t>
  </si>
  <si>
    <t>20.4</t>
  </si>
  <si>
    <t>21.0</t>
  </si>
  <si>
    <t>21.1</t>
  </si>
  <si>
    <t>21.1.1</t>
  </si>
  <si>
    <t>21.1.2</t>
  </si>
  <si>
    <t>21.1.3</t>
  </si>
  <si>
    <t>21.1.4</t>
  </si>
  <si>
    <t>21.1.5</t>
  </si>
  <si>
    <t>21.1.6</t>
  </si>
  <si>
    <t>21.1.7</t>
  </si>
  <si>
    <t>21.1.8</t>
  </si>
  <si>
    <t>21.1.9</t>
  </si>
  <si>
    <t>21.1.10</t>
  </si>
  <si>
    <t>21.1.11</t>
  </si>
  <si>
    <t>21.1.12</t>
  </si>
  <si>
    <t>21.1.13</t>
  </si>
  <si>
    <t>21.1.14</t>
  </si>
  <si>
    <t>21.1.15</t>
  </si>
  <si>
    <t>21.1.16</t>
  </si>
  <si>
    <t>21.1.17</t>
  </si>
  <si>
    <t>21.2</t>
  </si>
  <si>
    <t>21.2.1</t>
  </si>
  <si>
    <t>21.2.2</t>
  </si>
  <si>
    <t>21.2.3</t>
  </si>
  <si>
    <t>21.2.4</t>
  </si>
  <si>
    <t>21.2.5</t>
  </si>
  <si>
    <t>21.2.6</t>
  </si>
  <si>
    <t>21.2.7</t>
  </si>
  <si>
    <t>21.2.8</t>
  </si>
  <si>
    <t>21.2.9</t>
  </si>
  <si>
    <t>21.2.10</t>
  </si>
  <si>
    <t>21.2.11</t>
  </si>
  <si>
    <t>21.2.12</t>
  </si>
  <si>
    <t>21.2.13</t>
  </si>
  <si>
    <t>21.2.14</t>
  </si>
  <si>
    <t>21.2.15</t>
  </si>
  <si>
    <t>22.0</t>
  </si>
  <si>
    <t>22.1</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</si>
  <si>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</si>
  <si>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</si>
  <si>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</si>
  <si>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</si>
  <si>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</si>
  <si>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</si>
  <si>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</si>
  <si>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</si>
  <si>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</si>
  <si>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</si>
  <si>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</si>
  <si>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</si>
  <si>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</si>
  <si>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</si>
  <si>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</si>
  <si>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</si>
  <si>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</si>
  <si>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</si>
  <si>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</si>
  <si>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</si>
  <si>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</si>
  <si>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</si>
  <si>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</si>
  <si>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</si>
  <si>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</si>
  <si>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</si>
  <si>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</si>
  <si>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</si>
  <si>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</si>
  <si>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</si>
  <si>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</si>
  <si>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</si>
  <si>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</si>
  <si>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</si>
  <si>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</si>
  <si>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</si>
  <si>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</si>
  <si>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</si>
  <si>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</si>
  <si>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</si>
  <si>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</si>
  <si>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</si>
  <si>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</si>
  <si>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</si>
  <si>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</si>
  <si>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</si>
  <si>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</si>
  <si>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</si>
  <si>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</si>
  <si>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</si>
  <si>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</si>
  <si>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</si>
  <si>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</si>
  <si>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</si>
  <si>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</si>
  <si>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</si>
  <si>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</si>
  <si>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</si>
  <si>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</si>
  <si>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</si>
  <si>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23.0</t>
  </si>
  <si>
    <t>23.1</t>
  </si>
  <si>
    <t>23.2</t>
  </si>
  <si>
    <t>24.0</t>
  </si>
  <si>
    <t>24.1</t>
  </si>
  <si>
    <t xml:space="preserve">  VALOR TOTAL DA OBRA SEM BDI</t>
  </si>
  <si>
    <t xml:space="preserve">  VALOR TOTAL DA OBRA COM BDI</t>
  </si>
  <si>
    <t>CRONOGRAMA FÍSICO-FINANCEIRO</t>
  </si>
  <si>
    <t>PERÍODO DE EXECUÇÃO DA OBRA</t>
  </si>
  <si>
    <t>MÊS 01</t>
  </si>
  <si>
    <t>MÊS 02</t>
  </si>
  <si>
    <t>MÊS 03</t>
  </si>
  <si>
    <t>MÊS 04</t>
  </si>
  <si>
    <t>MÊS 05</t>
  </si>
  <si>
    <t>MÊS 06</t>
  </si>
  <si>
    <t>TOTAL ACUMULADO MENSAL</t>
  </si>
  <si>
    <t>PORCENTAGEM PREVISTA</t>
  </si>
  <si>
    <t>VALOR TOTAL ACUMULADO SEM BDI</t>
  </si>
  <si>
    <t>COMPOSIÇÃO DO BDI OBRAS</t>
  </si>
  <si>
    <t>DESCRIÇÃO</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</si>
  <si>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</si>
  <si>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</si>
  <si>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</si>
  <si>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</si>
  <si>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</si>
  <si>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</si>
  <si>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</si>
  <si>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</si>
  <si>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</si>
  <si>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</si>
  <si>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</si>
  <si>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</si>
  <si>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</si>
  <si>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</si>
  <si>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</si>
  <si>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</si>
  <si>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</si>
  <si>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</si>
  <si>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r>
      <t xml:space="preserve">ISS - </t>
    </r>
    <r>
      <rPr>
        <sz val="12"/>
        <color rgb="FF000000"/>
        <rFont val="Arial Narrow"/>
        <family val="2"/>
      </rPr>
      <t>(ISS% CONSIDERANDO 40% DE MATRIAL) - LEI do Múnicipio da Execução da Obra</t>
    </r>
  </si>
  <si>
    <t>C2</t>
  </si>
  <si>
    <t>%MÃO DE OBRA</t>
  </si>
  <si>
    <t>C3</t>
  </si>
  <si>
    <t>ISS DO MUNICÍPIO (Verificar la LEI do Múnicipio da Execução da Obra)</t>
  </si>
  <si>
    <t>C4</t>
  </si>
  <si>
    <t>SUBTOTAL ISS (C2 X C3) =</t>
  </si>
  <si>
    <t>C5</t>
  </si>
  <si>
    <t>PIS</t>
  </si>
  <si>
    <t>C6</t>
  </si>
  <si>
    <t>COFINS</t>
  </si>
  <si>
    <t>C7</t>
  </si>
  <si>
    <t>CPRB</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</si>
  <si>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</si>
  <si>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</si>
  <si>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</si>
  <si>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CÓDIGO DA COMPOSIÇÃO</t>
  </si>
  <si>
    <t>UNIDADE</t>
  </si>
  <si>
    <t>COEF.</t>
  </si>
  <si>
    <t>PREÇO. UNI</t>
  </si>
  <si>
    <t>PREÇO. TOT</t>
  </si>
  <si>
    <t>TIPO</t>
  </si>
  <si>
    <t>REFERENCIA</t>
  </si>
  <si>
    <t>COMPOSIÇÕES PARA INSTALAÇÕES PROVISÓRIAS</t>
  </si>
  <si>
    <t>CONTAINER 2,30 X 4,30 M, ALT. 2,50 M, P/ SANITARIO, C/ 5 BACIAS, 1 LAVATORIO E 4 MICTORIOS (LOCACAO) - SANITARIO</t>
  </si>
  <si>
    <t xml:space="preserve">INSUMO </t>
  </si>
  <si>
    <t>COMPOSIÇÃO</t>
  </si>
  <si>
    <t>INSTALAÇÃO PROVISÓRIA DE ÁGUA E SANITÁRIOS</t>
  </si>
  <si>
    <t xml:space="preserve">COMPOSIÇÃO </t>
  </si>
  <si>
    <t>TAXAS E ENSAIOS</t>
  </si>
  <si>
    <t>AQUISIÇÃO E INSTALAÇÃO DE BEBEDOURO DE CAPACIDADE DE 100L</t>
  </si>
  <si>
    <t>MERCADO</t>
  </si>
  <si>
    <t>BEBEDOURO DE CAPACIDADE DE 100LITROS - COM 03 SAIDAS FRONTAIS E 01 LATERAL - 110/220V</t>
  </si>
  <si>
    <t xml:space="preserve">COMPOSIÇÕES PRA DEMOLIÇÕES </t>
  </si>
  <si>
    <t>DEMOLIÇÃO DE CONCRETO SIMPLES</t>
  </si>
  <si>
    <t xml:space="preserve">REMOÇÃO DE PEÇAS DE SANITÁRIAS </t>
  </si>
  <si>
    <t>COMPOSIÇÕES PRA TERRAPLANAGEM</t>
  </si>
  <si>
    <t>AQUISIÇÃO DE CARGA E TRANSPORTE DE SOLO PARA ATERRO</t>
  </si>
  <si>
    <t>INSUMO</t>
  </si>
  <si>
    <t>COMPOSIÇÕES PRA ALAMBRADO</t>
  </si>
  <si>
    <t>CP-ALA-01</t>
  </si>
  <si>
    <t>ALAMBRADO EM TUBOS DE ACO GALVANIZADO, COM COSTURA, DIN 2440, DIAMETRO 2", ALTURA 1,3 M, FIXADOS A CADA 2,5 M, COM TELA DE ARAME GALVANIZADO REVESTIDO COM PVC, FIO 12 BWG E MALHA 7,5X7,5CM</t>
  </si>
  <si>
    <t>COMPOSICAO</t>
  </si>
  <si>
    <t>ALAMBRADO EM TUBOS DE ACO GALVANIZADO, COM COSTURA, DIN 2440, DIAMETRO 2", ALTURA 2,5 M, FIXADOS A CADA 3 M, COM TELA DE ARAME GALVANIZADO REVESTIDO COM PVC, FIO 12 BWG E MALHA 7,5X7,5CM</t>
  </si>
  <si>
    <t>COMPOSIÇÕES PRA PISO</t>
  </si>
  <si>
    <t>CP-PIS-01</t>
  </si>
  <si>
    <t>REPARO EM PISO DE CONCRETO</t>
  </si>
  <si>
    <t>CP-PIS-02</t>
  </si>
  <si>
    <t>REPARO EM ARQUIBANCADA</t>
  </si>
  <si>
    <t>COMPOSIÇÕES PRA URBANIZAÇÃO</t>
  </si>
  <si>
    <t>CP-URB-01</t>
  </si>
  <si>
    <t xml:space="preserve">AQUISIÇÃO  CARGA, TRANSPORTE E ESPALHAMENTO DE SOLO VEGETAL </t>
  </si>
  <si>
    <t>CP-URB-02</t>
  </si>
  <si>
    <t>BANCO DE CONCRETO</t>
  </si>
  <si>
    <t>COMPOSIÇÕES PRA ARQUIBANCADA</t>
  </si>
  <si>
    <t>CP-ARQ-01</t>
  </si>
  <si>
    <t>DEMOLIÇÃO E RECONSTRUÇÃO DE LAJE DE ASSENTO</t>
  </si>
  <si>
    <t>CP-COB-01</t>
  </si>
  <si>
    <t>COBERTURA DE POLICARBONATO, COM ESTRUTURA METALICA PINTADA - FORNECIMENTO E INSTALAÇÃO</t>
  </si>
  <si>
    <t>ESTRUTURA DE COBERTURA - INCLUSO PINTURA</t>
  </si>
  <si>
    <t xml:space="preserve">COBERTURA EM POLICARBONATO </t>
  </si>
  <si>
    <t>INSTALAÇÕES HIDRAULICAS</t>
  </si>
  <si>
    <t xml:space="preserve">VASO SANITÁRIO CONVENCIONAL COM CONEXÕES DE INSTALAÇÃO E ASSENTO PLÁSTICO - FORNECIMENTO E INSTALAÇÃO </t>
  </si>
  <si>
    <t>FORNECIMENTO E INSTALAÇÃO BARRAS DE APOIO EM ACO INOX POLIDO, DIAMETRO MINIMO 3 CM</t>
  </si>
  <si>
    <t>CP-HID-01</t>
  </si>
  <si>
    <t>BOIA MECANICA DE 1.1/4 - FORNECIMENTO E INSTALAÇÃO</t>
  </si>
  <si>
    <t>CP-HID-02</t>
  </si>
  <si>
    <t>BASE PARA APOIO DE CAIXA D'ÁGUA 1000L EM VIGAS DE MADEIRA</t>
  </si>
  <si>
    <t>CP-HID-03</t>
  </si>
  <si>
    <t>INSTALAÇÃO DE CAIXA D'ÁGUA DE 20.000 L PARA RESERVATÓRIO</t>
  </si>
  <si>
    <t>CAIXA D'ÁGUA DE 20.000 L - FORNECIMENTO E INSTALAÇÃO</t>
  </si>
  <si>
    <t>FUNDAÇÕES</t>
  </si>
  <si>
    <t>ESCAVAÇÃO MECANICA DE ESTACA 40 X 40 CM , PROFUNDIDADE DE 1,5 M DE COMPRIMENTO</t>
  </si>
  <si>
    <t>CINTA DE AMARRAÇÃO DE ALVENARIA MOLDADA IN LOCO COM UTILIZAÇÃO DE BLOCOS CANALETA</t>
  </si>
  <si>
    <t>CP-FUN-03</t>
  </si>
  <si>
    <t>ESTACA ESCAVADA MECANICAMENTE, COM 20 CM DE DIÂMETRO E 1,5 M DE PROFUNDIDADE, ARAMADA COM 4 BARRAS DE 10,0 MM E ESTRIBOS DE 5,0 MM A CADA 15 CM, CONCRETO 20 MPA, PREPARO MECÂNICO EM BETONEIRA.</t>
  </si>
  <si>
    <t>LIXAMENTO</t>
  </si>
  <si>
    <t>LIXAMENTO MANUAL DE CONCRETO APARENTE</t>
  </si>
  <si>
    <t xml:space="preserve">LIXAMENTO DE SUPERFICIE METÁLICA </t>
  </si>
  <si>
    <t>PINTURA</t>
  </si>
  <si>
    <t xml:space="preserve">PINTURA DE LOGOMARCA  E NOMENCLATURA </t>
  </si>
  <si>
    <t xml:space="preserve">PINTURA COM TINTA ESMALTE SINTÉTICO </t>
  </si>
  <si>
    <t>CP-SD-01</t>
  </si>
  <si>
    <t>FORNECIMENTO E INSTALAÇÃO DE PLACA DE INAUGURAÇÃO DE 40X60CM</t>
  </si>
  <si>
    <t>CP-SD-02</t>
  </si>
  <si>
    <t>CONJUNTO DE MASTRO PARA TRÊS BANDEIRAS E PEDESTAL</t>
  </si>
  <si>
    <t>PREGO 18X27 (2 1/2 X 10)</t>
  </si>
  <si>
    <t>SARRAFO DE 1"X4"</t>
  </si>
  <si>
    <t>MICTORIOS</t>
  </si>
  <si>
    <t>CP-MIC-01</t>
  </si>
  <si>
    <t>JUNTA DE DILATAÇÃO</t>
  </si>
  <si>
    <t>CP-JUN-01</t>
  </si>
  <si>
    <t xml:space="preserve">JUNTA DE DILATAÇÃO COM SELANTE ELASTICO MONOCOMPONENTE A BASE DE POLIURETANO </t>
  </si>
  <si>
    <t>BANCADA DE MARMORE</t>
  </si>
  <si>
    <t>CP-BAN-01</t>
  </si>
  <si>
    <t>BANCADA DE GRANITO CINZA POLIDO 2,0 X 0,60 M - FORNECIMENTO E INSTALAÇÃO</t>
  </si>
  <si>
    <t>CP-SAN-01</t>
  </si>
  <si>
    <t>CAIXA DE INSPEÇÃO 60X60X60CM EM ALVENARIA DE TIJOLO CERAMICO MACIÇO, COM BASE DE CONCRETO - FORNECIMENTO E EXECUÇÃO</t>
  </si>
  <si>
    <t>FORNECIMENTO E INSTALAÇÃO DE JUNÇÃO SIMPLES PVC ESGOTO 100X50MM</t>
  </si>
  <si>
    <t>TE, PVC, SERIE NORMAL, ESGOTO PREDIAL, DN 100 X 50 MM, JUNTA ELÁSTICA, FORNECIDO E INSTALADO EM PRUMADA DE ESGOTO SANITÁRIO.</t>
  </si>
  <si>
    <t>CP-SAN-04</t>
  </si>
  <si>
    <t xml:space="preserve">LIGAÇÃO DE TUBULAÇÃO DE ESGOTO A REDE DE ESGOTO </t>
  </si>
  <si>
    <t>INSTALAÇÕES ELETRICAS PREDIAIS</t>
  </si>
  <si>
    <t>ENTRADA DE ENERGIA ELÉTRICA AÉREA TRIFÁSICA 150A COM POSTE DE CONCRETO 7M, CABEAMENTO, CAIXA DE PROTEÇÃO PARA MEDIDOR E ATERRAMENTO - FORNECIMENTO E INSTALAÇÃO</t>
  </si>
  <si>
    <t xml:space="preserve">VARIADOR DE VELOCIDADE PARA VENTILADOR 127V, 150W + 2 INTERRUPTORES PARALELOS, PARA REVERSAO E LAMPADA, CONJUNTO MONTADO PARA EMBUTIR 4" X 2" (PLACA + SUPORTE + MODULOS) - FORNECIMENTO E INSTALAÇÃO </t>
  </si>
  <si>
    <t>TOMADA INDUSTRIAL DE EMBUTIR 3P+T 30 A, 440 V, COM TRAVA, COM PLACA- FORNCIMENTO E INSTALAÇÃO</t>
  </si>
  <si>
    <t>VENTILADOR DE TETO COMERCIAL 3 PAS EM ACO SIMPLES - FORNECIMENTO E INSTALAÇÃO</t>
  </si>
  <si>
    <t xml:space="preserve">VENTILADOR DE TETO COMERCIAL 3 PAS EM ACO SIMPLES </t>
  </si>
  <si>
    <t/>
  </si>
  <si>
    <t>DISPOSITIVO DPS CLASSE II, 1 POLO, TENSAO MAXIMA DE 175 V, CORRENTE MAXIMA DE *45* KA (TIPO AC) - FORNECIMENTO E INSTALAÇÃO</t>
  </si>
  <si>
    <t>PROJETOR RETANGULAR FECHADO EM LED 150 W , CORPO EM ALUMINIO FUNDIDO COM PINTURA ELETROSTATICA,  FECHAMENTO EM VIDRO TEMPERADO - FORNECIMENTO E INSTALAÇÃO</t>
  </si>
  <si>
    <t>PROJETOR RETANGULAR FECHADO EM LED 150 W , CORPO EM ALUMINIO FUNDIDO COM PINTURA ELETROSTATICA,  FECHAMENTO EM VIDRO TEMPERADO.</t>
  </si>
  <si>
    <t>PROJETOR RETANGULAR FECHADO EM LED 250 W , CORPO EM ALUMINIO FUNDIDO COM PINTURA ELETROSTATICA,  FECHAMENTO EM VIDRO TEMPERADO - FORNECIMENTO E INSTALAÇÃO</t>
  </si>
  <si>
    <t>PROJETOR RETANGULAR FECHADO EM LED 250 W , CORPO EM ALUMINIO FUNDIDO COM PINTURA ELETROSTATICA,  FECHAMENTO EM VIDRO TEMPERADO.</t>
  </si>
  <si>
    <t>CRUZETA DE CONCRETO LEVE, COMP. 2000 MM SECÇÃO, 90 X 90 MM - FORNECIMENTO E INSTALAÇÃO</t>
  </si>
  <si>
    <t xml:space="preserve">OBRA: REFORMA DO ESTÁDIO BENEDITO LAURINDO DE SOUZA </t>
  </si>
  <si>
    <t>LOCAL: ESTÁDIO BENEDITO LAURINDO DE SOUZA "DITO SOUZA"</t>
  </si>
  <si>
    <t>ENDEREÇO: RUA PROF. ISABEL PINTO ESQUINA COM RUA MIGUEL MARCONDES, BAIRRO CRISTO REI, S/N</t>
  </si>
</sst>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 #,##0.00_);_(* \(#,##0.00\);_(* &quot;-&quot;??_);_(@_)"/>
    <numFmt numFmtId="165" formatCode="_(&quot;R$&quot;* #,##0.00_);_(&quot;R$&quot;* \(#,##0.00\);_(&quot;R$&quot;*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s>
  <fonts count="90">
    <font>
      <sz val="10"/>
      <name val="Arial"/>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b/>
      <sz val="10"/>
      <color indexed="34"/>
      <name val="Arial"/>
      <family val="2"/>
    </font>
    <font>
      <sz val="10"/>
      <color indexed="36"/>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u/>
      <sz val="12"/>
      <name val="Arial"/>
      <family val="2"/>
    </font>
    <font>
      <u/>
      <sz val="11"/>
      <name val="Calibri"/>
      <family val="2"/>
      <scheme val="minor"/>
    </font>
    <font>
      <i/>
      <u/>
      <sz val="10"/>
      <name val="Arial"/>
      <family val="2"/>
    </font>
    <font>
      <sz val="10"/>
      <color theme="1"/>
      <name val="Calibri"/>
      <family val="2"/>
      <scheme val="minor"/>
    </font>
    <font>
      <sz val="10"/>
      <color theme="1"/>
      <name val="Arial"/>
      <family val="2"/>
    </font>
    <font>
      <sz val="10"/>
      <name val="Calibri"/>
      <family val="2"/>
      <scheme val="minor"/>
    </font>
    <font>
      <b/>
      <sz val="9"/>
      <color indexed="81"/>
      <name val="Tahoma"/>
      <family val="2"/>
    </font>
    <font>
      <sz val="10"/>
      <name val="Courier New"/>
      <family val="3"/>
    </font>
    <font>
      <sz val="9"/>
      <color indexed="81"/>
      <name val="Tahoma"/>
      <family val="2"/>
    </font>
    <font>
      <b/>
      <sz val="14"/>
      <name val="Calibri"/>
      <family val="2"/>
      <scheme val="minor"/>
    </font>
    <font>
      <b/>
      <sz val="10"/>
      <color indexed="81"/>
      <name val="Tahoma"/>
      <family val="2"/>
    </font>
    <font>
      <b/>
      <u/>
      <sz val="10"/>
      <color rgb="FFFF0000"/>
      <name val="Arial"/>
      <family val="2"/>
    </font>
    <font>
      <sz val="9"/>
      <color rgb="FFFF0000"/>
      <name val="Calibri"/>
      <family val="2"/>
    </font>
    <font>
      <u/>
      <sz val="10"/>
      <color rgb="FFFF0000"/>
      <name val="Arial"/>
      <family val="2"/>
    </font>
    <font>
      <sz val="10"/>
      <name val="Arial"/>
      <family val="2"/>
    </font>
    <font>
      <b/>
      <u val="singleAccounting"/>
      <sz val="10"/>
      <color rgb="FFFF0000"/>
      <name val="Arial"/>
      <family val="2"/>
    </font>
    <font>
      <sz val="10"/>
      <color theme="8" tint="-0.249977111117893"/>
      <name val="Arial"/>
      <family val="2"/>
    </font>
    <font>
      <b/>
      <u val="singleAccounting"/>
      <sz val="10"/>
      <color theme="0"/>
      <name val="Arial"/>
      <family val="2"/>
    </font>
    <font>
      <sz val="10"/>
      <color theme="6" tint="-0.499984740745262"/>
      <name val="Arial"/>
      <family val="2"/>
    </font>
    <font>
      <b/>
      <sz val="9"/>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49"/>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00B0F0"/>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6" tint="0.59999389629810485"/>
        <bgColor rgb="FF999933"/>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2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107">
    <xf numFmtId="0" fontId="0" fillId="0" borderId="0"/>
    <xf numFmtId="0" fontId="4" fillId="2" borderId="0" applyNumberFormat="0" applyFont="0" applyFill="0" applyProtection="0"/>
    <xf numFmtId="0" fontId="3" fillId="8" borderId="0" applyNumberFormat="0" applyBorder="0" applyAlignment="0" applyProtection="0"/>
    <xf numFmtId="0" fontId="4" fillId="3" borderId="0" applyNumberFormat="0" applyFont="0" applyFill="0" applyProtection="0"/>
    <xf numFmtId="0" fontId="3" fillId="9" borderId="0" applyNumberFormat="0" applyBorder="0" applyAlignment="0" applyProtection="0"/>
    <xf numFmtId="0" fontId="4" fillId="4" borderId="0" applyNumberFormat="0" applyFont="0" applyFill="0" applyProtection="0"/>
    <xf numFmtId="0" fontId="3" fillId="10" borderId="0" applyNumberFormat="0" applyBorder="0" applyAlignment="0" applyProtection="0"/>
    <xf numFmtId="0" fontId="4" fillId="2" borderId="0" applyNumberFormat="0" applyFont="0" applyFill="0" applyProtection="0"/>
    <xf numFmtId="0" fontId="3" fillId="7" borderId="0" applyNumberFormat="0" applyBorder="0" applyAlignment="0" applyProtection="0"/>
    <xf numFmtId="0" fontId="4" fillId="4" borderId="0" applyNumberFormat="0" applyFont="0" applyFill="0" applyProtection="0"/>
    <xf numFmtId="0" fontId="3" fillId="6" borderId="0" applyNumberFormat="0" applyBorder="0" applyAlignment="0" applyProtection="0"/>
    <xf numFmtId="0" fontId="4" fillId="3" borderId="0" applyNumberFormat="0" applyFont="0" applyFill="0" applyProtection="0"/>
    <xf numFmtId="0" fontId="3" fillId="10" borderId="0" applyNumberFormat="0" applyBorder="0" applyAlignment="0" applyProtection="0"/>
    <xf numFmtId="0" fontId="4" fillId="2" borderId="0" applyNumberFormat="0" applyFont="0" applyFill="0" applyProtection="0"/>
    <xf numFmtId="0" fontId="3" fillId="6" borderId="0" applyNumberFormat="0" applyBorder="0" applyAlignment="0" applyProtection="0"/>
    <xf numFmtId="0" fontId="4" fillId="9" borderId="0" applyNumberFormat="0" applyFont="0" applyFill="0" applyProtection="0"/>
    <xf numFmtId="0" fontId="3" fillId="9" borderId="0" applyNumberFormat="0" applyBorder="0" applyAlignment="0" applyProtection="0"/>
    <xf numFmtId="0" fontId="4" fillId="12" borderId="0" applyNumberFormat="0" applyFont="0" applyFill="0" applyProtection="0"/>
    <xf numFmtId="0" fontId="3" fillId="13" borderId="0" applyNumberFormat="0" applyBorder="0" applyAlignment="0" applyProtection="0"/>
    <xf numFmtId="0" fontId="4" fillId="2" borderId="0" applyNumberFormat="0" applyFont="0" applyFill="0" applyProtection="0"/>
    <xf numFmtId="0" fontId="3" fillId="3" borderId="0" applyNumberFormat="0" applyBorder="0" applyAlignment="0" applyProtection="0"/>
    <xf numFmtId="0" fontId="4" fillId="2" borderId="0" applyNumberFormat="0" applyFont="0" applyFill="0" applyProtection="0"/>
    <xf numFmtId="0" fontId="3" fillId="6" borderId="0" applyNumberFormat="0" applyBorder="0" applyAlignment="0" applyProtection="0"/>
    <xf numFmtId="0" fontId="4" fillId="14" borderId="0" applyNumberFormat="0" applyFont="0" applyFill="0" applyProtection="0"/>
    <xf numFmtId="0" fontId="3" fillId="10" borderId="0" applyNumberFormat="0" applyBorder="0" applyAlignment="0" applyProtection="0"/>
    <xf numFmtId="0" fontId="5" fillId="15" borderId="0" applyNumberFormat="0" applyFont="0" applyFill="0" applyProtection="0"/>
    <xf numFmtId="0" fontId="29" fillId="6" borderId="0" applyNumberFormat="0" applyBorder="0" applyAlignment="0" applyProtection="0"/>
    <xf numFmtId="0" fontId="5" fillId="9" borderId="0" applyNumberFormat="0" applyFont="0" applyFill="0" applyProtection="0"/>
    <xf numFmtId="0" fontId="29" fillId="17" borderId="0" applyNumberFormat="0" applyBorder="0" applyAlignment="0" applyProtection="0"/>
    <xf numFmtId="0" fontId="5" fillId="12" borderId="0" applyNumberFormat="0" applyFont="0" applyFill="0" applyProtection="0"/>
    <xf numFmtId="0" fontId="29" fillId="11" borderId="0" applyNumberFormat="0" applyBorder="0" applyAlignment="0" applyProtection="0"/>
    <xf numFmtId="0" fontId="5" fillId="18" borderId="0" applyNumberFormat="0" applyFont="0" applyFill="0" applyProtection="0"/>
    <xf numFmtId="0" fontId="29" fillId="3" borderId="0" applyNumberFormat="0" applyBorder="0" applyAlignment="0" applyProtection="0"/>
    <xf numFmtId="0" fontId="5" fillId="16" borderId="0" applyNumberFormat="0" applyFont="0" applyFill="0" applyProtection="0"/>
    <xf numFmtId="0" fontId="29" fillId="6" borderId="0" applyNumberFormat="0" applyBorder="0" applyAlignment="0" applyProtection="0"/>
    <xf numFmtId="0" fontId="5" fillId="14" borderId="0" applyNumberFormat="0" applyFont="0" applyFill="0" applyProtection="0"/>
    <xf numFmtId="0" fontId="29" fillId="9" borderId="0" applyNumberFormat="0" applyBorder="0" applyAlignment="0" applyProtection="0"/>
    <xf numFmtId="0" fontId="33" fillId="6" borderId="0" applyNumberFormat="0" applyBorder="0" applyAlignment="0" applyProtection="0"/>
    <xf numFmtId="0" fontId="6" fillId="21" borderId="1" applyNumberFormat="0" applyFont="0" applyProtection="0"/>
    <xf numFmtId="0" fontId="40" fillId="22" borderId="1" applyNumberFormat="0" applyAlignment="0" applyProtection="0"/>
    <xf numFmtId="0" fontId="31" fillId="23" borderId="2" applyNumberFormat="0" applyAlignment="0" applyProtection="0"/>
    <xf numFmtId="0" fontId="39" fillId="0" borderId="3" applyNumberFormat="0" applyFill="0" applyAlignment="0" applyProtection="0"/>
    <xf numFmtId="0" fontId="31" fillId="23" borderId="2" applyNumberFormat="0" applyAlignment="0" applyProtection="0"/>
    <xf numFmtId="3" fontId="4" fillId="0" borderId="0" applyFont="0" applyFill="0" applyBorder="0" applyAlignment="0" applyProtection="0"/>
    <xf numFmtId="3" fontId="4" fillId="0" borderId="0" applyFont="0" applyFill="0" applyBorder="0" applyAlignment="0" applyProtection="0"/>
    <xf numFmtId="0" fontId="5" fillId="19" borderId="0" applyNumberFormat="0" applyFont="0" applyFill="0" applyProtection="0"/>
    <xf numFmtId="0" fontId="29" fillId="24" borderId="0" applyNumberFormat="0" applyBorder="0" applyAlignment="0" applyProtection="0"/>
    <xf numFmtId="0" fontId="5" fillId="25" borderId="0" applyNumberFormat="0" applyFont="0" applyFill="0" applyProtection="0"/>
    <xf numFmtId="0" fontId="29" fillId="17" borderId="0" applyNumberFormat="0" applyBorder="0" applyAlignment="0" applyProtection="0"/>
    <xf numFmtId="0" fontId="5" fillId="26" borderId="0" applyNumberFormat="0" applyFont="0" applyFill="0" applyProtection="0"/>
    <xf numFmtId="0" fontId="29" fillId="11" borderId="0" applyNumberFormat="0" applyBorder="0" applyAlignment="0" applyProtection="0"/>
    <xf numFmtId="0" fontId="5" fillId="18" borderId="0" applyNumberFormat="0" applyFont="0" applyFill="0" applyProtection="0"/>
    <xf numFmtId="0" fontId="29" fillId="27" borderId="0" applyNumberFormat="0" applyBorder="0" applyAlignment="0" applyProtection="0"/>
    <xf numFmtId="0" fontId="5" fillId="16" borderId="0" applyNumberFormat="0" applyFont="0" applyFill="0" applyProtection="0"/>
    <xf numFmtId="0" fontId="29" fillId="16" borderId="0" applyNumberFormat="0" applyBorder="0" applyAlignment="0" applyProtection="0"/>
    <xf numFmtId="0" fontId="5" fillId="20" borderId="0" applyNumberFormat="0" applyFont="0" applyFill="0" applyProtection="0"/>
    <xf numFmtId="0" fontId="29" fillId="20" borderId="0" applyNumberFormat="0" applyBorder="0" applyAlignment="0" applyProtection="0"/>
    <xf numFmtId="0" fontId="34" fillId="13" borderId="1" applyNumberFormat="0" applyAlignment="0" applyProtection="0"/>
    <xf numFmtId="0" fontId="3" fillId="0" borderId="0"/>
    <xf numFmtId="0" fontId="33" fillId="4" borderId="0" applyNumberFormat="0" applyBorder="0" applyAlignment="0" applyProtection="0"/>
    <xf numFmtId="0" fontId="7" fillId="3" borderId="0" applyNumberFormat="0" applyFont="0" applyFill="0" applyProtection="0"/>
    <xf numFmtId="0" fontId="30" fillId="5" borderId="0" applyNumberFormat="0" applyBorder="0" applyAlignment="0" applyProtection="0"/>
    <xf numFmtId="0" fontId="34" fillId="7" borderId="1" applyNumberFormat="0" applyAlignment="0" applyProtection="0"/>
    <xf numFmtId="0" fontId="35" fillId="0" borderId="5" applyNumberFormat="0" applyFill="0" applyAlignment="0" applyProtection="0"/>
    <xf numFmtId="165" fontId="2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1" fillId="13" borderId="0" applyNumberFormat="0" applyBorder="0" applyAlignment="0" applyProtection="0"/>
    <xf numFmtId="0" fontId="36" fillId="13" borderId="0" applyNumberFormat="0" applyBorder="0" applyAlignment="0" applyProtection="0"/>
    <xf numFmtId="0" fontId="4" fillId="0" borderId="0"/>
    <xf numFmtId="0" fontId="48" fillId="0" borderId="0"/>
    <xf numFmtId="0" fontId="4" fillId="0" borderId="0"/>
    <xf numFmtId="0" fontId="4" fillId="0" borderId="0"/>
    <xf numFmtId="0" fontId="4" fillId="0" borderId="0"/>
    <xf numFmtId="0" fontId="3" fillId="0" borderId="0"/>
    <xf numFmtId="0" fontId="28" fillId="10" borderId="6" applyNumberFormat="0" applyFont="0" applyAlignment="0" applyProtection="0"/>
    <xf numFmtId="0" fontId="3" fillId="10" borderId="6" applyNumberFormat="0" applyFont="0" applyAlignment="0" applyProtection="0"/>
    <xf numFmtId="9" fontId="1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8" fillId="21" borderId="8" applyNumberFormat="0" applyFont="0" applyProtection="0"/>
    <xf numFmtId="0" fontId="37" fillId="22" borderId="7" applyNumberFormat="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0" fontId="39" fillId="0" borderId="0" applyNumberFormat="0" applyFill="0" applyBorder="0" applyAlignment="0" applyProtection="0"/>
    <xf numFmtId="0" fontId="10" fillId="0" borderId="0" applyNumberFormat="0" applyFont="0" applyFill="0" applyAlignment="0" applyProtection="0"/>
    <xf numFmtId="0" fontId="32" fillId="0" borderId="0" applyNumberFormat="0" applyFill="0" applyBorder="0" applyAlignment="0" applyProtection="0"/>
    <xf numFmtId="0" fontId="11" fillId="0" borderId="0" applyNumberFormat="0" applyFont="0" applyFill="0" applyAlignment="0" applyProtection="0"/>
    <xf numFmtId="0" fontId="12" fillId="0" borderId="9" applyNumberFormat="0" applyFont="0" applyAlignment="0" applyProtection="0"/>
    <xf numFmtId="0" fontId="43" fillId="0" borderId="10" applyNumberFormat="0" applyFill="0" applyAlignment="0" applyProtection="0"/>
    <xf numFmtId="0" fontId="13" fillId="0" borderId="4" applyNumberFormat="0" applyFont="0" applyAlignment="0" applyProtection="0"/>
    <xf numFmtId="0" fontId="44" fillId="0" borderId="11" applyNumberFormat="0" applyFill="0" applyAlignment="0" applyProtection="0"/>
    <xf numFmtId="0" fontId="14" fillId="0" borderId="9" applyNumberFormat="0" applyFont="0" applyAlignment="0" applyProtection="0"/>
    <xf numFmtId="0" fontId="45" fillId="0" borderId="12" applyNumberFormat="0" applyFill="0" applyAlignment="0" applyProtection="0"/>
    <xf numFmtId="0" fontId="14" fillId="0" borderId="0" applyNumberFormat="0" applyFont="0" applyFill="0" applyAlignment="0" applyProtection="0"/>
    <xf numFmtId="0" fontId="45" fillId="0" borderId="0" applyNumberFormat="0" applyFill="0" applyBorder="0" applyAlignment="0" applyProtection="0"/>
    <xf numFmtId="0" fontId="42" fillId="0" borderId="0" applyNumberFormat="0" applyFill="0" applyBorder="0" applyAlignment="0" applyProtection="0"/>
    <xf numFmtId="0" fontId="15" fillId="0" borderId="13" applyNumberFormat="0" applyFont="0" applyAlignment="0" applyProtection="0"/>
    <xf numFmtId="0" fontId="38" fillId="0" borderId="14" applyNumberFormat="0" applyFill="0" applyAlignment="0" applyProtection="0"/>
    <xf numFmtId="164" fontId="27" fillId="0" borderId="0" applyFont="0" applyFill="0" applyBorder="0" applyAlignment="0" applyProtection="0"/>
    <xf numFmtId="169" fontId="4" fillId="0" borderId="0" applyFont="0" applyFill="0" applyBorder="0" applyAlignment="0" applyProtection="0"/>
    <xf numFmtId="164" fontId="4" fillId="0" borderId="0" applyFont="0" applyFill="0" applyBorder="0" applyAlignment="0" applyProtection="0"/>
    <xf numFmtId="0" fontId="39" fillId="0" borderId="0" applyNumberFormat="0" applyFill="0" applyBorder="0" applyAlignment="0" applyProtection="0"/>
    <xf numFmtId="0" fontId="2" fillId="0" borderId="0"/>
    <xf numFmtId="0" fontId="84" fillId="0" borderId="0"/>
  </cellStyleXfs>
  <cellXfs count="613">
    <xf numFmtId="0" fontId="0" fillId="0" borderId="0" xfId="0"/>
    <xf numFmtId="164" fontId="20" fillId="0" borderId="15" xfId="82" applyFont="1" applyBorder="1" applyAlignment="1">
      <alignment horizontal="center"/>
    </xf>
    <xf numFmtId="10" fontId="20" fillId="0" borderId="15" xfId="0" applyNumberFormat="1" applyFont="1" applyBorder="1" applyAlignment="1">
      <alignment horizontal="center"/>
    </xf>
    <xf numFmtId="0" fontId="0" fillId="0" borderId="0" xfId="0" applyAlignment="1">
      <alignment vertical="center"/>
    </xf>
    <xf numFmtId="0" fontId="0" fillId="0" borderId="0" xfId="0" applyAlignment="1">
      <alignment horizontal="center"/>
    </xf>
    <xf numFmtId="0" fontId="0" fillId="0" borderId="0" xfId="0" applyAlignment="1">
      <alignment wrapText="1"/>
    </xf>
    <xf numFmtId="164" fontId="20" fillId="0" borderId="17" xfId="82" applyFont="1" applyBorder="1" applyAlignment="1">
      <alignment horizontal="center"/>
    </xf>
    <xf numFmtId="10" fontId="20" fillId="0" borderId="17" xfId="0" applyNumberFormat="1" applyFont="1" applyBorder="1" applyAlignment="1">
      <alignment horizontal="center"/>
    </xf>
    <xf numFmtId="165" fontId="0" fillId="0" borderId="0" xfId="64" applyFont="1"/>
    <xf numFmtId="165" fontId="18" fillId="0" borderId="30" xfId="64" applyFont="1" applyBorder="1" applyAlignment="1">
      <alignment horizontal="center" vertical="justify"/>
    </xf>
    <xf numFmtId="0" fontId="18" fillId="0" borderId="35" xfId="0" applyFont="1" applyBorder="1" applyAlignment="1">
      <alignment horizontal="center" vertical="justify"/>
    </xf>
    <xf numFmtId="164" fontId="20" fillId="0" borderId="18" xfId="82" applyFont="1" applyBorder="1" applyAlignment="1">
      <alignment horizontal="center"/>
    </xf>
    <xf numFmtId="0" fontId="16" fillId="0" borderId="35" xfId="0" applyFont="1" applyBorder="1" applyAlignment="1">
      <alignment horizontal="center"/>
    </xf>
    <xf numFmtId="0" fontId="52" fillId="0" borderId="16" xfId="0" applyFont="1" applyBorder="1" applyAlignment="1">
      <alignment horizontal="center" vertical="center"/>
    </xf>
    <xf numFmtId="0" fontId="52" fillId="0" borderId="16" xfId="0" applyFont="1" applyBorder="1" applyAlignment="1">
      <alignment horizontal="center" vertical="center" wrapText="1"/>
    </xf>
    <xf numFmtId="3" fontId="52" fillId="0" borderId="16" xfId="0" applyNumberFormat="1" applyFont="1" applyBorder="1" applyAlignment="1">
      <alignment horizontal="center" vertical="center" wrapText="1"/>
    </xf>
    <xf numFmtId="0" fontId="4" fillId="0" borderId="0" xfId="0" applyFont="1" applyAlignment="1">
      <alignment horizontal="center" vertical="center"/>
    </xf>
    <xf numFmtId="164" fontId="4" fillId="0" borderId="0" xfId="82" applyAlignment="1">
      <alignment horizontal="center" vertical="center"/>
    </xf>
    <xf numFmtId="165" fontId="4" fillId="0" borderId="0" xfId="64" applyFont="1" applyAlignment="1">
      <alignment horizontal="center" vertical="center"/>
    </xf>
    <xf numFmtId="164" fontId="4" fillId="0" borderId="25" xfId="82" applyBorder="1" applyAlignment="1">
      <alignment horizontal="center" vertical="center"/>
    </xf>
    <xf numFmtId="165" fontId="4" fillId="0" borderId="25" xfId="64" applyFont="1" applyBorder="1" applyAlignment="1">
      <alignment horizontal="center" vertical="center"/>
    </xf>
    <xf numFmtId="165" fontId="4" fillId="0" borderId="0" xfId="64" applyFont="1" applyAlignment="1">
      <alignment vertical="center"/>
    </xf>
    <xf numFmtId="0" fontId="0" fillId="0" borderId="27" xfId="0" applyBorder="1"/>
    <xf numFmtId="165" fontId="20" fillId="0" borderId="0" xfId="64" applyFont="1"/>
    <xf numFmtId="165" fontId="4" fillId="0" borderId="25" xfId="64" applyFont="1" applyBorder="1" applyAlignment="1">
      <alignment vertical="center"/>
    </xf>
    <xf numFmtId="0" fontId="0" fillId="0" borderId="24" xfId="0" applyBorder="1"/>
    <xf numFmtId="0" fontId="0" fillId="0" borderId="0" xfId="0" applyAlignment="1">
      <alignment horizontal="center" vertical="center"/>
    </xf>
    <xf numFmtId="0" fontId="53" fillId="0" borderId="0" xfId="0" applyFont="1"/>
    <xf numFmtId="0" fontId="53" fillId="0" borderId="0" xfId="0" applyFont="1" applyAlignment="1">
      <alignment wrapText="1"/>
    </xf>
    <xf numFmtId="0" fontId="0" fillId="0" borderId="25" xfId="0" applyBorder="1" applyAlignment="1">
      <alignment horizontal="center" vertical="center"/>
    </xf>
    <xf numFmtId="0" fontId="53" fillId="0" borderId="25" xfId="0" applyFont="1" applyBorder="1"/>
    <xf numFmtId="0" fontId="53" fillId="0" borderId="25" xfId="0" applyFont="1" applyBorder="1" applyAlignment="1">
      <alignment wrapText="1"/>
    </xf>
    <xf numFmtId="0" fontId="53" fillId="0" borderId="0" xfId="0" applyFont="1" applyAlignment="1">
      <alignment vertical="center"/>
    </xf>
    <xf numFmtId="0" fontId="53" fillId="0" borderId="25" xfId="0" applyFont="1" applyBorder="1" applyAlignment="1">
      <alignment vertical="center"/>
    </xf>
    <xf numFmtId="0" fontId="4" fillId="0" borderId="27" xfId="0" applyFont="1" applyBorder="1" applyAlignment="1">
      <alignment horizontal="center"/>
    </xf>
    <xf numFmtId="0" fontId="56" fillId="31" borderId="15" xfId="0" applyFont="1" applyFill="1" applyBorder="1" applyAlignment="1">
      <alignment horizontal="center" vertical="center"/>
    </xf>
    <xf numFmtId="10" fontId="57" fillId="29" borderId="15" xfId="78" applyNumberFormat="1" applyFont="1" applyFill="1" applyBorder="1" applyAlignment="1">
      <alignment horizontal="center"/>
    </xf>
    <xf numFmtId="0" fontId="58" fillId="29" borderId="15" xfId="0" applyFont="1" applyFill="1" applyBorder="1" applyAlignment="1">
      <alignment horizontal="center" vertical="center"/>
    </xf>
    <xf numFmtId="0" fontId="55" fillId="29" borderId="15" xfId="0" applyFont="1" applyFill="1" applyBorder="1" applyAlignment="1">
      <alignment vertical="center" wrapText="1"/>
    </xf>
    <xf numFmtId="10" fontId="60" fillId="29" borderId="15" xfId="78" applyNumberFormat="1" applyFont="1" applyFill="1" applyBorder="1" applyAlignment="1">
      <alignment horizontal="center" vertical="center"/>
    </xf>
    <xf numFmtId="0" fontId="55" fillId="29" borderId="15" xfId="0" applyFont="1" applyFill="1" applyBorder="1" applyAlignment="1">
      <alignment horizontal="right" vertical="center" wrapText="1"/>
    </xf>
    <xf numFmtId="10" fontId="58" fillId="29" borderId="15" xfId="78" applyNumberFormat="1" applyFont="1" applyFill="1" applyBorder="1" applyAlignment="1">
      <alignment horizontal="center" vertical="center"/>
    </xf>
    <xf numFmtId="0" fontId="58" fillId="29" borderId="15" xfId="0" applyFont="1" applyFill="1" applyBorder="1" applyAlignment="1">
      <alignment vertical="center" wrapText="1"/>
    </xf>
    <xf numFmtId="0" fontId="55" fillId="29" borderId="15" xfId="0" applyFont="1" applyFill="1" applyBorder="1" applyAlignment="1">
      <alignment vertical="center"/>
    </xf>
    <xf numFmtId="0" fontId="55" fillId="32" borderId="15" xfId="0" applyFont="1" applyFill="1" applyBorder="1" applyAlignment="1">
      <alignment vertical="center" wrapText="1"/>
    </xf>
    <xf numFmtId="0" fontId="59" fillId="29" borderId="15" xfId="0" applyFont="1" applyFill="1" applyBorder="1" applyAlignment="1">
      <alignment horizontal="right" vertical="center"/>
    </xf>
    <xf numFmtId="9" fontId="59" fillId="29" borderId="15" xfId="0" applyNumberFormat="1" applyFont="1" applyFill="1" applyBorder="1" applyAlignment="1">
      <alignment horizontal="right" vertical="center"/>
    </xf>
    <xf numFmtId="9" fontId="55" fillId="29" borderId="15" xfId="0" applyNumberFormat="1" applyFont="1" applyFill="1" applyBorder="1" applyAlignment="1">
      <alignment horizontal="right" vertical="center"/>
    </xf>
    <xf numFmtId="10" fontId="57" fillId="29" borderId="15" xfId="78" applyNumberFormat="1" applyFont="1" applyFill="1" applyBorder="1" applyAlignment="1">
      <alignment horizontal="center" vertical="center"/>
    </xf>
    <xf numFmtId="0" fontId="57" fillId="29" borderId="15" xfId="0" applyFont="1" applyFill="1" applyBorder="1"/>
    <xf numFmtId="4" fontId="52" fillId="0" borderId="0" xfId="0" applyNumberFormat="1" applyFont="1" applyAlignment="1">
      <alignment horizontal="left" vertical="center" wrapText="1"/>
    </xf>
    <xf numFmtId="164" fontId="0" fillId="0" borderId="0" xfId="82" applyFont="1" applyAlignment="1">
      <alignment horizontal="center" vertical="center"/>
    </xf>
    <xf numFmtId="164" fontId="50" fillId="0" borderId="0" xfId="82" applyFont="1" applyAlignment="1">
      <alignment horizontal="center" vertical="center"/>
    </xf>
    <xf numFmtId="164" fontId="67" fillId="0" borderId="0" xfId="82" applyFont="1" applyAlignment="1">
      <alignment horizontal="center" vertical="center"/>
    </xf>
    <xf numFmtId="164" fontId="15" fillId="0" borderId="0" xfId="82" applyFont="1" applyAlignment="1">
      <alignment horizontal="center" vertical="center"/>
    </xf>
    <xf numFmtId="164" fontId="47" fillId="0" borderId="0" xfId="82" applyFont="1" applyAlignment="1">
      <alignment horizontal="center" vertical="center"/>
    </xf>
    <xf numFmtId="164" fontId="15" fillId="0" borderId="0" xfId="82" applyFont="1" applyAlignment="1">
      <alignment horizontal="left" vertical="center"/>
    </xf>
    <xf numFmtId="164" fontId="4" fillId="0" borderId="0" xfId="82" applyAlignment="1">
      <alignment horizontal="left" vertical="center"/>
    </xf>
    <xf numFmtId="164" fontId="0" fillId="0" borderId="0" xfId="82" applyFont="1" applyAlignment="1">
      <alignment horizontal="left" vertical="center"/>
    </xf>
    <xf numFmtId="164" fontId="52" fillId="0" borderId="0" xfId="82" applyFont="1" applyAlignment="1">
      <alignment horizontal="left" vertical="center" wrapText="1"/>
    </xf>
    <xf numFmtId="164" fontId="52" fillId="0" borderId="0" xfId="82" applyFont="1" applyAlignment="1">
      <alignment horizontal="center" vertical="center" wrapText="1"/>
    </xf>
    <xf numFmtId="164" fontId="0" fillId="0" borderId="0" xfId="82" applyFont="1" applyAlignment="1">
      <alignment horizontal="center" vertical="center" wrapText="1"/>
    </xf>
    <xf numFmtId="0" fontId="15" fillId="0" borderId="35" xfId="0" applyFont="1" applyBorder="1" applyAlignment="1">
      <alignment horizontal="center" vertical="center" wrapText="1"/>
    </xf>
    <xf numFmtId="165" fontId="52" fillId="0" borderId="15" xfId="64" applyFont="1" applyBorder="1" applyAlignment="1">
      <alignment horizontal="left" vertical="center"/>
    </xf>
    <xf numFmtId="165" fontId="51" fillId="28" borderId="15" xfId="64" applyFont="1" applyFill="1" applyBorder="1" applyAlignment="1">
      <alignment horizontal="right" vertical="center"/>
    </xf>
    <xf numFmtId="165" fontId="51" fillId="31" borderId="15" xfId="64" quotePrefix="1" applyFont="1" applyFill="1" applyBorder="1" applyAlignment="1">
      <alignment horizontal="right" vertical="center"/>
    </xf>
    <xf numFmtId="4" fontId="52" fillId="0" borderId="24" xfId="0" applyNumberFormat="1" applyFont="1" applyBorder="1" applyAlignment="1">
      <alignment vertical="center" wrapText="1"/>
    </xf>
    <xf numFmtId="164" fontId="4" fillId="0" borderId="0" xfId="82" applyAlignment="1">
      <alignment horizontal="center" vertical="center" wrapText="1"/>
    </xf>
    <xf numFmtId="164" fontId="4" fillId="0" borderId="24" xfId="82" applyBorder="1" applyAlignment="1">
      <alignment horizontal="left" vertical="center"/>
    </xf>
    <xf numFmtId="164" fontId="4" fillId="0" borderId="0" xfId="82" applyAlignment="1">
      <alignment vertical="center"/>
    </xf>
    <xf numFmtId="164" fontId="4" fillId="0" borderId="0" xfId="82" applyAlignment="1">
      <alignment horizontal="right" vertical="center"/>
    </xf>
    <xf numFmtId="164" fontId="0" fillId="36" borderId="0" xfId="82" applyFont="1" applyFill="1" applyAlignment="1">
      <alignment horizontal="center" vertical="center"/>
    </xf>
    <xf numFmtId="4" fontId="71" fillId="0" borderId="0" xfId="0" applyNumberFormat="1" applyFont="1" applyAlignment="1">
      <alignment vertical="center" wrapText="1"/>
    </xf>
    <xf numFmtId="164" fontId="52" fillId="36" borderId="0" xfId="82" applyFont="1" applyFill="1" applyAlignment="1">
      <alignment horizontal="left" vertical="center" wrapText="1"/>
    </xf>
    <xf numFmtId="164" fontId="4" fillId="36" borderId="0" xfId="82" applyFill="1" applyAlignment="1">
      <alignment horizontal="center" vertical="center"/>
    </xf>
    <xf numFmtId="0" fontId="15" fillId="0" borderId="30" xfId="0" applyFont="1" applyBorder="1" applyAlignment="1">
      <alignment horizontal="center" vertical="center" wrapText="1"/>
    </xf>
    <xf numFmtId="164" fontId="4" fillId="0" borderId="27" xfId="82" applyBorder="1" applyAlignment="1">
      <alignment horizontal="center" vertical="center"/>
    </xf>
    <xf numFmtId="164" fontId="0" fillId="36" borderId="27" xfId="82" applyFont="1" applyFill="1" applyBorder="1" applyAlignment="1">
      <alignment horizontal="center" vertical="center"/>
    </xf>
    <xf numFmtId="164" fontId="52" fillId="0" borderId="27" xfId="82" applyFont="1" applyBorder="1" applyAlignment="1">
      <alignment vertical="center"/>
    </xf>
    <xf numFmtId="164" fontId="4" fillId="0" borderId="27" xfId="82" applyBorder="1" applyAlignment="1">
      <alignment horizontal="center" vertical="center" wrapText="1"/>
    </xf>
    <xf numFmtId="164" fontId="0" fillId="0" borderId="27" xfId="82" applyFont="1" applyBorder="1" applyAlignment="1">
      <alignment horizontal="center" vertical="center"/>
    </xf>
    <xf numFmtId="164" fontId="52" fillId="0" borderId="27" xfId="82" applyFont="1" applyBorder="1" applyAlignment="1">
      <alignment horizontal="left" vertical="center"/>
    </xf>
    <xf numFmtId="4" fontId="52" fillId="0" borderId="24" xfId="0" applyNumberFormat="1" applyFont="1" applyBorder="1" applyAlignment="1">
      <alignment horizontal="left" vertical="center" wrapText="1"/>
    </xf>
    <xf numFmtId="164" fontId="52" fillId="0" borderId="27" xfId="82" applyFont="1" applyBorder="1" applyAlignment="1">
      <alignment horizontal="left" vertical="center" wrapText="1"/>
    </xf>
    <xf numFmtId="164" fontId="52" fillId="36" borderId="27" xfId="82" applyFont="1" applyFill="1" applyBorder="1" applyAlignment="1">
      <alignment horizontal="left" vertical="center" wrapText="1"/>
    </xf>
    <xf numFmtId="164" fontId="52" fillId="36" borderId="27" xfId="82" applyFont="1" applyFill="1" applyBorder="1" applyAlignment="1">
      <alignment vertical="center"/>
    </xf>
    <xf numFmtId="164" fontId="52" fillId="0" borderId="27" xfId="82" applyFont="1" applyBorder="1" applyAlignment="1">
      <alignment horizontal="center" vertical="center" wrapText="1"/>
    </xf>
    <xf numFmtId="164" fontId="52" fillId="0" borderId="24" xfId="82" applyFont="1" applyBorder="1" applyAlignment="1">
      <alignment horizontal="left" vertical="center" wrapText="1"/>
    </xf>
    <xf numFmtId="164" fontId="4" fillId="36" borderId="27" xfId="82" applyFill="1" applyBorder="1" applyAlignment="1">
      <alignment horizontal="center" vertical="center"/>
    </xf>
    <xf numFmtId="164" fontId="4" fillId="0" borderId="24" xfId="82" applyBorder="1" applyAlignment="1">
      <alignment horizontal="center" vertical="center"/>
    </xf>
    <xf numFmtId="164" fontId="0" fillId="0" borderId="27" xfId="82" applyFont="1" applyBorder="1" applyAlignment="1">
      <alignment horizontal="center" vertical="center" wrapText="1"/>
    </xf>
    <xf numFmtId="0" fontId="9" fillId="0" borderId="0" xfId="0" applyFont="1" applyAlignment="1">
      <alignment horizontal="center" vertical="center"/>
    </xf>
    <xf numFmtId="0" fontId="46" fillId="0" borderId="0" xfId="0" applyFont="1" applyAlignment="1">
      <alignment horizontal="center" vertical="center"/>
    </xf>
    <xf numFmtId="0" fontId="50" fillId="0" borderId="0" xfId="0" applyFont="1" applyAlignment="1">
      <alignment horizontal="center" vertical="center"/>
    </xf>
    <xf numFmtId="1" fontId="0" fillId="0" borderId="0" xfId="0" applyNumberFormat="1" applyAlignment="1">
      <alignment horizontal="center" vertical="center"/>
    </xf>
    <xf numFmtId="0" fontId="73" fillId="0" borderId="0" xfId="0" applyFont="1" applyAlignment="1">
      <alignment horizontal="center" vertical="center" wrapText="1"/>
    </xf>
    <xf numFmtId="0" fontId="51" fillId="31" borderId="15" xfId="0" applyFont="1" applyFill="1" applyBorder="1" applyAlignment="1">
      <alignment vertical="center" wrapText="1"/>
    </xf>
    <xf numFmtId="164" fontId="15" fillId="0" borderId="35" xfId="82" applyFont="1" applyBorder="1" applyAlignment="1">
      <alignment horizontal="center" vertical="center" wrapText="1"/>
    </xf>
    <xf numFmtId="164" fontId="15" fillId="0" borderId="35" xfId="82" applyFont="1" applyBorder="1" applyAlignment="1">
      <alignment horizontal="center" vertical="center"/>
    </xf>
    <xf numFmtId="164" fontId="67" fillId="0" borderId="0" xfId="82" applyFont="1" applyAlignment="1">
      <alignment horizontal="left" vertical="center"/>
    </xf>
    <xf numFmtId="164" fontId="47" fillId="0" borderId="0" xfId="82" applyFont="1" applyAlignment="1">
      <alignment horizontal="left" vertical="center"/>
    </xf>
    <xf numFmtId="164" fontId="0" fillId="36" borderId="27" xfId="82" applyFont="1" applyFill="1" applyBorder="1" applyAlignment="1">
      <alignment horizontal="left" vertical="center"/>
    </xf>
    <xf numFmtId="164" fontId="0" fillId="0" borderId="24" xfId="82" applyFont="1" applyBorder="1" applyAlignment="1">
      <alignment horizontal="center" vertical="center"/>
    </xf>
    <xf numFmtId="0" fontId="69" fillId="0" borderId="0" xfId="0" applyFont="1" applyAlignment="1">
      <alignment vertical="center"/>
    </xf>
    <xf numFmtId="0" fontId="0" fillId="0" borderId="24" xfId="0" applyBorder="1" applyAlignment="1">
      <alignment vertical="center"/>
    </xf>
    <xf numFmtId="164" fontId="4" fillId="36" borderId="0" xfId="82" applyFill="1" applyAlignment="1">
      <alignment horizontal="left" vertical="center"/>
    </xf>
    <xf numFmtId="164" fontId="0" fillId="0" borderId="24" xfId="82" quotePrefix="1" applyFont="1" applyBorder="1" applyAlignment="1">
      <alignment horizontal="center" vertical="center"/>
    </xf>
    <xf numFmtId="0" fontId="15" fillId="0" borderId="24" xfId="0" applyFont="1" applyBorder="1" applyAlignment="1">
      <alignment horizontal="center" vertical="center"/>
    </xf>
    <xf numFmtId="164" fontId="49" fillId="0" borderId="24" xfId="82" applyFont="1" applyBorder="1" applyAlignment="1">
      <alignment horizontal="center" vertical="center"/>
    </xf>
    <xf numFmtId="0" fontId="4" fillId="0" borderId="24" xfId="0" applyFont="1" applyBorder="1" applyAlignment="1">
      <alignment vertical="center"/>
    </xf>
    <xf numFmtId="43" fontId="50" fillId="0" borderId="0" xfId="0" applyNumberFormat="1" applyFont="1" applyAlignment="1">
      <alignment vertical="center"/>
    </xf>
    <xf numFmtId="164" fontId="4" fillId="36" borderId="27" xfId="82" applyFill="1" applyBorder="1" applyAlignment="1">
      <alignment horizontal="left" vertical="center"/>
    </xf>
    <xf numFmtId="164" fontId="4" fillId="0" borderId="27" xfId="82" applyBorder="1" applyAlignment="1">
      <alignment horizontal="left" vertical="center"/>
    </xf>
    <xf numFmtId="164" fontId="15" fillId="0" borderId="27" xfId="82" applyFont="1" applyBorder="1" applyAlignment="1">
      <alignment horizontal="left" vertical="center"/>
    </xf>
    <xf numFmtId="164" fontId="9" fillId="0" borderId="24" xfId="82" applyFont="1" applyBorder="1" applyAlignment="1">
      <alignment horizontal="left" vertical="center"/>
    </xf>
    <xf numFmtId="0" fontId="15" fillId="0" borderId="0" xfId="0" applyFont="1" applyAlignment="1">
      <alignment vertical="center"/>
    </xf>
    <xf numFmtId="43" fontId="50" fillId="0" borderId="0" xfId="0" applyNumberFormat="1" applyFont="1" applyAlignment="1">
      <alignment horizontal="center" vertical="center"/>
    </xf>
    <xf numFmtId="164" fontId="15" fillId="0" borderId="24" xfId="82" applyFont="1" applyBorder="1" applyAlignment="1">
      <alignment horizontal="center" vertical="center"/>
    </xf>
    <xf numFmtId="164" fontId="0" fillId="0" borderId="27" xfId="82" applyFont="1" applyBorder="1" applyAlignment="1">
      <alignment horizontal="left" vertical="center"/>
    </xf>
    <xf numFmtId="43" fontId="69" fillId="0" borderId="0" xfId="0" applyNumberFormat="1" applyFont="1" applyAlignment="1">
      <alignment horizontal="center" vertical="center"/>
    </xf>
    <xf numFmtId="0" fontId="69" fillId="0" borderId="0" xfId="0" applyFont="1" applyAlignment="1">
      <alignment horizontal="center" vertical="center"/>
    </xf>
    <xf numFmtId="164" fontId="47" fillId="0" borderId="24" xfId="82" applyFont="1" applyBorder="1" applyAlignment="1">
      <alignment horizontal="center" vertical="center"/>
    </xf>
    <xf numFmtId="0" fontId="72" fillId="0" borderId="0" xfId="0" applyFont="1" applyAlignment="1">
      <alignment horizontal="left" vertical="center"/>
    </xf>
    <xf numFmtId="164" fontId="68" fillId="0" borderId="0" xfId="82" applyFont="1" applyAlignment="1">
      <alignment horizontal="left" vertical="center"/>
    </xf>
    <xf numFmtId="164" fontId="68" fillId="0" borderId="0" xfId="82" applyFont="1" applyAlignment="1">
      <alignment horizontal="center" vertical="center"/>
    </xf>
    <xf numFmtId="164" fontId="49" fillId="0" borderId="0" xfId="82" applyFont="1" applyAlignment="1">
      <alignment horizontal="center" vertical="center"/>
    </xf>
    <xf numFmtId="164" fontId="0" fillId="36" borderId="0" xfId="82" applyFont="1" applyFill="1" applyAlignment="1">
      <alignment horizontal="left" vertical="center"/>
    </xf>
    <xf numFmtId="9" fontId="0" fillId="0" borderId="0" xfId="0" applyNumberFormat="1" applyAlignment="1">
      <alignment vertical="center"/>
    </xf>
    <xf numFmtId="0" fontId="4" fillId="0" borderId="0" xfId="0" applyFont="1" applyAlignment="1">
      <alignment vertical="center"/>
    </xf>
    <xf numFmtId="164" fontId="52" fillId="0" borderId="0" xfId="82" applyFont="1" applyAlignment="1">
      <alignment vertical="center" wrapText="1"/>
    </xf>
    <xf numFmtId="0" fontId="4" fillId="0" borderId="0" xfId="0" applyFont="1"/>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15" fillId="0" borderId="35" xfId="0" applyFont="1" applyBorder="1" applyAlignment="1">
      <alignment horizontal="center" vertical="center"/>
    </xf>
    <xf numFmtId="1" fontId="15" fillId="0" borderId="30" xfId="0" applyNumberFormat="1" applyFont="1" applyBorder="1" applyAlignment="1">
      <alignment horizontal="center" vertical="center"/>
    </xf>
    <xf numFmtId="0" fontId="4" fillId="0" borderId="27" xfId="0" applyFont="1" applyBorder="1" applyAlignment="1">
      <alignment horizontal="center" vertical="center"/>
    </xf>
    <xf numFmtId="1" fontId="4" fillId="0" borderId="0" xfId="0" applyNumberFormat="1" applyFont="1" applyAlignment="1">
      <alignment horizontal="center" vertical="center"/>
    </xf>
    <xf numFmtId="0" fontId="4" fillId="0" borderId="0" xfId="0" applyFont="1" applyAlignment="1">
      <alignment horizontal="left" wrapText="1"/>
    </xf>
    <xf numFmtId="165" fontId="4" fillId="0" borderId="0" xfId="64" applyFont="1"/>
    <xf numFmtId="1" fontId="4" fillId="0" borderId="15" xfId="0" applyNumberFormat="1" applyFont="1" applyBorder="1" applyAlignment="1">
      <alignment horizontal="center" vertical="center"/>
    </xf>
    <xf numFmtId="0" fontId="74" fillId="0" borderId="15" xfId="0" applyFont="1" applyBorder="1" applyAlignment="1">
      <alignment horizontal="left" vertical="center" wrapText="1"/>
    </xf>
    <xf numFmtId="0" fontId="74" fillId="0" borderId="15" xfId="0" applyFont="1" applyBorder="1" applyAlignment="1">
      <alignment horizontal="center" vertical="center" wrapText="1"/>
    </xf>
    <xf numFmtId="164" fontId="4" fillId="0" borderId="15" xfId="82" applyBorder="1" applyAlignment="1">
      <alignment horizontal="center" vertical="center" wrapText="1"/>
    </xf>
    <xf numFmtId="165" fontId="4" fillId="0" borderId="24" xfId="64" applyFont="1" applyBorder="1" applyAlignment="1">
      <alignment horizontal="center" vertical="center"/>
    </xf>
    <xf numFmtId="165" fontId="74" fillId="0" borderId="15" xfId="64" applyFont="1" applyBorder="1" applyAlignment="1">
      <alignment horizontal="center" vertical="center" wrapText="1"/>
    </xf>
    <xf numFmtId="165" fontId="51" fillId="31" borderId="15" xfId="64" applyFont="1" applyFill="1" applyBorder="1" applyAlignment="1">
      <alignment vertical="center" wrapText="1"/>
    </xf>
    <xf numFmtId="164" fontId="51" fillId="31" borderId="15" xfId="82" applyFont="1" applyFill="1" applyBorder="1" applyAlignment="1">
      <alignment vertical="center" wrapText="1"/>
    </xf>
    <xf numFmtId="170" fontId="0" fillId="0" borderId="0" xfId="82" applyNumberFormat="1" applyFont="1"/>
    <xf numFmtId="165" fontId="4" fillId="0" borderId="17" xfId="64" applyFont="1" applyBorder="1" applyAlignment="1">
      <alignment horizontal="center" vertical="center" wrapText="1"/>
    </xf>
    <xf numFmtId="0" fontId="4" fillId="0" borderId="0" xfId="0" applyFont="1" applyAlignment="1">
      <alignment horizontal="right" vertical="center" wrapText="1"/>
    </xf>
    <xf numFmtId="0" fontId="4" fillId="0" borderId="27" xfId="0" applyFont="1" applyBorder="1" applyAlignment="1">
      <alignment horizontal="right" vertical="center" wrapText="1"/>
    </xf>
    <xf numFmtId="0" fontId="9" fillId="0" borderId="27" xfId="0" applyFont="1" applyBorder="1" applyAlignment="1">
      <alignment horizontal="right" vertical="center" wrapText="1"/>
    </xf>
    <xf numFmtId="0" fontId="4" fillId="0" borderId="27" xfId="0" applyFont="1" applyBorder="1" applyAlignment="1">
      <alignment horizontal="left" vertical="center" wrapText="1"/>
    </xf>
    <xf numFmtId="4" fontId="75" fillId="0" borderId="27" xfId="0" applyNumberFormat="1" applyFont="1" applyBorder="1" applyAlignment="1">
      <alignment horizontal="left" vertical="center" wrapText="1"/>
    </xf>
    <xf numFmtId="0" fontId="4" fillId="0" borderId="27" xfId="0" applyFont="1" applyBorder="1" applyAlignment="1">
      <alignment horizontal="center" vertical="center" wrapText="1"/>
    </xf>
    <xf numFmtId="0" fontId="15" fillId="0" borderId="27" xfId="0" applyFont="1" applyBorder="1" applyAlignment="1">
      <alignment horizontal="right" vertical="center" wrapText="1"/>
    </xf>
    <xf numFmtId="0" fontId="46" fillId="0" borderId="27" xfId="0" applyFont="1" applyBorder="1" applyAlignment="1">
      <alignment horizontal="right" vertical="center" wrapText="1"/>
    </xf>
    <xf numFmtId="0" fontId="49" fillId="0" borderId="27" xfId="0" applyFont="1" applyBorder="1" applyAlignment="1">
      <alignment horizontal="right" vertical="center" wrapText="1"/>
    </xf>
    <xf numFmtId="0" fontId="4" fillId="0" borderId="52" xfId="0" applyFont="1" applyBorder="1" applyAlignment="1">
      <alignment horizontal="right" vertical="center" wrapText="1"/>
    </xf>
    <xf numFmtId="0" fontId="18" fillId="0" borderId="22" xfId="0" applyFont="1" applyBorder="1" applyAlignment="1">
      <alignment horizontal="center" vertical="center"/>
    </xf>
    <xf numFmtId="164" fontId="23" fillId="0" borderId="52" xfId="82" applyFont="1" applyBorder="1" applyAlignment="1">
      <alignment horizontal="center" vertical="center"/>
    </xf>
    <xf numFmtId="164" fontId="23" fillId="0" borderId="22" xfId="82" applyFont="1" applyBorder="1" applyAlignment="1">
      <alignment horizontal="center" vertical="center"/>
    </xf>
    <xf numFmtId="164" fontId="23" fillId="0" borderId="51" xfId="82" applyFont="1" applyBorder="1" applyAlignment="1">
      <alignment horizontal="center" vertical="center"/>
    </xf>
    <xf numFmtId="164" fontId="70" fillId="0" borderId="22" xfId="82" applyFont="1" applyBorder="1" applyAlignment="1">
      <alignment horizontal="center" vertical="center"/>
    </xf>
    <xf numFmtId="0" fontId="51" fillId="31" borderId="16" xfId="0" applyFont="1" applyFill="1" applyBorder="1" applyAlignment="1">
      <alignment horizontal="center"/>
    </xf>
    <xf numFmtId="0" fontId="24" fillId="0" borderId="0" xfId="0" applyFont="1" applyAlignment="1">
      <alignment horizontal="center"/>
    </xf>
    <xf numFmtId="1" fontId="24" fillId="0" borderId="0" xfId="0" applyNumberFormat="1" applyFont="1"/>
    <xf numFmtId="0" fontId="24" fillId="0" borderId="0" xfId="0" applyFont="1"/>
    <xf numFmtId="0" fontId="24" fillId="0" borderId="0" xfId="0" applyFont="1" applyAlignment="1">
      <alignment horizontal="left" wrapText="1"/>
    </xf>
    <xf numFmtId="0" fontId="24" fillId="0" borderId="0" xfId="0" applyFont="1" applyAlignment="1">
      <alignment horizontal="center" vertical="center"/>
    </xf>
    <xf numFmtId="164" fontId="24" fillId="0" borderId="0" xfId="82" applyFont="1" applyAlignment="1">
      <alignment horizontal="center" vertical="center"/>
    </xf>
    <xf numFmtId="165" fontId="24" fillId="0" borderId="0" xfId="64" applyFont="1" applyAlignment="1">
      <alignment horizontal="center" vertical="center"/>
    </xf>
    <xf numFmtId="165" fontId="24" fillId="0" borderId="0" xfId="64" applyFont="1" applyAlignment="1">
      <alignment vertical="center"/>
    </xf>
    <xf numFmtId="0" fontId="24" fillId="31" borderId="0" xfId="0" applyFont="1" applyFill="1"/>
    <xf numFmtId="0" fontId="24" fillId="34" borderId="0" xfId="0" applyFont="1" applyFill="1"/>
    <xf numFmtId="0" fontId="74" fillId="0" borderId="0" xfId="0" applyFont="1" applyAlignment="1">
      <alignment horizontal="left" vertical="center" wrapText="1"/>
    </xf>
    <xf numFmtId="0" fontId="74" fillId="0" borderId="0" xfId="0" applyFont="1" applyAlignment="1">
      <alignment horizontal="center" vertical="center" wrapText="1"/>
    </xf>
    <xf numFmtId="165" fontId="74" fillId="0" borderId="0" xfId="64" applyFont="1" applyAlignment="1">
      <alignment horizontal="center" vertical="center" wrapText="1"/>
    </xf>
    <xf numFmtId="0" fontId="51" fillId="31" borderId="15" xfId="0" applyFont="1" applyFill="1" applyBorder="1" applyAlignment="1">
      <alignment horizontal="center" vertical="center" wrapText="1"/>
    </xf>
    <xf numFmtId="0" fontId="53" fillId="0" borderId="0" xfId="0" applyFont="1" applyAlignment="1">
      <alignment horizontal="center" wrapText="1"/>
    </xf>
    <xf numFmtId="164" fontId="0" fillId="0" borderId="0" xfId="82" applyFont="1" applyAlignment="1">
      <alignment horizontal="right" vertical="center"/>
    </xf>
    <xf numFmtId="164" fontId="15" fillId="0" borderId="32" xfId="82" applyFont="1" applyBorder="1" applyAlignment="1">
      <alignment horizontal="right" vertical="center"/>
    </xf>
    <xf numFmtId="164" fontId="23" fillId="0" borderId="22" xfId="82" applyFont="1" applyBorder="1" applyAlignment="1">
      <alignment horizontal="right" vertical="center"/>
    </xf>
    <xf numFmtId="164" fontId="15" fillId="0" borderId="0" xfId="82" applyFont="1" applyAlignment="1">
      <alignment horizontal="right" vertical="center"/>
    </xf>
    <xf numFmtId="164" fontId="67" fillId="0" borderId="0" xfId="82" applyFont="1" applyAlignment="1">
      <alignment horizontal="right" vertical="center"/>
    </xf>
    <xf numFmtId="164" fontId="50" fillId="0" borderId="0" xfId="82" applyFont="1" applyAlignment="1">
      <alignment horizontal="right" vertical="center"/>
    </xf>
    <xf numFmtId="164" fontId="47" fillId="0" borderId="0" xfId="82" applyFont="1" applyAlignment="1">
      <alignment horizontal="right" vertical="center"/>
    </xf>
    <xf numFmtId="0" fontId="0" fillId="0" borderId="0" xfId="0" applyAlignment="1">
      <alignment horizontal="right" vertical="center"/>
    </xf>
    <xf numFmtId="0" fontId="49" fillId="0" borderId="0" xfId="0" applyFont="1" applyAlignment="1">
      <alignment horizontal="center" vertical="center"/>
    </xf>
    <xf numFmtId="165" fontId="51" fillId="31" borderId="15" xfId="64" applyFont="1" applyFill="1" applyBorder="1" applyAlignment="1">
      <alignment horizontal="right" vertical="center"/>
    </xf>
    <xf numFmtId="165" fontId="52" fillId="0" borderId="17" xfId="64" applyFont="1" applyBorder="1" applyAlignment="1">
      <alignment horizontal="right" vertical="center"/>
    </xf>
    <xf numFmtId="165" fontId="51" fillId="31" borderId="17" xfId="64" quotePrefix="1" applyFont="1" applyFill="1" applyBorder="1" applyAlignment="1">
      <alignment horizontal="right" vertical="center"/>
    </xf>
    <xf numFmtId="165" fontId="51" fillId="31" borderId="17" xfId="64" applyFont="1" applyFill="1" applyBorder="1" applyAlignment="1">
      <alignment horizontal="right" vertical="center"/>
    </xf>
    <xf numFmtId="0" fontId="24" fillId="0" borderId="17" xfId="0" applyFont="1" applyBorder="1"/>
    <xf numFmtId="0" fontId="24" fillId="0" borderId="27" xfId="0" applyFont="1" applyBorder="1" applyAlignment="1">
      <alignment horizontal="center"/>
    </xf>
    <xf numFmtId="165" fontId="24" fillId="0" borderId="24" xfId="64" applyFont="1" applyBorder="1" applyAlignment="1">
      <alignment vertical="center"/>
    </xf>
    <xf numFmtId="0" fontId="24" fillId="0" borderId="28" xfId="0" applyFont="1" applyBorder="1" applyAlignment="1">
      <alignment horizontal="center"/>
    </xf>
    <xf numFmtId="0" fontId="24" fillId="0" borderId="25" xfId="0" applyFont="1" applyBorder="1" applyAlignment="1">
      <alignment horizontal="center" vertical="center"/>
    </xf>
    <xf numFmtId="0" fontId="53" fillId="0" borderId="25" xfId="0" applyFont="1" applyBorder="1" applyAlignment="1">
      <alignment horizontal="center" wrapText="1"/>
    </xf>
    <xf numFmtId="164" fontId="24" fillId="0" borderId="25" xfId="82" applyFont="1" applyBorder="1" applyAlignment="1">
      <alignment horizontal="center" vertical="center"/>
    </xf>
    <xf numFmtId="165" fontId="24" fillId="0" borderId="25" xfId="64" applyFont="1" applyBorder="1" applyAlignment="1">
      <alignment horizontal="center" vertical="center"/>
    </xf>
    <xf numFmtId="165" fontId="24" fillId="0" borderId="25" xfId="64" applyFont="1" applyBorder="1" applyAlignment="1">
      <alignment vertical="center"/>
    </xf>
    <xf numFmtId="165" fontId="24" fillId="0" borderId="26" xfId="64" applyFont="1" applyBorder="1" applyAlignment="1">
      <alignment vertical="center"/>
    </xf>
    <xf numFmtId="164" fontId="20" fillId="0" borderId="53" xfId="82" applyFont="1" applyBorder="1" applyAlignment="1">
      <alignment horizontal="center"/>
    </xf>
    <xf numFmtId="165" fontId="20" fillId="0" borderId="54" xfId="64" applyFont="1" applyBorder="1" applyAlignment="1">
      <alignment horizontal="center"/>
    </xf>
    <xf numFmtId="165" fontId="20" fillId="0" borderId="23" xfId="64" applyFont="1" applyBorder="1" applyAlignment="1">
      <alignment horizontal="center"/>
    </xf>
    <xf numFmtId="165" fontId="20" fillId="0" borderId="49" xfId="64" applyFont="1" applyBorder="1"/>
    <xf numFmtId="165" fontId="20" fillId="0" borderId="55" xfId="64" applyFont="1" applyBorder="1"/>
    <xf numFmtId="165" fontId="21" fillId="0" borderId="35" xfId="64" applyFont="1" applyBorder="1"/>
    <xf numFmtId="10" fontId="21" fillId="0" borderId="31" xfId="77" applyNumberFormat="1" applyFont="1" applyBorder="1" applyAlignment="1">
      <alignment horizontal="center"/>
    </xf>
    <xf numFmtId="10" fontId="21" fillId="31" borderId="35" xfId="77" applyNumberFormat="1" applyFont="1" applyFill="1" applyBorder="1" applyAlignment="1">
      <alignment horizontal="center"/>
    </xf>
    <xf numFmtId="165" fontId="20" fillId="0" borderId="35" xfId="64" applyFont="1" applyBorder="1" applyAlignment="1">
      <alignment horizontal="center"/>
    </xf>
    <xf numFmtId="165" fontId="21" fillId="0" borderId="52" xfId="64" applyFont="1" applyBorder="1" applyAlignment="1">
      <alignment horizontal="center"/>
    </xf>
    <xf numFmtId="10" fontId="21" fillId="31" borderId="30" xfId="77" applyNumberFormat="1" applyFont="1" applyFill="1" applyBorder="1" applyAlignment="1">
      <alignment horizontal="center"/>
    </xf>
    <xf numFmtId="165" fontId="20" fillId="0" borderId="30" xfId="64" applyFont="1" applyBorder="1" applyAlignment="1">
      <alignment horizontal="center"/>
    </xf>
    <xf numFmtId="10" fontId="20" fillId="28" borderId="15" xfId="0" applyNumberFormat="1" applyFont="1" applyFill="1" applyBorder="1" applyAlignment="1">
      <alignment horizontal="center"/>
    </xf>
    <xf numFmtId="10" fontId="20" fillId="28" borderId="17" xfId="0" applyNumberFormat="1" applyFont="1" applyFill="1" applyBorder="1" applyAlignment="1">
      <alignment horizontal="center"/>
    </xf>
    <xf numFmtId="0" fontId="4" fillId="0" borderId="28" xfId="0" applyFont="1" applyBorder="1" applyAlignment="1">
      <alignment horizontal="center"/>
    </xf>
    <xf numFmtId="165" fontId="51" fillId="28" borderId="15" xfId="64" applyFont="1" applyFill="1" applyBorder="1" applyAlignment="1">
      <alignment horizontal="right" vertical="center" wrapText="1"/>
    </xf>
    <xf numFmtId="165" fontId="51" fillId="31" borderId="15" xfId="64" applyFont="1" applyFill="1" applyBorder="1" applyAlignment="1">
      <alignment horizontal="left" vertical="center" wrapText="1"/>
    </xf>
    <xf numFmtId="164" fontId="4" fillId="0" borderId="24" xfId="82" applyBorder="1" applyAlignment="1">
      <alignment horizontal="center" vertical="center" wrapText="1"/>
    </xf>
    <xf numFmtId="164" fontId="15" fillId="0" borderId="0" xfId="82" applyFont="1" applyAlignment="1">
      <alignment horizontal="left" vertical="center" wrapText="1"/>
    </xf>
    <xf numFmtId="164" fontId="15" fillId="0" borderId="24" xfId="82" applyFont="1" applyBorder="1" applyAlignment="1">
      <alignment horizontal="left" vertical="center" wrapText="1"/>
    </xf>
    <xf numFmtId="164" fontId="15" fillId="0" borderId="32" xfId="82" applyFont="1" applyBorder="1" applyAlignment="1">
      <alignment horizontal="center" vertical="center"/>
    </xf>
    <xf numFmtId="0" fontId="4" fillId="0" borderId="0" xfId="74" applyFont="1" applyAlignment="1">
      <alignment horizontal="left" vertical="center" wrapText="1"/>
    </xf>
    <xf numFmtId="0" fontId="4" fillId="0" borderId="0" xfId="0" applyFont="1" applyAlignment="1">
      <alignment horizontal="center" vertical="center" wrapText="1"/>
    </xf>
    <xf numFmtId="165" fontId="4" fillId="0" borderId="0" xfId="64" applyFont="1" applyAlignment="1">
      <alignment horizontal="center" vertical="center" wrapText="1"/>
    </xf>
    <xf numFmtId="165" fontId="4" fillId="0" borderId="24" xfId="64" applyFont="1" applyBorder="1" applyAlignment="1">
      <alignment horizontal="center" vertical="center" wrapText="1"/>
    </xf>
    <xf numFmtId="0" fontId="77" fillId="0" borderId="0" xfId="0" applyFont="1" applyAlignment="1">
      <alignment horizontal="center" vertical="center"/>
    </xf>
    <xf numFmtId="9" fontId="4" fillId="0" borderId="0" xfId="78"/>
    <xf numFmtId="0" fontId="0" fillId="0" borderId="27" xfId="0" applyBorder="1" applyAlignment="1">
      <alignment vertical="center"/>
    </xf>
    <xf numFmtId="9" fontId="0" fillId="0" borderId="0" xfId="78" applyFont="1" applyAlignment="1">
      <alignment horizontal="center" vertical="center"/>
    </xf>
    <xf numFmtId="0" fontId="68" fillId="0" borderId="27" xfId="0" applyFont="1" applyBorder="1" applyAlignment="1">
      <alignment horizontal="left" vertical="center"/>
    </xf>
    <xf numFmtId="1" fontId="49" fillId="0" borderId="0" xfId="0" applyNumberFormat="1" applyFont="1" applyAlignment="1">
      <alignment horizontal="center" vertical="center"/>
    </xf>
    <xf numFmtId="0" fontId="49" fillId="0" borderId="0" xfId="74" applyFont="1" applyAlignment="1">
      <alignment horizontal="left" vertical="center" wrapText="1"/>
    </xf>
    <xf numFmtId="0" fontId="49" fillId="0" borderId="0" xfId="0" applyFont="1" applyAlignment="1">
      <alignment horizontal="center" vertical="center" wrapText="1"/>
    </xf>
    <xf numFmtId="164" fontId="49" fillId="0" borderId="0" xfId="82" applyFont="1" applyAlignment="1">
      <alignment horizontal="center" vertical="center" wrapText="1"/>
    </xf>
    <xf numFmtId="165" fontId="49" fillId="0" borderId="0" xfId="64" applyFont="1" applyAlignment="1">
      <alignment horizontal="center" vertical="center" wrapText="1"/>
    </xf>
    <xf numFmtId="165" fontId="49" fillId="0" borderId="24" xfId="64" applyFont="1" applyBorder="1" applyAlignment="1">
      <alignment horizontal="center" vertical="center" wrapText="1"/>
    </xf>
    <xf numFmtId="0" fontId="49" fillId="0" borderId="0" xfId="0" applyFont="1"/>
    <xf numFmtId="164" fontId="15" fillId="0" borderId="24" xfId="82" applyFont="1" applyBorder="1" applyAlignment="1">
      <alignment horizontal="left" vertical="center"/>
    </xf>
    <xf numFmtId="0" fontId="49" fillId="0" borderId="0" xfId="0" applyFont="1" applyAlignment="1">
      <alignment horizontal="left" wrapText="1"/>
    </xf>
    <xf numFmtId="165" fontId="49" fillId="0" borderId="0" xfId="64" applyFont="1"/>
    <xf numFmtId="165" fontId="49" fillId="0" borderId="24" xfId="64" applyFont="1" applyBorder="1" applyAlignment="1">
      <alignment horizontal="center" vertical="center"/>
    </xf>
    <xf numFmtId="0" fontId="49" fillId="0" borderId="0" xfId="0" applyFont="1" applyAlignment="1">
      <alignment horizontal="left" vertical="center" wrapText="1"/>
    </xf>
    <xf numFmtId="9" fontId="49" fillId="0" borderId="0" xfId="78" applyFont="1"/>
    <xf numFmtId="0" fontId="68" fillId="0" borderId="0" xfId="0" applyFont="1"/>
    <xf numFmtId="0" fontId="81" fillId="0" borderId="27" xfId="0" applyFont="1" applyBorder="1" applyAlignment="1">
      <alignment horizontal="left" vertical="center"/>
    </xf>
    <xf numFmtId="0" fontId="68" fillId="0" borderId="0" xfId="0" applyFont="1" applyAlignment="1">
      <alignment horizontal="center" vertical="center"/>
    </xf>
    <xf numFmtId="1" fontId="68" fillId="0" borderId="0" xfId="0" applyNumberFormat="1" applyFont="1" applyAlignment="1">
      <alignment horizontal="center" vertical="center"/>
    </xf>
    <xf numFmtId="0" fontId="68" fillId="0" borderId="0" xfId="0" applyFont="1" applyAlignment="1">
      <alignment horizontal="left" wrapText="1"/>
    </xf>
    <xf numFmtId="165" fontId="68" fillId="0" borderId="0" xfId="64" applyFont="1"/>
    <xf numFmtId="165" fontId="68" fillId="0" borderId="24" xfId="64" applyFont="1" applyBorder="1" applyAlignment="1">
      <alignment horizontal="center" vertical="center"/>
    </xf>
    <xf numFmtId="0" fontId="81" fillId="0" borderId="23" xfId="0" applyFont="1" applyBorder="1" applyAlignment="1">
      <alignment horizontal="left" vertical="center"/>
    </xf>
    <xf numFmtId="0" fontId="82" fillId="0" borderId="0" xfId="0" applyFont="1" applyAlignment="1">
      <alignment horizontal="center"/>
    </xf>
    <xf numFmtId="0" fontId="82" fillId="0" borderId="0" xfId="0" applyFont="1" applyAlignment="1">
      <alignment vertical="justify" wrapText="1"/>
    </xf>
    <xf numFmtId="43" fontId="82" fillId="0" borderId="0" xfId="82" applyNumberFormat="1" applyFont="1" applyAlignment="1">
      <alignment horizontal="center"/>
    </xf>
    <xf numFmtId="43" fontId="82" fillId="0" borderId="0" xfId="82" applyNumberFormat="1" applyFont="1"/>
    <xf numFmtId="165" fontId="49" fillId="0" borderId="49" xfId="64" applyFont="1" applyBorder="1" applyAlignment="1">
      <alignment horizontal="center" vertical="center"/>
    </xf>
    <xf numFmtId="0" fontId="53" fillId="0" borderId="24" xfId="0" applyFont="1" applyBorder="1"/>
    <xf numFmtId="0" fontId="53" fillId="0" borderId="26" xfId="0" applyFont="1" applyBorder="1"/>
    <xf numFmtId="0" fontId="15" fillId="0" borderId="0" xfId="0" applyFont="1"/>
    <xf numFmtId="164" fontId="85" fillId="0" borderId="0" xfId="82" applyFont="1" applyAlignment="1">
      <alignment horizontal="right" vertical="center"/>
    </xf>
    <xf numFmtId="164" fontId="49" fillId="0" borderId="0" xfId="82" applyFont="1" applyAlignment="1">
      <alignment horizontal="left" vertical="center"/>
    </xf>
    <xf numFmtId="164" fontId="49" fillId="0" borderId="0" xfId="82" applyFont="1" applyAlignment="1">
      <alignment horizontal="right" vertical="center"/>
    </xf>
    <xf numFmtId="164" fontId="49" fillId="0" borderId="27" xfId="82" applyFont="1" applyBorder="1" applyAlignment="1">
      <alignment horizontal="left" vertical="center"/>
    </xf>
    <xf numFmtId="164" fontId="67" fillId="0" borderId="27" xfId="82" applyFont="1" applyBorder="1" applyAlignment="1">
      <alignment horizontal="left" vertical="center"/>
    </xf>
    <xf numFmtId="164" fontId="67" fillId="0" borderId="24" xfId="82" applyFont="1" applyBorder="1" applyAlignment="1">
      <alignment horizontal="left" vertical="center"/>
    </xf>
    <xf numFmtId="0" fontId="4" fillId="38" borderId="27" xfId="0" applyFont="1" applyFill="1" applyBorder="1" applyAlignment="1">
      <alignment horizontal="right" vertical="center" wrapText="1"/>
    </xf>
    <xf numFmtId="0" fontId="0" fillId="38" borderId="0" xfId="0" applyFill="1" applyAlignment="1">
      <alignment horizontal="center" vertical="center"/>
    </xf>
    <xf numFmtId="164" fontId="4" fillId="38" borderId="0" xfId="82" applyFill="1" applyAlignment="1">
      <alignment horizontal="right" vertical="center"/>
    </xf>
    <xf numFmtId="164" fontId="0" fillId="38" borderId="0" xfId="82" applyFont="1" applyFill="1" applyAlignment="1">
      <alignment horizontal="left" vertical="center"/>
    </xf>
    <xf numFmtId="0" fontId="69" fillId="38" borderId="0" xfId="0" applyFont="1" applyFill="1" applyAlignment="1">
      <alignment vertical="center"/>
    </xf>
    <xf numFmtId="0" fontId="0" fillId="38" borderId="24" xfId="0" applyFill="1" applyBorder="1" applyAlignment="1">
      <alignment vertical="center"/>
    </xf>
    <xf numFmtId="165" fontId="0" fillId="0" borderId="0" xfId="64" applyFont="1" applyAlignment="1">
      <alignment vertical="center"/>
    </xf>
    <xf numFmtId="164" fontId="4" fillId="0" borderId="24" xfId="82" quotePrefix="1" applyBorder="1" applyAlignment="1">
      <alignment horizontal="center" vertical="center"/>
    </xf>
    <xf numFmtId="164" fontId="15" fillId="0" borderId="27" xfId="82" applyFont="1" applyBorder="1" applyAlignment="1">
      <alignment horizontal="left" vertical="center" wrapText="1"/>
    </xf>
    <xf numFmtId="164" fontId="68" fillId="0" borderId="27" xfId="82" applyFont="1" applyBorder="1" applyAlignment="1">
      <alignment horizontal="left" vertical="center" wrapText="1"/>
    </xf>
    <xf numFmtId="164" fontId="68" fillId="0" borderId="0" xfId="82" applyFont="1" applyAlignment="1">
      <alignment horizontal="left" vertical="center" wrapText="1"/>
    </xf>
    <xf numFmtId="164" fontId="68" fillId="0" borderId="24" xfId="82" applyFont="1" applyBorder="1" applyAlignment="1">
      <alignment horizontal="left" vertical="center" wrapText="1"/>
    </xf>
    <xf numFmtId="0" fontId="4" fillId="0" borderId="0" xfId="0" applyFont="1" applyAlignment="1">
      <alignment horizontal="left" vertical="center" wrapText="1"/>
    </xf>
    <xf numFmtId="0" fontId="49" fillId="0" borderId="0" xfId="0" applyFont="1" applyAlignment="1">
      <alignment vertical="center"/>
    </xf>
    <xf numFmtId="1" fontId="52" fillId="29" borderId="15" xfId="0" applyNumberFormat="1" applyFont="1" applyFill="1" applyBorder="1" applyAlignment="1">
      <alignment horizontal="center" vertical="center" wrapText="1"/>
    </xf>
    <xf numFmtId="0" fontId="52" fillId="0" borderId="15" xfId="0" applyFont="1" applyBorder="1" applyAlignment="1">
      <alignment horizontal="left" vertical="center" wrapText="1"/>
    </xf>
    <xf numFmtId="0" fontId="52" fillId="0" borderId="15" xfId="0" applyFont="1" applyBorder="1" applyAlignment="1">
      <alignment horizontal="center" vertical="center" wrapText="1"/>
    </xf>
    <xf numFmtId="164" fontId="52" fillId="0" borderId="15" xfId="82" applyFont="1" applyBorder="1" applyAlignment="1">
      <alignment horizontal="center" vertical="center"/>
    </xf>
    <xf numFmtId="165" fontId="52" fillId="0" borderId="15" xfId="64" applyFont="1" applyBorder="1" applyAlignment="1">
      <alignment horizontal="left" vertical="center" wrapText="1"/>
    </xf>
    <xf numFmtId="165" fontId="52" fillId="0" borderId="15" xfId="64" applyFont="1" applyBorder="1" applyAlignment="1">
      <alignment horizontal="center" vertical="center" wrapText="1"/>
    </xf>
    <xf numFmtId="165" fontId="51" fillId="31" borderId="18" xfId="64" applyFont="1" applyFill="1" applyBorder="1" applyAlignment="1">
      <alignment horizontal="center" vertical="center" wrapText="1"/>
    </xf>
    <xf numFmtId="165" fontId="51" fillId="31" borderId="29" xfId="64" applyFont="1" applyFill="1" applyBorder="1" applyAlignment="1">
      <alignment horizontal="center" vertical="center"/>
    </xf>
    <xf numFmtId="1" fontId="51" fillId="31" borderId="18" xfId="64" applyNumberFormat="1" applyFont="1" applyFill="1" applyBorder="1" applyAlignment="1">
      <alignment horizontal="center" vertical="center" wrapText="1"/>
    </xf>
    <xf numFmtId="165" fontId="51" fillId="31" borderId="18" xfId="64" applyFont="1" applyFill="1" applyBorder="1" applyAlignment="1">
      <alignment horizontal="center" vertical="center"/>
    </xf>
    <xf numFmtId="164" fontId="51" fillId="31" borderId="18" xfId="82" applyFont="1" applyFill="1" applyBorder="1" applyAlignment="1">
      <alignment horizontal="center" vertical="center"/>
    </xf>
    <xf numFmtId="165" fontId="51" fillId="31" borderId="53" xfId="64" applyFont="1" applyFill="1" applyBorder="1" applyAlignment="1">
      <alignment horizontal="center" vertical="center" wrapText="1"/>
    </xf>
    <xf numFmtId="165" fontId="51" fillId="31" borderId="15" xfId="64" applyFont="1" applyFill="1" applyBorder="1" applyAlignment="1">
      <alignment horizontal="right" vertical="center" wrapText="1"/>
    </xf>
    <xf numFmtId="0" fontId="49" fillId="38" borderId="27" xfId="0" applyFont="1" applyFill="1" applyBorder="1" applyAlignment="1">
      <alignment horizontal="right" vertical="center" wrapText="1"/>
    </xf>
    <xf numFmtId="0" fontId="49" fillId="38" borderId="0" xfId="0" applyFont="1" applyFill="1" applyAlignment="1">
      <alignment horizontal="center" vertical="center"/>
    </xf>
    <xf numFmtId="164" fontId="49" fillId="38" borderId="0" xfId="82" applyFont="1" applyFill="1" applyAlignment="1">
      <alignment horizontal="right" vertical="center"/>
    </xf>
    <xf numFmtId="164" fontId="49" fillId="38" borderId="0" xfId="82" applyFont="1" applyFill="1" applyAlignment="1">
      <alignment horizontal="left" vertical="center"/>
    </xf>
    <xf numFmtId="0" fontId="83" fillId="38" borderId="0" xfId="0" applyFont="1" applyFill="1" applyAlignment="1">
      <alignment vertical="center"/>
    </xf>
    <xf numFmtId="0" fontId="49" fillId="38" borderId="24" xfId="0" applyFont="1" applyFill="1" applyBorder="1" applyAlignment="1">
      <alignment vertical="center"/>
    </xf>
    <xf numFmtId="0" fontId="81" fillId="0" borderId="0" xfId="0" applyFont="1" applyAlignment="1">
      <alignment horizontal="center" vertical="center"/>
    </xf>
    <xf numFmtId="0" fontId="4" fillId="38" borderId="0" xfId="0" applyFont="1" applyFill="1" applyAlignment="1">
      <alignment horizontal="center" vertical="center"/>
    </xf>
    <xf numFmtId="164" fontId="4" fillId="38" borderId="0" xfId="82" applyFill="1" applyAlignment="1">
      <alignment horizontal="left" vertical="center"/>
    </xf>
    <xf numFmtId="0" fontId="4" fillId="38" borderId="24" xfId="0" applyFont="1" applyFill="1" applyBorder="1" applyAlignment="1">
      <alignment vertical="center"/>
    </xf>
    <xf numFmtId="0" fontId="51" fillId="40" borderId="16" xfId="0" applyFont="1" applyFill="1" applyBorder="1" applyAlignment="1">
      <alignment horizontal="center" vertical="center"/>
    </xf>
    <xf numFmtId="1" fontId="51" fillId="40" borderId="15" xfId="0" applyNumberFormat="1" applyFont="1" applyFill="1" applyBorder="1" applyAlignment="1">
      <alignment horizontal="center" vertical="center" wrapText="1"/>
    </xf>
    <xf numFmtId="167" fontId="51" fillId="40" borderId="15" xfId="0" applyNumberFormat="1" applyFont="1" applyFill="1" applyBorder="1" applyAlignment="1">
      <alignment horizontal="center" vertical="center" wrapText="1"/>
    </xf>
    <xf numFmtId="166" fontId="51" fillId="40" borderId="15" xfId="0" applyNumberFormat="1" applyFont="1" applyFill="1" applyBorder="1" applyAlignment="1">
      <alignment horizontal="left" vertical="center" wrapText="1"/>
    </xf>
    <xf numFmtId="166" fontId="51" fillId="40" borderId="15" xfId="0" applyNumberFormat="1" applyFont="1" applyFill="1" applyBorder="1" applyAlignment="1">
      <alignment horizontal="center" vertical="center"/>
    </xf>
    <xf numFmtId="164" fontId="51" fillId="40" borderId="15" xfId="82" applyFont="1" applyFill="1" applyBorder="1" applyAlignment="1">
      <alignment horizontal="center" vertical="center"/>
    </xf>
    <xf numFmtId="165" fontId="51" fillId="40" borderId="15" xfId="64" applyFont="1" applyFill="1" applyBorder="1" applyAlignment="1">
      <alignment horizontal="center" vertical="center"/>
    </xf>
    <xf numFmtId="165" fontId="51" fillId="40" borderId="15" xfId="64" applyFont="1" applyFill="1" applyBorder="1" applyAlignment="1">
      <alignment horizontal="right" vertical="center"/>
    </xf>
    <xf numFmtId="165" fontId="51" fillId="40" borderId="17" xfId="64" applyFont="1" applyFill="1" applyBorder="1" applyAlignment="1">
      <alignment horizontal="right" vertical="center"/>
    </xf>
    <xf numFmtId="0" fontId="51" fillId="31" borderId="16" xfId="0" applyFont="1" applyFill="1" applyBorder="1" applyAlignment="1">
      <alignment horizontal="center" vertical="center"/>
    </xf>
    <xf numFmtId="0" fontId="49" fillId="32" borderId="27" xfId="0" applyFont="1" applyFill="1" applyBorder="1" applyAlignment="1">
      <alignment horizontal="right" vertical="center" wrapText="1"/>
    </xf>
    <xf numFmtId="0" fontId="49" fillId="32" borderId="0" xfId="0" applyFont="1" applyFill="1" applyAlignment="1">
      <alignment horizontal="center" vertical="center"/>
    </xf>
    <xf numFmtId="164" fontId="49" fillId="32" borderId="0" xfId="82" applyFont="1" applyFill="1" applyAlignment="1">
      <alignment horizontal="left" vertical="center"/>
    </xf>
    <xf numFmtId="164" fontId="4" fillId="32" borderId="24" xfId="82" applyFill="1" applyBorder="1" applyAlignment="1">
      <alignment horizontal="left" vertical="center"/>
    </xf>
    <xf numFmtId="0" fontId="15" fillId="32" borderId="0" xfId="0" applyFont="1" applyFill="1" applyAlignment="1">
      <alignment vertical="center"/>
    </xf>
    <xf numFmtId="0" fontId="0" fillId="32" borderId="0" xfId="0" applyFill="1" applyAlignment="1">
      <alignment vertical="center"/>
    </xf>
    <xf numFmtId="9" fontId="0" fillId="32" borderId="0" xfId="0" applyNumberFormat="1" applyFill="1" applyAlignment="1">
      <alignment vertical="center"/>
    </xf>
    <xf numFmtId="0" fontId="4" fillId="32" borderId="27" xfId="0" applyFont="1" applyFill="1" applyBorder="1" applyAlignment="1">
      <alignment horizontal="right" vertical="center" wrapText="1"/>
    </xf>
    <xf numFmtId="0" fontId="0" fillId="32" borderId="0" xfId="0" applyFill="1" applyAlignment="1">
      <alignment horizontal="center" vertical="center"/>
    </xf>
    <xf numFmtId="164" fontId="4" fillId="32" borderId="0" xfId="82" applyFill="1" applyAlignment="1">
      <alignment horizontal="right" vertical="center"/>
    </xf>
    <xf numFmtId="164" fontId="0" fillId="32" borderId="0" xfId="82" applyFont="1" applyFill="1" applyAlignment="1">
      <alignment horizontal="left" vertical="center"/>
    </xf>
    <xf numFmtId="0" fontId="69" fillId="32" borderId="0" xfId="0" applyFont="1" applyFill="1" applyAlignment="1">
      <alignment vertical="center"/>
    </xf>
    <xf numFmtId="0" fontId="0" fillId="32" borderId="24" xfId="0" applyFill="1" applyBorder="1" applyAlignment="1">
      <alignment vertical="center"/>
    </xf>
    <xf numFmtId="0" fontId="51" fillId="40" borderId="15" xfId="0" applyFont="1" applyFill="1" applyBorder="1" applyAlignment="1">
      <alignment vertical="center" wrapText="1"/>
    </xf>
    <xf numFmtId="0" fontId="51" fillId="40" borderId="15" xfId="0" applyFont="1" applyFill="1" applyBorder="1" applyAlignment="1">
      <alignment horizontal="center" vertical="center" wrapText="1"/>
    </xf>
    <xf numFmtId="164" fontId="51" fillId="40" borderId="15" xfId="82" applyFont="1" applyFill="1" applyBorder="1" applyAlignment="1">
      <alignment vertical="center" wrapText="1"/>
    </xf>
    <xf numFmtId="165" fontId="51" fillId="40" borderId="15" xfId="64" applyFont="1" applyFill="1" applyBorder="1" applyAlignment="1">
      <alignment vertical="center" wrapText="1"/>
    </xf>
    <xf numFmtId="165" fontId="51" fillId="40" borderId="15" xfId="64" applyFont="1" applyFill="1" applyBorder="1" applyAlignment="1">
      <alignment horizontal="left" vertical="center" wrapText="1"/>
    </xf>
    <xf numFmtId="165" fontId="51" fillId="40" borderId="15" xfId="64" quotePrefix="1" applyFont="1" applyFill="1" applyBorder="1" applyAlignment="1">
      <alignment horizontal="right" vertical="center"/>
    </xf>
    <xf numFmtId="165" fontId="51" fillId="40" borderId="17" xfId="64" quotePrefix="1" applyFont="1" applyFill="1" applyBorder="1" applyAlignment="1">
      <alignment horizontal="right" vertical="center"/>
    </xf>
    <xf numFmtId="0" fontId="4" fillId="0" borderId="0" xfId="0" applyFont="1" applyAlignment="1">
      <alignment horizontal="center" wrapText="1"/>
    </xf>
    <xf numFmtId="0" fontId="4" fillId="0" borderId="0" xfId="0" applyFont="1" applyAlignment="1">
      <alignment wrapText="1"/>
    </xf>
    <xf numFmtId="0" fontId="77" fillId="39" borderId="15" xfId="0" applyFont="1" applyFill="1" applyBorder="1" applyAlignment="1">
      <alignment horizontal="left"/>
    </xf>
    <xf numFmtId="0" fontId="77" fillId="39" borderId="15" xfId="0" applyFont="1" applyFill="1" applyBorder="1" applyAlignment="1">
      <alignment horizontal="left" wrapText="1"/>
    </xf>
    <xf numFmtId="0" fontId="77" fillId="39" borderId="15" xfId="0" applyFont="1" applyFill="1" applyBorder="1" applyAlignment="1">
      <alignment horizontal="right"/>
    </xf>
    <xf numFmtId="4" fontId="77" fillId="39" borderId="15" xfId="0" applyNumberFormat="1" applyFont="1" applyFill="1" applyBorder="1" applyAlignment="1">
      <alignment horizontal="right"/>
    </xf>
    <xf numFmtId="0" fontId="0" fillId="36" borderId="15" xfId="0" applyFill="1" applyBorder="1"/>
    <xf numFmtId="0" fontId="0" fillId="36" borderId="15" xfId="0" applyFill="1" applyBorder="1" applyAlignment="1">
      <alignment wrapText="1"/>
    </xf>
    <xf numFmtId="0" fontId="0" fillId="36" borderId="15" xfId="0" applyFill="1" applyBorder="1" applyAlignment="1">
      <alignment horizontal="right"/>
    </xf>
    <xf numFmtId="4" fontId="0" fillId="36" borderId="15" xfId="0" applyNumberFormat="1" applyFill="1" applyBorder="1" applyAlignment="1">
      <alignment horizontal="right"/>
    </xf>
    <xf numFmtId="164" fontId="50" fillId="0" borderId="0" xfId="0" applyNumberFormat="1" applyFont="1" applyAlignment="1">
      <alignment horizontal="center" vertical="center"/>
    </xf>
    <xf numFmtId="0" fontId="86" fillId="0" borderId="0" xfId="0" applyFont="1" applyAlignment="1">
      <alignment vertical="center"/>
    </xf>
    <xf numFmtId="164" fontId="49" fillId="0" borderId="24" xfId="82" applyFont="1" applyBorder="1" applyAlignment="1">
      <alignment horizontal="left" vertical="center"/>
    </xf>
    <xf numFmtId="9" fontId="4" fillId="0" borderId="0" xfId="0" applyNumberFormat="1" applyFont="1" applyAlignment="1">
      <alignment vertical="center"/>
    </xf>
    <xf numFmtId="0" fontId="4" fillId="32" borderId="0" xfId="0" applyFont="1" applyFill="1" applyAlignment="1">
      <alignment horizontal="center" vertical="center"/>
    </xf>
    <xf numFmtId="164" fontId="67" fillId="32" borderId="0" xfId="82" applyFont="1" applyFill="1" applyAlignment="1">
      <alignment horizontal="right" vertical="center"/>
    </xf>
    <xf numFmtId="164" fontId="4" fillId="32" borderId="0" xfId="82" applyFill="1" applyAlignment="1">
      <alignment horizontal="left" vertical="center"/>
    </xf>
    <xf numFmtId="0" fontId="50" fillId="32" borderId="0" xfId="0" applyFont="1" applyFill="1" applyAlignment="1">
      <alignment horizontal="center" vertical="center"/>
    </xf>
    <xf numFmtId="0" fontId="4" fillId="32" borderId="0" xfId="0" applyFont="1" applyFill="1" applyAlignment="1">
      <alignment vertical="center"/>
    </xf>
    <xf numFmtId="9" fontId="4" fillId="32" borderId="0" xfId="0" applyNumberFormat="1" applyFont="1" applyFill="1" applyAlignment="1">
      <alignment vertical="center"/>
    </xf>
    <xf numFmtId="164" fontId="49" fillId="32" borderId="0" xfId="82" applyFont="1" applyFill="1" applyAlignment="1">
      <alignment horizontal="right" vertical="center"/>
    </xf>
    <xf numFmtId="0" fontId="83" fillId="32" borderId="0" xfId="0" applyFont="1" applyFill="1" applyAlignment="1">
      <alignment vertical="center"/>
    </xf>
    <xf numFmtId="0" fontId="49" fillId="32" borderId="24" xfId="0" applyFont="1" applyFill="1" applyBorder="1" applyAlignment="1">
      <alignment vertical="center"/>
    </xf>
    <xf numFmtId="0" fontId="68" fillId="32" borderId="0" xfId="0" applyFont="1" applyFill="1" applyAlignment="1">
      <alignment vertical="center"/>
    </xf>
    <xf numFmtId="0" fontId="49" fillId="32" borderId="0" xfId="0" applyFont="1" applyFill="1" applyAlignment="1">
      <alignment vertical="center"/>
    </xf>
    <xf numFmtId="9" fontId="49" fillId="32" borderId="0" xfId="0" applyNumberFormat="1" applyFont="1" applyFill="1" applyAlignment="1">
      <alignment vertical="center"/>
    </xf>
    <xf numFmtId="0" fontId="1" fillId="0" borderId="16" xfId="0" applyFont="1" applyBorder="1" applyAlignment="1">
      <alignment horizontal="center" vertical="center" wrapText="1"/>
    </xf>
    <xf numFmtId="0" fontId="51" fillId="37" borderId="16" xfId="0" applyFont="1" applyFill="1" applyBorder="1" applyAlignment="1">
      <alignment horizontal="center"/>
    </xf>
    <xf numFmtId="0" fontId="51" fillId="37" borderId="15" xfId="0" applyFont="1" applyFill="1" applyBorder="1" applyAlignment="1">
      <alignment vertical="center" wrapText="1"/>
    </xf>
    <xf numFmtId="0" fontId="51" fillId="37" borderId="15" xfId="0" applyFont="1" applyFill="1" applyBorder="1" applyAlignment="1">
      <alignment horizontal="center" vertical="center" wrapText="1"/>
    </xf>
    <xf numFmtId="164" fontId="51" fillId="37" borderId="15" xfId="82" applyFont="1" applyFill="1" applyBorder="1" applyAlignment="1">
      <alignment vertical="center" wrapText="1"/>
    </xf>
    <xf numFmtId="165" fontId="51" fillId="37" borderId="15" xfId="64" applyFont="1" applyFill="1" applyBorder="1" applyAlignment="1">
      <alignment vertical="center" wrapText="1"/>
    </xf>
    <xf numFmtId="165" fontId="51" fillId="37" borderId="15" xfId="64" applyFont="1" applyFill="1" applyBorder="1" applyAlignment="1">
      <alignment horizontal="left" vertical="center" wrapText="1"/>
    </xf>
    <xf numFmtId="165" fontId="51" fillId="37" borderId="15" xfId="64" quotePrefix="1" applyFont="1" applyFill="1" applyBorder="1" applyAlignment="1">
      <alignment horizontal="right" vertical="center"/>
    </xf>
    <xf numFmtId="165" fontId="51" fillId="37" borderId="17" xfId="64" quotePrefix="1" applyFont="1" applyFill="1" applyBorder="1" applyAlignment="1">
      <alignment horizontal="right" vertical="center"/>
    </xf>
    <xf numFmtId="0" fontId="1" fillId="0" borderId="16" xfId="0" applyFont="1" applyBorder="1" applyAlignment="1">
      <alignment horizontal="center" vertical="center"/>
    </xf>
    <xf numFmtId="0" fontId="49" fillId="41" borderId="0" xfId="0" applyFont="1" applyFill="1" applyAlignment="1">
      <alignment vertical="center"/>
    </xf>
    <xf numFmtId="0" fontId="49" fillId="41" borderId="27" xfId="0" applyFont="1" applyFill="1" applyBorder="1" applyAlignment="1">
      <alignment horizontal="right" vertical="center" wrapText="1"/>
    </xf>
    <xf numFmtId="0" fontId="49" fillId="41" borderId="0" xfId="0" applyFont="1" applyFill="1" applyAlignment="1">
      <alignment horizontal="center" vertical="center"/>
    </xf>
    <xf numFmtId="164" fontId="49" fillId="41" borderId="0" xfId="82" applyFont="1" applyFill="1" applyAlignment="1">
      <alignment horizontal="right" vertical="center"/>
    </xf>
    <xf numFmtId="164" fontId="49" fillId="41" borderId="0" xfId="82" applyFont="1" applyFill="1" applyAlignment="1">
      <alignment horizontal="left" vertical="center"/>
    </xf>
    <xf numFmtId="0" fontId="83" fillId="41" borderId="0" xfId="0" applyFont="1" applyFill="1" applyAlignment="1">
      <alignment vertical="center"/>
    </xf>
    <xf numFmtId="0" fontId="49" fillId="41" borderId="24" xfId="0" applyFont="1" applyFill="1" applyBorder="1" applyAlignment="1">
      <alignment vertical="center"/>
    </xf>
    <xf numFmtId="1" fontId="0" fillId="0" borderId="0" xfId="0" applyNumberFormat="1" applyAlignment="1">
      <alignment vertical="center"/>
    </xf>
    <xf numFmtId="0" fontId="9" fillId="32" borderId="0" xfId="0" applyFont="1" applyFill="1" applyAlignment="1">
      <alignment horizontal="center" vertical="center"/>
    </xf>
    <xf numFmtId="0" fontId="81" fillId="0" borderId="0" xfId="0" applyFont="1" applyAlignment="1">
      <alignment horizontal="left" vertical="center"/>
    </xf>
    <xf numFmtId="0" fontId="68" fillId="0" borderId="0" xfId="0" applyFont="1" applyAlignment="1">
      <alignment vertical="center"/>
    </xf>
    <xf numFmtId="9" fontId="49" fillId="0" borderId="0" xfId="0" applyNumberFormat="1" applyFont="1" applyAlignment="1">
      <alignment vertical="center"/>
    </xf>
    <xf numFmtId="1" fontId="4" fillId="0" borderId="27" xfId="0" applyNumberFormat="1" applyFont="1" applyBorder="1" applyAlignment="1">
      <alignment horizontal="right" vertical="center" wrapText="1"/>
    </xf>
    <xf numFmtId="164" fontId="15" fillId="0" borderId="27" xfId="82" applyFont="1" applyBorder="1" applyAlignment="1">
      <alignment horizontal="center" vertical="center" wrapText="1"/>
    </xf>
    <xf numFmtId="0" fontId="24" fillId="40" borderId="0" xfId="0" applyFont="1" applyFill="1"/>
    <xf numFmtId="165" fontId="51" fillId="40" borderId="37" xfId="64" applyFont="1" applyFill="1" applyBorder="1" applyAlignment="1">
      <alignment horizontal="right" vertical="center"/>
    </xf>
    <xf numFmtId="165" fontId="51" fillId="40" borderId="38" xfId="64" applyFont="1" applyFill="1" applyBorder="1" applyAlignment="1">
      <alignment horizontal="right" vertical="center"/>
    </xf>
    <xf numFmtId="0" fontId="49" fillId="0" borderId="27" xfId="0" applyFont="1" applyBorder="1" applyAlignment="1">
      <alignment horizontal="center" vertical="center"/>
    </xf>
    <xf numFmtId="4" fontId="49" fillId="0" borderId="0" xfId="82" applyNumberFormat="1" applyFont="1" applyAlignment="1">
      <alignment horizontal="center" vertical="center" wrapText="1"/>
    </xf>
    <xf numFmtId="165" fontId="49" fillId="0" borderId="0" xfId="64" applyFont="1" applyAlignment="1">
      <alignment horizontal="center" vertical="center"/>
    </xf>
    <xf numFmtId="0" fontId="81" fillId="0" borderId="46" xfId="0" applyFont="1" applyBorder="1" applyAlignment="1">
      <alignment horizontal="left" vertical="center"/>
    </xf>
    <xf numFmtId="0" fontId="82" fillId="0" borderId="47" xfId="0" applyFont="1" applyBorder="1" applyAlignment="1">
      <alignment horizontal="center"/>
    </xf>
    <xf numFmtId="0" fontId="82" fillId="0" borderId="47" xfId="0" applyFont="1" applyBorder="1" applyAlignment="1">
      <alignment vertical="justify" wrapText="1"/>
    </xf>
    <xf numFmtId="43" fontId="82" fillId="0" borderId="47" xfId="82" applyNumberFormat="1" applyFont="1" applyBorder="1" applyAlignment="1">
      <alignment horizontal="center"/>
    </xf>
    <xf numFmtId="43" fontId="82" fillId="0" borderId="47" xfId="82" applyNumberFormat="1" applyFont="1" applyBorder="1"/>
    <xf numFmtId="165" fontId="49" fillId="0" borderId="48" xfId="64" applyFont="1" applyBorder="1" applyAlignment="1">
      <alignment horizontal="center" vertical="center"/>
    </xf>
    <xf numFmtId="4" fontId="4" fillId="0" borderId="0" xfId="82" applyNumberFormat="1" applyAlignment="1">
      <alignment horizontal="center" vertical="center" wrapText="1"/>
    </xf>
    <xf numFmtId="164" fontId="0" fillId="0" borderId="0" xfId="0" applyNumberFormat="1" applyAlignment="1">
      <alignment horizontal="center" vertical="center"/>
    </xf>
    <xf numFmtId="17" fontId="53" fillId="0" borderId="0" xfId="0" applyNumberFormat="1" applyFont="1" applyAlignment="1">
      <alignment wrapText="1"/>
    </xf>
    <xf numFmtId="0" fontId="25" fillId="0" borderId="0" xfId="82" applyNumberFormat="1" applyFont="1" applyAlignment="1">
      <alignment horizontal="center" vertical="center"/>
    </xf>
    <xf numFmtId="0" fontId="4" fillId="0" borderId="28" xfId="0" applyFont="1" applyBorder="1" applyAlignment="1">
      <alignment horizontal="right" vertical="center" wrapText="1"/>
    </xf>
    <xf numFmtId="164" fontId="15" fillId="0" borderId="28" xfId="82" applyFont="1" applyBorder="1" applyAlignment="1">
      <alignment horizontal="left" vertical="center" wrapText="1"/>
    </xf>
    <xf numFmtId="164" fontId="15" fillId="0" borderId="25" xfId="82" applyFont="1" applyBorder="1" applyAlignment="1">
      <alignment horizontal="left" vertical="center" wrapText="1"/>
    </xf>
    <xf numFmtId="164" fontId="15" fillId="0" borderId="26" xfId="82" applyFont="1" applyBorder="1" applyAlignment="1">
      <alignment horizontal="left" vertical="center" wrapText="1"/>
    </xf>
    <xf numFmtId="164" fontId="67" fillId="0" borderId="25" xfId="82" applyFont="1" applyBorder="1" applyAlignment="1">
      <alignment horizontal="right" vertical="center"/>
    </xf>
    <xf numFmtId="164" fontId="0" fillId="0" borderId="25" xfId="82" applyFont="1" applyBorder="1" applyAlignment="1">
      <alignment horizontal="left" vertical="center"/>
    </xf>
    <xf numFmtId="0" fontId="50" fillId="0" borderId="25" xfId="0" applyFont="1" applyBorder="1" applyAlignment="1">
      <alignment horizontal="center" vertical="center"/>
    </xf>
    <xf numFmtId="164" fontId="4" fillId="0" borderId="26" xfId="82" applyBorder="1" applyAlignment="1">
      <alignment horizontal="left" vertical="center"/>
    </xf>
    <xf numFmtId="168" fontId="21" fillId="0" borderId="45" xfId="0" applyNumberFormat="1" applyFont="1" applyBorder="1" applyAlignment="1">
      <alignment horizontal="center" vertical="center" wrapText="1"/>
    </xf>
    <xf numFmtId="0" fontId="20" fillId="0" borderId="19" xfId="0" applyFont="1" applyBorder="1" applyAlignment="1">
      <alignment horizontal="left" vertical="center" wrapText="1"/>
    </xf>
    <xf numFmtId="165" fontId="20" fillId="0" borderId="19" xfId="64" applyFont="1" applyBorder="1" applyAlignment="1">
      <alignment horizontal="center" vertical="center"/>
    </xf>
    <xf numFmtId="165" fontId="18" fillId="0" borderId="15" xfId="64" applyFont="1" applyBorder="1" applyAlignment="1">
      <alignment horizontal="center" vertical="justify"/>
    </xf>
    <xf numFmtId="165" fontId="21" fillId="0" borderId="15" xfId="64" applyFont="1" applyBorder="1"/>
    <xf numFmtId="0" fontId="18" fillId="0" borderId="17" xfId="0" applyFont="1" applyBorder="1" applyAlignment="1">
      <alignment horizontal="center" vertical="justify"/>
    </xf>
    <xf numFmtId="10" fontId="21" fillId="0" borderId="17" xfId="77" applyNumberFormat="1" applyFont="1" applyBorder="1" applyAlignment="1">
      <alignment horizontal="center"/>
    </xf>
    <xf numFmtId="10" fontId="20" fillId="0" borderId="60" xfId="83" applyNumberFormat="1" applyFont="1" applyBorder="1" applyAlignment="1">
      <alignment horizontal="center" vertical="center"/>
    </xf>
    <xf numFmtId="165" fontId="21" fillId="0" borderId="43" xfId="64" applyFont="1" applyBorder="1" applyAlignment="1">
      <alignment horizontal="center"/>
    </xf>
    <xf numFmtId="1" fontId="15" fillId="42" borderId="33" xfId="0" applyNumberFormat="1" applyFont="1" applyFill="1" applyBorder="1" applyAlignment="1">
      <alignment vertical="center" wrapText="1"/>
    </xf>
    <xf numFmtId="1" fontId="15" fillId="42" borderId="21" xfId="0" applyNumberFormat="1" applyFont="1" applyFill="1" applyBorder="1" applyAlignment="1">
      <alignment horizontal="center" vertical="center" wrapText="1"/>
    </xf>
    <xf numFmtId="1" fontId="15" fillId="42" borderId="20" xfId="0" applyNumberFormat="1" applyFont="1" applyFill="1" applyBorder="1" applyAlignment="1">
      <alignment horizontal="center" vertical="center" wrapText="1"/>
    </xf>
    <xf numFmtId="0" fontId="15" fillId="42" borderId="15" xfId="0" applyFont="1" applyFill="1" applyBorder="1" applyAlignment="1">
      <alignment horizontal="left" vertical="center" wrapText="1"/>
    </xf>
    <xf numFmtId="0" fontId="15" fillId="42" borderId="15" xfId="0" applyFont="1" applyFill="1" applyBorder="1" applyAlignment="1">
      <alignment horizontal="center" vertical="center" wrapText="1"/>
    </xf>
    <xf numFmtId="164" fontId="15" fillId="42" borderId="15" xfId="82" applyFont="1" applyFill="1" applyBorder="1" applyAlignment="1">
      <alignment horizontal="center" vertical="center" wrapText="1"/>
    </xf>
    <xf numFmtId="165" fontId="15" fillId="42" borderId="15" xfId="64" applyFont="1" applyFill="1" applyBorder="1" applyAlignment="1">
      <alignment horizontal="center" vertical="center" wrapText="1"/>
    </xf>
    <xf numFmtId="165" fontId="15" fillId="42" borderId="17" xfId="64" applyFont="1" applyFill="1" applyBorder="1" applyAlignment="1">
      <alignment horizontal="center" vertical="center"/>
    </xf>
    <xf numFmtId="1" fontId="89" fillId="42" borderId="21" xfId="0" applyNumberFormat="1" applyFont="1" applyFill="1" applyBorder="1" applyAlignment="1">
      <alignment horizontal="center" vertical="center" wrapText="1"/>
    </xf>
    <xf numFmtId="1" fontId="89" fillId="42" borderId="20" xfId="0" applyNumberFormat="1" applyFont="1" applyFill="1" applyBorder="1" applyAlignment="1">
      <alignment horizontal="center" vertical="center" wrapText="1"/>
    </xf>
    <xf numFmtId="0" fontId="89" fillId="42" borderId="15" xfId="0" applyFont="1" applyFill="1" applyBorder="1" applyAlignment="1">
      <alignment horizontal="left" vertical="center" wrapText="1"/>
    </xf>
    <xf numFmtId="0" fontId="89" fillId="42" borderId="15" xfId="0" applyFont="1" applyFill="1" applyBorder="1" applyAlignment="1">
      <alignment horizontal="center" vertical="center" wrapText="1"/>
    </xf>
    <xf numFmtId="171" fontId="89" fillId="42" borderId="15" xfId="82" applyNumberFormat="1" applyFont="1" applyFill="1" applyBorder="1" applyAlignment="1">
      <alignment horizontal="center" vertical="center" wrapText="1"/>
    </xf>
    <xf numFmtId="165" fontId="89" fillId="42" borderId="15" xfId="64" applyFont="1" applyFill="1" applyBorder="1" applyAlignment="1">
      <alignment horizontal="center" vertical="center" wrapText="1"/>
    </xf>
    <xf numFmtId="165" fontId="89" fillId="42" borderId="17" xfId="64" applyFont="1" applyFill="1" applyBorder="1" applyAlignment="1">
      <alignment horizontal="center" vertical="center"/>
    </xf>
    <xf numFmtId="1" fontId="89" fillId="42" borderId="33" xfId="0" applyNumberFormat="1" applyFont="1" applyFill="1" applyBorder="1" applyAlignment="1">
      <alignment horizontal="left" vertical="center" wrapText="1"/>
    </xf>
    <xf numFmtId="165" fontId="51" fillId="28" borderId="17" xfId="64" applyFont="1" applyFill="1" applyBorder="1" applyAlignment="1">
      <alignment horizontal="right" vertical="center"/>
    </xf>
    <xf numFmtId="1" fontId="1" fillId="29" borderId="15" xfId="0" applyNumberFormat="1" applyFont="1" applyFill="1" applyBorder="1" applyAlignment="1">
      <alignment horizontal="center" vertical="center" wrapText="1"/>
    </xf>
    <xf numFmtId="0" fontId="1" fillId="0" borderId="15" xfId="0" applyFont="1" applyBorder="1" applyAlignment="1">
      <alignment horizontal="left" vertical="center" wrapText="1"/>
    </xf>
    <xf numFmtId="0" fontId="1" fillId="0" borderId="15" xfId="0" applyFont="1" applyBorder="1" applyAlignment="1">
      <alignment horizontal="center" vertical="center" wrapText="1"/>
    </xf>
    <xf numFmtId="164" fontId="1" fillId="0" borderId="15" xfId="82" applyFont="1" applyBorder="1" applyAlignment="1">
      <alignment horizontal="center" vertical="center"/>
    </xf>
    <xf numFmtId="165" fontId="1" fillId="0" borderId="15" xfId="64" applyFont="1" applyBorder="1" applyAlignment="1">
      <alignment horizontal="left" vertical="center" wrapText="1"/>
    </xf>
    <xf numFmtId="165" fontId="1" fillId="0" borderId="15" xfId="64" applyFont="1" applyBorder="1" applyAlignment="1">
      <alignment horizontal="center" vertical="center" wrapText="1"/>
    </xf>
    <xf numFmtId="164" fontId="49" fillId="0" borderId="43" xfId="0" applyNumberFormat="1" applyFont="1" applyBorder="1" applyAlignment="1">
      <alignment horizontal="center" vertical="center" wrapText="1"/>
    </xf>
    <xf numFmtId="164" fontId="49" fillId="0" borderId="56" xfId="0" applyNumberFormat="1" applyFont="1" applyBorder="1" applyAlignment="1">
      <alignment horizontal="center" vertical="center" wrapText="1"/>
    </xf>
    <xf numFmtId="164" fontId="49" fillId="0" borderId="44" xfId="0" applyNumberFormat="1" applyFont="1" applyBorder="1" applyAlignment="1">
      <alignment horizontal="center" vertical="center" wrapText="1"/>
    </xf>
    <xf numFmtId="164" fontId="15" fillId="28" borderId="30" xfId="82" applyFont="1" applyFill="1" applyBorder="1" applyAlignment="1">
      <alignment horizontal="left" vertical="center"/>
    </xf>
    <xf numFmtId="164" fontId="15" fillId="28" borderId="31" xfId="82" applyFont="1" applyFill="1" applyBorder="1" applyAlignment="1">
      <alignment horizontal="left" vertical="center"/>
    </xf>
    <xf numFmtId="164" fontId="15" fillId="28" borderId="32" xfId="82" applyFont="1" applyFill="1" applyBorder="1" applyAlignment="1">
      <alignment horizontal="left" vertical="center"/>
    </xf>
    <xf numFmtId="164" fontId="15" fillId="0" borderId="27" xfId="82" applyFont="1" applyBorder="1" applyAlignment="1">
      <alignment horizontal="left" vertical="center" wrapText="1"/>
    </xf>
    <xf numFmtId="164" fontId="15" fillId="0" borderId="0" xfId="82" applyFont="1" applyAlignment="1">
      <alignment horizontal="left" vertical="center" wrapText="1"/>
    </xf>
    <xf numFmtId="164" fontId="15" fillId="0" borderId="24" xfId="82" applyFont="1" applyBorder="1" applyAlignment="1">
      <alignment horizontal="left" vertical="center" wrapText="1"/>
    </xf>
    <xf numFmtId="164" fontId="15" fillId="32" borderId="27" xfId="82" applyFont="1" applyFill="1" applyBorder="1" applyAlignment="1">
      <alignment horizontal="left" vertical="center" wrapText="1"/>
    </xf>
    <xf numFmtId="164" fontId="15" fillId="32" borderId="0" xfId="82" applyFont="1" applyFill="1" applyAlignment="1">
      <alignment horizontal="left" vertical="center" wrapText="1"/>
    </xf>
    <xf numFmtId="164" fontId="15" fillId="32" borderId="24" xfId="82" applyFont="1" applyFill="1" applyBorder="1" applyAlignment="1">
      <alignment horizontal="left" vertical="center" wrapText="1"/>
    </xf>
    <xf numFmtId="164" fontId="67" fillId="31" borderId="27" xfId="82" applyFont="1" applyFill="1" applyBorder="1" applyAlignment="1">
      <alignment horizontal="left" vertical="center"/>
    </xf>
    <xf numFmtId="164" fontId="67" fillId="31" borderId="0" xfId="82" applyFont="1" applyFill="1" applyAlignment="1">
      <alignment horizontal="left" vertical="center"/>
    </xf>
    <xf numFmtId="164" fontId="67" fillId="31" borderId="24" xfId="82" applyFont="1" applyFill="1" applyBorder="1" applyAlignment="1">
      <alignment horizontal="left" vertical="center"/>
    </xf>
    <xf numFmtId="164" fontId="67" fillId="28" borderId="27" xfId="82" applyFont="1" applyFill="1" applyBorder="1" applyAlignment="1">
      <alignment horizontal="left" vertical="center"/>
    </xf>
    <xf numFmtId="164" fontId="67" fillId="28" borderId="0" xfId="82" applyFont="1" applyFill="1" applyAlignment="1">
      <alignment horizontal="left" vertical="center"/>
    </xf>
    <xf numFmtId="164" fontId="67" fillId="28" borderId="24" xfId="82" applyFont="1" applyFill="1" applyBorder="1" applyAlignment="1">
      <alignment horizontal="left" vertical="center"/>
    </xf>
    <xf numFmtId="164" fontId="15" fillId="32" borderId="30" xfId="82" applyFont="1" applyFill="1" applyBorder="1" applyAlignment="1">
      <alignment horizontal="left" vertical="center"/>
    </xf>
    <xf numFmtId="164" fontId="15" fillId="32" borderId="31" xfId="82" applyFont="1" applyFill="1" applyBorder="1" applyAlignment="1">
      <alignment horizontal="left" vertical="center"/>
    </xf>
    <xf numFmtId="164" fontId="15" fillId="32" borderId="32" xfId="82" applyFont="1" applyFill="1" applyBorder="1" applyAlignment="1">
      <alignment horizontal="left" vertical="center"/>
    </xf>
    <xf numFmtId="164" fontId="67" fillId="38" borderId="27" xfId="82" applyFont="1" applyFill="1" applyBorder="1" applyAlignment="1">
      <alignment horizontal="left" vertical="center"/>
    </xf>
    <xf numFmtId="164" fontId="67" fillId="38" borderId="0" xfId="82" applyFont="1" applyFill="1" applyAlignment="1">
      <alignment horizontal="left" vertical="center"/>
    </xf>
    <xf numFmtId="164" fontId="67" fillId="38" borderId="24" xfId="82" applyFont="1" applyFill="1" applyBorder="1" applyAlignment="1">
      <alignment horizontal="left" vertical="center"/>
    </xf>
    <xf numFmtId="164" fontId="67" fillId="31" borderId="16" xfId="82" applyFont="1" applyFill="1" applyBorder="1" applyAlignment="1">
      <alignment horizontal="left" vertical="center"/>
    </xf>
    <xf numFmtId="164" fontId="67" fillId="31" borderId="15" xfId="82" applyFont="1" applyFill="1" applyBorder="1" applyAlignment="1">
      <alignment horizontal="left" vertical="center"/>
    </xf>
    <xf numFmtId="164" fontId="85" fillId="38" borderId="27" xfId="82" applyFont="1" applyFill="1" applyBorder="1" applyAlignment="1">
      <alignment horizontal="left" vertical="center"/>
    </xf>
    <xf numFmtId="164" fontId="85" fillId="38" borderId="0" xfId="82" applyFont="1" applyFill="1" applyAlignment="1">
      <alignment horizontal="left" vertical="center"/>
    </xf>
    <xf numFmtId="164" fontId="85" fillId="38" borderId="24" xfId="82" applyFont="1" applyFill="1" applyBorder="1" applyAlignment="1">
      <alignment horizontal="left" vertical="center"/>
    </xf>
    <xf numFmtId="164" fontId="68" fillId="0" borderId="27" xfId="82" applyFont="1" applyBorder="1" applyAlignment="1">
      <alignment horizontal="left" vertical="center" wrapText="1"/>
    </xf>
    <xf numFmtId="164" fontId="68" fillId="0" borderId="0" xfId="82" applyFont="1" applyAlignment="1">
      <alignment horizontal="left" vertical="center" wrapText="1"/>
    </xf>
    <xf numFmtId="164" fontId="68" fillId="0" borderId="24" xfId="82" applyFont="1" applyBorder="1" applyAlignment="1">
      <alignment horizontal="left" vertical="center" wrapText="1"/>
    </xf>
    <xf numFmtId="0" fontId="67" fillId="38" borderId="27" xfId="82" applyNumberFormat="1" applyFont="1" applyFill="1" applyBorder="1" applyAlignment="1">
      <alignment horizontal="left" vertical="center"/>
    </xf>
    <xf numFmtId="0" fontId="67" fillId="38" borderId="0" xfId="82" applyNumberFormat="1" applyFont="1" applyFill="1" applyAlignment="1">
      <alignment horizontal="left" vertical="center"/>
    </xf>
    <xf numFmtId="0" fontId="67" fillId="38" borderId="24" xfId="82" applyNumberFormat="1" applyFont="1" applyFill="1" applyBorder="1" applyAlignment="1">
      <alignment horizontal="left" vertical="center"/>
    </xf>
    <xf numFmtId="164" fontId="67" fillId="31" borderId="33" xfId="82" applyFont="1" applyFill="1" applyBorder="1" applyAlignment="1">
      <alignment horizontal="left" vertical="center"/>
    </xf>
    <xf numFmtId="164" fontId="67" fillId="31" borderId="21" xfId="82" applyFont="1" applyFill="1" applyBorder="1" applyAlignment="1">
      <alignment horizontal="left" vertical="center"/>
    </xf>
    <xf numFmtId="164" fontId="67" fillId="31" borderId="20" xfId="82" applyFont="1" applyFill="1" applyBorder="1" applyAlignment="1">
      <alignment horizontal="left" vertical="center"/>
    </xf>
    <xf numFmtId="164" fontId="15" fillId="0" borderId="27" xfId="82" applyFont="1" applyBorder="1" applyAlignment="1">
      <alignment horizontal="left" vertical="center"/>
    </xf>
    <xf numFmtId="164" fontId="15" fillId="0" borderId="0" xfId="82" applyFont="1" applyAlignment="1">
      <alignment horizontal="left" vertical="center"/>
    </xf>
    <xf numFmtId="164" fontId="15" fillId="0" borderId="24" xfId="82" applyFont="1" applyBorder="1" applyAlignment="1">
      <alignment horizontal="left" vertical="center"/>
    </xf>
    <xf numFmtId="0" fontId="21" fillId="0" borderId="30" xfId="0" applyFont="1" applyBorder="1" applyAlignment="1">
      <alignment horizontal="left" vertical="center" wrapText="1"/>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68" fillId="0" borderId="30" xfId="0" applyFont="1" applyBorder="1" applyAlignment="1">
      <alignment horizontal="left" vertical="center" wrapText="1"/>
    </xf>
    <xf numFmtId="0" fontId="68" fillId="0" borderId="31" xfId="0" applyFont="1" applyBorder="1" applyAlignment="1">
      <alignment horizontal="left" vertical="center" wrapText="1"/>
    </xf>
    <xf numFmtId="0" fontId="68" fillId="0" borderId="32" xfId="0" applyFont="1" applyBorder="1" applyAlignment="1">
      <alignment horizontal="left" vertical="center" wrapText="1"/>
    </xf>
    <xf numFmtId="164" fontId="15" fillId="0" borderId="30" xfId="82" applyFont="1" applyBorder="1" applyAlignment="1">
      <alignment horizontal="center" vertical="center"/>
    </xf>
    <xf numFmtId="164" fontId="15" fillId="0" borderId="31" xfId="82" applyFont="1" applyBorder="1" applyAlignment="1">
      <alignment horizontal="center" vertical="center"/>
    </xf>
    <xf numFmtId="164" fontId="15" fillId="0" borderId="32" xfId="82" applyFont="1" applyBorder="1" applyAlignment="1">
      <alignment horizontal="center" vertical="center"/>
    </xf>
    <xf numFmtId="164" fontId="67" fillId="32" borderId="27" xfId="82" applyFont="1" applyFill="1" applyBorder="1" applyAlignment="1">
      <alignment horizontal="left" vertical="center"/>
    </xf>
    <xf numFmtId="164" fontId="67" fillId="32" borderId="0" xfId="82" applyFont="1" applyFill="1" applyAlignment="1">
      <alignment horizontal="left" vertical="center"/>
    </xf>
    <xf numFmtId="164" fontId="67" fillId="32" borderId="24" xfId="82" applyFont="1" applyFill="1" applyBorder="1" applyAlignment="1">
      <alignment horizontal="left" vertical="center"/>
    </xf>
    <xf numFmtId="164" fontId="85" fillId="32" borderId="27" xfId="82" applyFont="1" applyFill="1" applyBorder="1" applyAlignment="1">
      <alignment horizontal="left" vertical="center"/>
    </xf>
    <xf numFmtId="164" fontId="85" fillId="32" borderId="0" xfId="82" applyFont="1" applyFill="1" applyAlignment="1">
      <alignment horizontal="left" vertical="center"/>
    </xf>
    <xf numFmtId="164" fontId="85" fillId="32" borderId="24" xfId="82" applyFont="1" applyFill="1" applyBorder="1" applyAlignment="1">
      <alignment horizontal="left" vertical="center"/>
    </xf>
    <xf numFmtId="164" fontId="87" fillId="41" borderId="27" xfId="82" applyFont="1" applyFill="1" applyBorder="1" applyAlignment="1">
      <alignment horizontal="left" vertical="center"/>
    </xf>
    <xf numFmtId="164" fontId="87" fillId="41" borderId="0" xfId="82" applyFont="1" applyFill="1" applyAlignment="1">
      <alignment horizontal="left" vertical="center"/>
    </xf>
    <xf numFmtId="164" fontId="87" fillId="41" borderId="24" xfId="82" applyFont="1" applyFill="1" applyBorder="1" applyAlignment="1">
      <alignment horizontal="left" vertical="center"/>
    </xf>
    <xf numFmtId="164" fontId="15" fillId="28" borderId="27" xfId="82" applyFont="1" applyFill="1" applyBorder="1" applyAlignment="1">
      <alignment horizontal="left" vertical="center"/>
    </xf>
    <xf numFmtId="164" fontId="15" fillId="28" borderId="0" xfId="82" applyFont="1" applyFill="1" applyAlignment="1">
      <alignment horizontal="left" vertical="center"/>
    </xf>
    <xf numFmtId="164" fontId="15" fillId="28" borderId="24" xfId="82" applyFont="1" applyFill="1" applyBorder="1" applyAlignment="1">
      <alignment horizontal="left" vertical="center"/>
    </xf>
    <xf numFmtId="164" fontId="85" fillId="31" borderId="27" xfId="82" applyFont="1" applyFill="1" applyBorder="1" applyAlignment="1">
      <alignment horizontal="left" vertical="center"/>
    </xf>
    <xf numFmtId="164" fontId="85" fillId="31" borderId="0" xfId="82" applyFont="1" applyFill="1" applyAlignment="1">
      <alignment horizontal="left" vertical="center"/>
    </xf>
    <xf numFmtId="164" fontId="85" fillId="31" borderId="24" xfId="82" applyFont="1" applyFill="1" applyBorder="1" applyAlignment="1">
      <alignment horizontal="left" vertical="center"/>
    </xf>
    <xf numFmtId="164" fontId="15" fillId="0" borderId="0" xfId="82" applyFont="1" applyAlignment="1">
      <alignment horizontal="center" vertical="center" wrapText="1"/>
    </xf>
    <xf numFmtId="0" fontId="21" fillId="35" borderId="16" xfId="0" applyFont="1" applyFill="1" applyBorder="1" applyAlignment="1">
      <alignment horizontal="right" wrapText="1"/>
    </xf>
    <xf numFmtId="0" fontId="21" fillId="35" borderId="15" xfId="0" applyFont="1" applyFill="1" applyBorder="1" applyAlignment="1">
      <alignment horizontal="right" wrapTex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7" xfId="0" applyFont="1" applyBorder="1" applyAlignment="1">
      <alignment horizontal="center" vertical="center" wrapText="1"/>
    </xf>
    <xf numFmtId="0" fontId="18" fillId="0" borderId="16" xfId="0" applyFont="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6" fillId="0" borderId="16" xfId="69" applyFont="1" applyBorder="1" applyAlignment="1">
      <alignment horizontal="left" vertical="center" readingOrder="1"/>
    </xf>
    <xf numFmtId="0" fontId="16" fillId="0" borderId="15" xfId="69" applyFont="1" applyBorder="1" applyAlignment="1">
      <alignment horizontal="left" vertical="center" readingOrder="1"/>
    </xf>
    <xf numFmtId="0" fontId="16" fillId="0" borderId="17" xfId="69" applyFont="1" applyBorder="1" applyAlignment="1">
      <alignment horizontal="left" vertical="center" readingOrder="1"/>
    </xf>
    <xf numFmtId="0" fontId="4" fillId="0" borderId="57" xfId="0" applyFont="1" applyBorder="1" applyAlignment="1">
      <alignment horizontal="center"/>
    </xf>
    <xf numFmtId="0" fontId="4" fillId="0" borderId="58" xfId="0" applyFont="1" applyBorder="1" applyAlignment="1">
      <alignment horizontal="center"/>
    </xf>
    <xf numFmtId="0" fontId="4" fillId="0" borderId="59" xfId="0" applyFont="1" applyBorder="1" applyAlignment="1">
      <alignment horizontal="center"/>
    </xf>
    <xf numFmtId="0" fontId="51" fillId="28" borderId="16" xfId="0" applyFont="1" applyFill="1" applyBorder="1" applyAlignment="1">
      <alignment horizontal="right" vertical="center" wrapText="1"/>
    </xf>
    <xf numFmtId="0" fontId="51" fillId="28" borderId="15" xfId="0" applyFont="1" applyFill="1" applyBorder="1" applyAlignment="1">
      <alignment horizontal="right" vertical="center" wrapText="1"/>
    </xf>
    <xf numFmtId="0" fontId="51" fillId="31" borderId="33" xfId="0" applyFont="1" applyFill="1" applyBorder="1" applyAlignment="1">
      <alignment horizontal="right" vertical="center" wrapText="1"/>
    </xf>
    <xf numFmtId="0" fontId="51" fillId="31" borderId="21" xfId="0" applyFont="1" applyFill="1" applyBorder="1" applyAlignment="1">
      <alignment horizontal="right" vertical="center" wrapText="1"/>
    </xf>
    <xf numFmtId="0" fontId="51" fillId="31" borderId="20" xfId="0" applyFont="1" applyFill="1" applyBorder="1" applyAlignment="1">
      <alignment horizontal="right" vertical="center" wrapText="1"/>
    </xf>
    <xf numFmtId="0" fontId="51" fillId="31" borderId="16" xfId="0" applyFont="1" applyFill="1" applyBorder="1" applyAlignment="1">
      <alignment horizontal="right" vertical="center" wrapText="1"/>
    </xf>
    <xf numFmtId="0" fontId="51" fillId="31" borderId="15" xfId="0" applyFont="1" applyFill="1" applyBorder="1" applyAlignment="1">
      <alignment horizontal="right" vertical="center" wrapText="1"/>
    </xf>
    <xf numFmtId="0" fontId="24" fillId="0" borderId="30" xfId="0" applyFont="1" applyBorder="1" applyAlignment="1">
      <alignment horizontal="center"/>
    </xf>
    <xf numFmtId="0" fontId="24" fillId="0" borderId="31" xfId="0" applyFont="1" applyBorder="1" applyAlignment="1">
      <alignment horizontal="center"/>
    </xf>
    <xf numFmtId="0" fontId="24" fillId="0" borderId="32" xfId="0" applyFont="1" applyBorder="1" applyAlignment="1">
      <alignment horizontal="center"/>
    </xf>
    <xf numFmtId="0" fontId="79" fillId="0" borderId="30" xfId="0" applyFont="1" applyBorder="1" applyAlignment="1">
      <alignment horizontal="center" vertical="center" wrapText="1"/>
    </xf>
    <xf numFmtId="0" fontId="79" fillId="0" borderId="31" xfId="0" applyFont="1" applyBorder="1" applyAlignment="1">
      <alignment horizontal="center" vertical="center" wrapText="1"/>
    </xf>
    <xf numFmtId="0" fontId="79" fillId="0" borderId="32" xfId="0" applyFont="1" applyBorder="1" applyAlignment="1">
      <alignment horizontal="center" vertical="center" wrapText="1"/>
    </xf>
    <xf numFmtId="0" fontId="16" fillId="0" borderId="52" xfId="69" applyFont="1" applyBorder="1" applyAlignment="1">
      <alignment horizontal="left" vertical="center" readingOrder="1"/>
    </xf>
    <xf numFmtId="0" fontId="16" fillId="0" borderId="22" xfId="69" applyFont="1" applyBorder="1" applyAlignment="1">
      <alignment horizontal="left" vertical="center" readingOrder="1"/>
    </xf>
    <xf numFmtId="0" fontId="16" fillId="0" borderId="51" xfId="69" applyFont="1" applyBorder="1" applyAlignment="1">
      <alignment horizontal="left" vertical="center" readingOrder="1"/>
    </xf>
    <xf numFmtId="0" fontId="16" fillId="0" borderId="28" xfId="69" applyFont="1" applyBorder="1" applyAlignment="1">
      <alignment horizontal="left" vertical="center" readingOrder="1"/>
    </xf>
    <xf numFmtId="0" fontId="16" fillId="0" borderId="25" xfId="69" applyFont="1" applyBorder="1" applyAlignment="1">
      <alignment horizontal="left" vertical="center" readingOrder="1"/>
    </xf>
    <xf numFmtId="0" fontId="16" fillId="0" borderId="26" xfId="69" applyFont="1" applyBorder="1" applyAlignment="1">
      <alignment horizontal="left" vertical="center" readingOrder="1"/>
    </xf>
    <xf numFmtId="0" fontId="51" fillId="40" borderId="36" xfId="0" applyFont="1" applyFill="1" applyBorder="1" applyAlignment="1">
      <alignment horizontal="right" vertical="center"/>
    </xf>
    <xf numFmtId="0" fontId="51" fillId="40" borderId="37" xfId="0" applyFont="1" applyFill="1" applyBorder="1" applyAlignment="1">
      <alignment horizontal="right" vertical="center"/>
    </xf>
    <xf numFmtId="0" fontId="51" fillId="30" borderId="16" xfId="0" applyFont="1" applyFill="1" applyBorder="1" applyAlignment="1">
      <alignment horizontal="center" vertical="center" wrapText="1"/>
    </xf>
    <xf numFmtId="0" fontId="51" fillId="30" borderId="15" xfId="0" applyFont="1" applyFill="1" applyBorder="1" applyAlignment="1">
      <alignment horizontal="center" vertical="center" wrapText="1"/>
    </xf>
    <xf numFmtId="0" fontId="51" fillId="40" borderId="16" xfId="0" applyFont="1" applyFill="1" applyBorder="1" applyAlignment="1">
      <alignment horizontal="right" vertical="center"/>
    </xf>
    <xf numFmtId="0" fontId="51" fillId="40" borderId="15" xfId="0" applyFont="1" applyFill="1" applyBorder="1" applyAlignment="1">
      <alignment horizontal="right" vertical="center"/>
    </xf>
    <xf numFmtId="168" fontId="21" fillId="0" borderId="45" xfId="0" applyNumberFormat="1" applyFont="1" applyBorder="1" applyAlignment="1">
      <alignment horizontal="center" vertical="center" wrapText="1"/>
    </xf>
    <xf numFmtId="168" fontId="21" fillId="0" borderId="29" xfId="0" applyNumberFormat="1" applyFont="1" applyBorder="1" applyAlignment="1">
      <alignment horizontal="center" vertical="center" wrapText="1"/>
    </xf>
    <xf numFmtId="0" fontId="20" fillId="0" borderId="19" xfId="0" applyFont="1" applyBorder="1" applyAlignment="1">
      <alignment horizontal="left" vertical="center" wrapText="1"/>
    </xf>
    <xf numFmtId="0" fontId="20" fillId="0" borderId="18" xfId="0" applyFont="1" applyBorder="1" applyAlignment="1">
      <alignment horizontal="left" vertical="center" wrapText="1"/>
    </xf>
    <xf numFmtId="165" fontId="20" fillId="29" borderId="19" xfId="64" applyFont="1" applyFill="1" applyBorder="1" applyAlignment="1">
      <alignment horizontal="center" vertical="center"/>
    </xf>
    <xf numFmtId="165" fontId="20" fillId="29" borderId="18" xfId="64" applyFont="1" applyFill="1" applyBorder="1" applyAlignment="1">
      <alignment horizontal="center" vertical="center"/>
    </xf>
    <xf numFmtId="10" fontId="20" fillId="0" borderId="18" xfId="83" applyNumberFormat="1" applyFont="1" applyBorder="1" applyAlignment="1">
      <alignment horizontal="center" vertical="center"/>
    </xf>
    <xf numFmtId="10" fontId="20" fillId="0" borderId="15" xfId="83" applyNumberFormat="1" applyFont="1" applyBorder="1" applyAlignment="1">
      <alignment horizontal="center" vertical="center"/>
    </xf>
    <xf numFmtId="165" fontId="20" fillId="29" borderId="15" xfId="64" applyFont="1" applyFill="1" applyBorder="1" applyAlignment="1">
      <alignment horizontal="center" vertical="center"/>
    </xf>
    <xf numFmtId="168" fontId="21" fillId="0" borderId="16" xfId="0" applyNumberFormat="1" applyFont="1" applyBorder="1" applyAlignment="1">
      <alignment horizontal="center" vertical="center" wrapText="1"/>
    </xf>
    <xf numFmtId="0" fontId="21" fillId="31" borderId="30" xfId="0" applyFont="1" applyFill="1" applyBorder="1" applyAlignment="1">
      <alignment horizontal="right"/>
    </xf>
    <xf numFmtId="0" fontId="21" fillId="31" borderId="32" xfId="0" applyFont="1" applyFill="1" applyBorder="1" applyAlignment="1">
      <alignment horizontal="right"/>
    </xf>
    <xf numFmtId="165" fontId="20" fillId="33" borderId="19" xfId="64" applyFont="1" applyFill="1" applyBorder="1" applyAlignment="1">
      <alignment horizontal="center" vertical="center"/>
    </xf>
    <xf numFmtId="165" fontId="20" fillId="33" borderId="18" xfId="64" applyFont="1" applyFill="1" applyBorder="1" applyAlignment="1">
      <alignment horizontal="center" vertical="center"/>
    </xf>
    <xf numFmtId="0" fontId="20" fillId="0" borderId="15" xfId="0" applyFont="1" applyBorder="1" applyAlignment="1">
      <alignment horizontal="left" vertical="center" wrapText="1"/>
    </xf>
    <xf numFmtId="165" fontId="20" fillId="0" borderId="15" xfId="64" applyFont="1" applyBorder="1" applyAlignment="1">
      <alignment horizontal="center" vertical="center"/>
    </xf>
    <xf numFmtId="164" fontId="20" fillId="0" borderId="15" xfId="0" applyNumberFormat="1" applyFont="1" applyBorder="1" applyAlignment="1">
      <alignment horizontal="left" vertical="center" wrapText="1"/>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39" xfId="0" applyFont="1" applyBorder="1" applyAlignment="1">
      <alignment horizontal="center" vertical="center"/>
    </xf>
    <xf numFmtId="0" fontId="18" fillId="0" borderId="38" xfId="0" applyFont="1" applyBorder="1" applyAlignment="1">
      <alignment horizontal="center" vertical="center"/>
    </xf>
    <xf numFmtId="165" fontId="20" fillId="0" borderId="18" xfId="64" applyFont="1" applyBorder="1" applyAlignment="1">
      <alignment horizontal="center" vertical="center"/>
    </xf>
    <xf numFmtId="4" fontId="20" fillId="0" borderId="15" xfId="0" applyNumberFormat="1" applyFont="1" applyBorder="1" applyAlignment="1">
      <alignment horizontal="left" vertical="center" wrapText="1"/>
    </xf>
    <xf numFmtId="165" fontId="20" fillId="0" borderId="19" xfId="64" applyFont="1" applyBorder="1" applyAlignment="1">
      <alignment horizontal="center" vertical="center"/>
    </xf>
    <xf numFmtId="168" fontId="20" fillId="0" borderId="19" xfId="0" applyNumberFormat="1" applyFont="1" applyBorder="1" applyAlignment="1">
      <alignment horizontal="left" vertical="center" wrapText="1"/>
    </xf>
    <xf numFmtId="168" fontId="20" fillId="0" borderId="18" xfId="0" applyNumberFormat="1" applyFont="1" applyBorder="1" applyAlignment="1">
      <alignment horizontal="left" vertical="center" wrapText="1"/>
    </xf>
    <xf numFmtId="0" fontId="21" fillId="31" borderId="30" xfId="0" applyFont="1" applyFill="1" applyBorder="1" applyAlignment="1">
      <alignment horizontal="right" wrapText="1"/>
    </xf>
    <xf numFmtId="0" fontId="21" fillId="31" borderId="32" xfId="0" applyFont="1" applyFill="1" applyBorder="1" applyAlignment="1">
      <alignment horizontal="right" wrapText="1"/>
    </xf>
    <xf numFmtId="0" fontId="4" fillId="0" borderId="30" xfId="0" applyFont="1" applyBorder="1" applyAlignment="1">
      <alignment horizontal="center"/>
    </xf>
    <xf numFmtId="0" fontId="4" fillId="0" borderId="31" xfId="0" applyFont="1" applyBorder="1" applyAlignment="1">
      <alignment horizontal="center"/>
    </xf>
    <xf numFmtId="0" fontId="4" fillId="0" borderId="32" xfId="0" applyFont="1" applyBorder="1" applyAlignment="1">
      <alignment horizontal="center"/>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6" fillId="0" borderId="30" xfId="69" applyFont="1" applyBorder="1" applyAlignment="1">
      <alignment horizontal="left" vertical="center" readingOrder="1"/>
    </xf>
    <xf numFmtId="0" fontId="16" fillId="0" borderId="31" xfId="69" applyFont="1" applyBorder="1" applyAlignment="1">
      <alignment horizontal="left" vertical="center" readingOrder="1"/>
    </xf>
    <xf numFmtId="0" fontId="16" fillId="0" borderId="32" xfId="69" applyFont="1" applyBorder="1" applyAlignment="1">
      <alignment horizontal="left" vertical="center" readingOrder="1"/>
    </xf>
    <xf numFmtId="0" fontId="16" fillId="0" borderId="27" xfId="69" applyFont="1" applyBorder="1" applyAlignment="1">
      <alignment horizontal="left" vertical="center" readingOrder="1"/>
    </xf>
    <xf numFmtId="0" fontId="16" fillId="0" borderId="0" xfId="69" applyFont="1" applyAlignment="1">
      <alignment horizontal="left" vertical="center" readingOrder="1"/>
    </xf>
    <xf numFmtId="0" fontId="16" fillId="0" borderId="24" xfId="69" applyFont="1" applyBorder="1" applyAlignment="1">
      <alignment horizontal="left" vertical="center" readingOrder="1"/>
    </xf>
    <xf numFmtId="168" fontId="21" fillId="0" borderId="33" xfId="0" applyNumberFormat="1" applyFont="1" applyBorder="1" applyAlignment="1">
      <alignment horizontal="center" vertical="center" wrapText="1"/>
    </xf>
    <xf numFmtId="0" fontId="63" fillId="29" borderId="15" xfId="0" applyFont="1" applyFill="1" applyBorder="1" applyAlignment="1">
      <alignment horizontal="left" vertical="center" wrapText="1"/>
    </xf>
    <xf numFmtId="0" fontId="54" fillId="0" borderId="46" xfId="0" applyFont="1" applyBorder="1" applyAlignment="1">
      <alignment horizontal="center" vertical="center"/>
    </xf>
    <xf numFmtId="0" fontId="54" fillId="0" borderId="47" xfId="0" applyFont="1" applyBorder="1" applyAlignment="1">
      <alignment horizontal="center" vertical="center"/>
    </xf>
    <xf numFmtId="0" fontId="54" fillId="0" borderId="48" xfId="0" applyFont="1" applyBorder="1" applyAlignment="1">
      <alignment horizontal="center" vertical="center"/>
    </xf>
    <xf numFmtId="0" fontId="54" fillId="0" borderId="23" xfId="0" applyFont="1" applyBorder="1" applyAlignment="1">
      <alignment horizontal="center" vertical="center"/>
    </xf>
    <xf numFmtId="0" fontId="54" fillId="0" borderId="0" xfId="0" applyFont="1" applyAlignment="1">
      <alignment horizontal="center" vertical="center"/>
    </xf>
    <xf numFmtId="0" fontId="54" fillId="0" borderId="49" xfId="0" applyFont="1" applyBorder="1" applyAlignment="1">
      <alignment horizontal="center" vertical="center"/>
    </xf>
    <xf numFmtId="0" fontId="54" fillId="0" borderId="50" xfId="0" applyFont="1" applyBorder="1" applyAlignment="1">
      <alignment horizontal="center" vertical="center"/>
    </xf>
    <xf numFmtId="0" fontId="54" fillId="0" borderId="34" xfId="0" applyFont="1" applyBorder="1" applyAlignment="1">
      <alignment horizontal="center" vertical="center"/>
    </xf>
    <xf numFmtId="0" fontId="54" fillId="0" borderId="42" xfId="0" applyFont="1" applyBorder="1" applyAlignment="1">
      <alignment horizontal="center" vertical="center"/>
    </xf>
    <xf numFmtId="0" fontId="55" fillId="31" borderId="15" xfId="0" applyFont="1" applyFill="1" applyBorder="1" applyAlignment="1">
      <alignment horizontal="center" vertical="center" wrapText="1"/>
    </xf>
    <xf numFmtId="0" fontId="55" fillId="29" borderId="15" xfId="0" applyFont="1" applyFill="1" applyBorder="1" applyAlignment="1">
      <alignment horizontal="center" vertical="center"/>
    </xf>
    <xf numFmtId="0" fontId="15" fillId="0" borderId="27" xfId="69" applyFont="1" applyBorder="1" applyAlignment="1">
      <alignment horizontal="left" vertical="center" readingOrder="1"/>
    </xf>
    <xf numFmtId="0" fontId="15" fillId="0" borderId="0" xfId="69" applyFont="1" applyAlignment="1">
      <alignment horizontal="left" vertical="center" readingOrder="1"/>
    </xf>
    <xf numFmtId="0" fontId="15" fillId="0" borderId="24" xfId="69" applyFont="1" applyBorder="1" applyAlignment="1">
      <alignment horizontal="left" vertical="center" readingOrder="1"/>
    </xf>
    <xf numFmtId="0" fontId="15" fillId="0" borderId="43" xfId="0" applyFont="1" applyBorder="1" applyAlignment="1">
      <alignment horizontal="left" vertical="center" wrapText="1"/>
    </xf>
    <xf numFmtId="0" fontId="4" fillId="0" borderId="44" xfId="0" applyFont="1" applyBorder="1" applyAlignment="1">
      <alignment horizontal="left" wrapText="1"/>
    </xf>
    <xf numFmtId="0" fontId="15" fillId="0" borderId="43" xfId="0" applyFont="1" applyBorder="1" applyAlignment="1">
      <alignment horizontal="center" vertical="center"/>
    </xf>
    <xf numFmtId="0" fontId="4" fillId="0" borderId="44" xfId="0" applyFont="1" applyBorder="1" applyAlignment="1">
      <alignment horizontal="center" vertical="center"/>
    </xf>
    <xf numFmtId="164" fontId="15" fillId="0" borderId="43" xfId="82" applyFont="1" applyBorder="1" applyAlignment="1">
      <alignment horizontal="center" vertical="center"/>
    </xf>
    <xf numFmtId="164" fontId="4" fillId="0" borderId="44" xfId="82" applyBorder="1" applyAlignment="1">
      <alignment horizontal="center" vertical="center"/>
    </xf>
    <xf numFmtId="165" fontId="15" fillId="0" borderId="43" xfId="64" applyFont="1" applyBorder="1" applyAlignment="1">
      <alignment horizontal="center" vertical="center"/>
    </xf>
    <xf numFmtId="165" fontId="15" fillId="0" borderId="44" xfId="64"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cellXfs>
  <cellStyles count="107">
    <cellStyle name="20% - Accent1" xfId="1"/>
    <cellStyle name="20% - Accent2" xfId="3"/>
    <cellStyle name="20% - Accent3" xfId="5"/>
    <cellStyle name="20% - Accent4" xfId="7"/>
    <cellStyle name="20% - Accent5" xfId="9"/>
    <cellStyle name="20% - Accent6" xfId="11"/>
    <cellStyle name="20% - Ênfase1 2" xfId="2"/>
    <cellStyle name="20% - Ênfase2 2" xfId="4"/>
    <cellStyle name="20% - Ênfase3 2" xfId="6"/>
    <cellStyle name="20% - Ênfase4 2" xfId="8"/>
    <cellStyle name="20% - Ênfase5 2" xfId="10"/>
    <cellStyle name="20% - Ênfase6 2" xfId="12"/>
    <cellStyle name="40% - Accent1" xfId="13"/>
    <cellStyle name="40% - Accent2" xfId="15"/>
    <cellStyle name="40% - Accent3" xfId="17"/>
    <cellStyle name="40% - Accent4" xfId="19"/>
    <cellStyle name="40% - Accent5" xfId="21"/>
    <cellStyle name="40% - Accent6" xfId="23"/>
    <cellStyle name="40% - Ênfase1 2" xfId="14"/>
    <cellStyle name="40% - Ênfase2 2" xfId="16"/>
    <cellStyle name="40% - Ênfase3 2" xfId="18"/>
    <cellStyle name="40% - Ênfase4 2" xfId="20"/>
    <cellStyle name="40% - Ênfase5 2" xfId="22"/>
    <cellStyle name="40% - Ênfase6 2" xfId="24"/>
    <cellStyle name="60% - Accent1" xfId="25"/>
    <cellStyle name="60% - Accent2" xfId="27"/>
    <cellStyle name="60% - Accent3" xfId="29"/>
    <cellStyle name="60% - Accent4" xfId="31"/>
    <cellStyle name="60% - Accent5" xfId="33"/>
    <cellStyle name="60% - Accent6" xfId="35"/>
    <cellStyle name="60% - Ênfase1 2" xfId="26"/>
    <cellStyle name="60% - Ênfase2 2" xfId="28"/>
    <cellStyle name="60% - Ênfase3 2" xfId="30"/>
    <cellStyle name="60% - Ênfase4 2" xfId="32"/>
    <cellStyle name="60% - Ênfase5 2" xfId="34"/>
    <cellStyle name="60% - Ênfase6 2" xfId="36"/>
    <cellStyle name="Accent1" xfId="45"/>
    <cellStyle name="Accent2" xfId="47"/>
    <cellStyle name="Accent3" xfId="49"/>
    <cellStyle name="Accent4" xfId="51"/>
    <cellStyle name="Accent5" xfId="53"/>
    <cellStyle name="Accent6" xfId="55"/>
    <cellStyle name="Bad" xfId="60"/>
    <cellStyle name="Bom" xfId="59" builtinId="26" customBuiltin="1"/>
    <cellStyle name="Bom 2" xfId="37"/>
    <cellStyle name="Calculation" xfId="38"/>
    <cellStyle name="Cálculo 2" xfId="39"/>
    <cellStyle name="Célula de Verificação" xfId="42" builtinId="23" customBuiltin="1"/>
    <cellStyle name="Célula de Verificação 2" xfId="40"/>
    <cellStyle name="Célula Vinculada" xfId="63" builtinId="24" customBuiltin="1"/>
    <cellStyle name="Célula Vinculada 2" xfId="41"/>
    <cellStyle name="Comma0" xfId="43"/>
    <cellStyle name="Currency0" xfId="44"/>
    <cellStyle name="Ênfase1 2" xfId="46"/>
    <cellStyle name="Ênfase2 2" xfId="48"/>
    <cellStyle name="Ênfase3 2" xfId="50"/>
    <cellStyle name="Ênfase4 2" xfId="52"/>
    <cellStyle name="Ênfase5 2" xfId="54"/>
    <cellStyle name="Ênfase6 2" xfId="56"/>
    <cellStyle name="Entrada" xfId="62" builtinId="20" customBuiltin="1"/>
    <cellStyle name="Entrada 2" xfId="57"/>
    <cellStyle name="Excel Built-in Normal" xfId="58"/>
    <cellStyle name="Explanatory Text" xfId="87"/>
    <cellStyle name="Heading 1" xfId="90"/>
    <cellStyle name="Heading 2" xfId="92"/>
    <cellStyle name="Heading 3" xfId="94"/>
    <cellStyle name="Heading 4" xfId="96"/>
    <cellStyle name="Incorreto 2" xfId="61"/>
    <cellStyle name="Moeda" xfId="64" builtinId="4"/>
    <cellStyle name="Moeda 2" xfId="65"/>
    <cellStyle name="Moeda 3" xfId="66"/>
    <cellStyle name="Neutra" xfId="68" builtinId="28" customBuiltin="1"/>
    <cellStyle name="Neutra 2" xfId="67"/>
    <cellStyle name="Normal" xfId="0" builtinId="0"/>
    <cellStyle name="Normal 2" xfId="69"/>
    <cellStyle name="Normal 3" xfId="106"/>
    <cellStyle name="Normal 3 3" xfId="70"/>
    <cellStyle name="Normal 30" xfId="71"/>
    <cellStyle name="Normal 4" xfId="72"/>
    <cellStyle name="Normal 4 2" xfId="105"/>
    <cellStyle name="Normal 6" xfId="73"/>
    <cellStyle name="Normal_Pesquisa no referencial 10 de maio de 2013" xfId="74"/>
    <cellStyle name="Nota" xfId="76" builtinId="10" customBuiltin="1"/>
    <cellStyle name="Nota 2" xfId="75"/>
    <cellStyle name="Output" xfId="80"/>
    <cellStyle name="Porcentagem" xfId="77" builtinId="5"/>
    <cellStyle name="Porcentagem 2" xfId="78"/>
    <cellStyle name="Porcentagem 3" xfId="79"/>
    <cellStyle name="Saída 2" xfId="81"/>
    <cellStyle name="Separador de milhares" xfId="82" builtinId="3"/>
    <cellStyle name="Separador de milhares 2" xfId="83"/>
    <cellStyle name="Separador de milhares 3" xfId="84"/>
    <cellStyle name="Separador de milhares 3 2" xfId="85"/>
    <cellStyle name="Texto de Aviso" xfId="104" builtinId="11" customBuiltin="1"/>
    <cellStyle name="Texto de Aviso 2" xfId="86"/>
    <cellStyle name="Texto Explicativo 2" xfId="88"/>
    <cellStyle name="Title" xfId="89"/>
    <cellStyle name="Título 1 2" xfId="91"/>
    <cellStyle name="Título 2 2" xfId="93"/>
    <cellStyle name="Título 3 2" xfId="95"/>
    <cellStyle name="Título 4 2" xfId="97"/>
    <cellStyle name="Título 5" xfId="98"/>
    <cellStyle name="Total" xfId="99" builtinId="25" customBuiltin="1"/>
    <cellStyle name="Total 2" xfId="100"/>
    <cellStyle name="Vírgula 2" xfId="101"/>
    <cellStyle name="Vírgula 3" xfId="102"/>
    <cellStyle name="Vírgula 5" xfId="10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lang val="pt-BR"/>
  <c:style val="13"/>
  <c:chart>
    <c:title>
      <c:tx>
        <c:rich>
          <a:bodyPr/>
          <a:lstStyle/>
          <a:p>
            <a:pPr>
              <a:defRPr/>
            </a:pPr>
            <a:r>
              <a:rPr lang="pt-BR"/>
              <a:t>GRÁFICO</a:t>
            </a:r>
            <a:r>
              <a:rPr lang="pt-BR" baseline="0"/>
              <a:t> DE CUSTOS</a:t>
            </a:r>
            <a:endParaRPr lang="pt-BR"/>
          </a:p>
        </c:rich>
      </c:tx>
      <c:layout/>
    </c:title>
    <c:plotArea>
      <c:layout/>
      <c:barChart>
        <c:barDir val="col"/>
        <c:grouping val="clustered"/>
        <c:ser>
          <c:idx val="0"/>
          <c:order val="0"/>
          <c:dLbls>
            <c:dLbl>
              <c:idx val="1"/>
              <c:layout>
                <c:manualLayout>
                  <c:x val="0"/>
                  <c:y val="-2.2832723820553777E-2"/>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5A1-4FFA-854C-CC77C24E08DE}"/>
                </c:ext>
              </c:extLst>
            </c:dLbl>
            <c:dLbl>
              <c:idx val="3"/>
              <c:layout>
                <c:manualLayout>
                  <c:x val="5.41617031765948E-3"/>
                  <c:y val="-2.3870574903306189E-2"/>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55A1-4FFA-854C-CC77C24E08DE}"/>
                </c:ext>
              </c:extLst>
            </c:dLbl>
            <c:dLbl>
              <c:idx val="5"/>
              <c:layout>
                <c:manualLayout>
                  <c:x val="0"/>
                  <c:y val="-2.1794872737801306E-2"/>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5A1-4FFA-854C-CC77C24E08DE}"/>
                </c:ext>
              </c:extLst>
            </c:dLbl>
            <c:dLbl>
              <c:idx val="6"/>
              <c:layout>
                <c:manualLayout>
                  <c:x val="-4.0621277382445918E-3"/>
                  <c:y val="-1.868131948954398E-2"/>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5A1-4FFA-854C-CC77C24E08DE}"/>
                </c:ext>
              </c:extLst>
            </c:dLbl>
            <c:dLbl>
              <c:idx val="7"/>
              <c:layout>
                <c:manualLayout>
                  <c:x val="-2.70808515882973E-3"/>
                  <c:y val="-1.971917057229642E-2"/>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5A1-4FFA-854C-CC77C24E08DE}"/>
                </c:ext>
              </c:extLst>
            </c:dLbl>
            <c:dLbl>
              <c:idx val="9"/>
              <c:layout>
                <c:manualLayout>
                  <c:x val="4.9647654377938513E-17"/>
                  <c:y val="-2.2832723820553846E-2"/>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55A1-4FFA-854C-CC77C24E08DE}"/>
                </c:ext>
              </c:extLst>
            </c:dLbl>
            <c:dLbl>
              <c:idx val="10"/>
              <c:layout>
                <c:manualLayout>
                  <c:x val="4.9647654377938513E-17"/>
                  <c:y val="-1.5567766241286652E-2"/>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55A1-4FFA-854C-CC77C24E08DE}"/>
                </c:ext>
              </c:extLst>
            </c:dLbl>
            <c:dLbl>
              <c:idx val="12"/>
              <c:layout>
                <c:manualLayout>
                  <c:x val="-1.3540425794148659E-3"/>
                  <c:y val="-2.2832723820553777E-2"/>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55A1-4FFA-854C-CC77C24E08DE}"/>
                </c:ext>
              </c:extLst>
            </c:dLbl>
            <c:dLbl>
              <c:idx val="13"/>
              <c:layout>
                <c:manualLayout>
                  <c:x val="-1.3540425794148659E-3"/>
                  <c:y val="-2.1794872737801344E-2"/>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55A1-4FFA-854C-CC77C24E08DE}"/>
                </c:ext>
              </c:extLst>
            </c:dLbl>
            <c:dLbl>
              <c:idx val="15"/>
              <c:layout>
                <c:manualLayout>
                  <c:x val="0"/>
                  <c:y val="-1.971917057229642E-2"/>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55A1-4FFA-854C-CC77C24E08DE}"/>
                </c:ext>
              </c:extLst>
            </c:dLbl>
            <c:dLbl>
              <c:idx val="16"/>
              <c:layout>
                <c:manualLayout>
                  <c:x val="0"/>
                  <c:y val="-1.971917057229642E-2"/>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55A1-4FFA-854C-CC77C24E08DE}"/>
                </c:ext>
              </c:extLst>
            </c:dLbl>
            <c:dLbl>
              <c:idx val="17"/>
              <c:layout>
                <c:manualLayout>
                  <c:x val="0"/>
                  <c:y val="-1.5567766241286652E-2"/>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55A1-4FFA-854C-CC77C24E08DE}"/>
                </c:ext>
              </c:extLst>
            </c:dLbl>
            <c:dLbl>
              <c:idx val="18"/>
              <c:layout>
                <c:manualLayout>
                  <c:x val="0"/>
                  <c:y val="-2.2832723820553777E-2"/>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55A1-4FFA-854C-CC77C24E08DE}"/>
                </c:ext>
              </c:extLst>
            </c:dLbl>
            <c:dLbl>
              <c:idx val="19"/>
              <c:layout>
                <c:manualLayout>
                  <c:x val="-9.929530875587715E-17"/>
                  <c:y val="-1.971917057229642E-2"/>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55A1-4FFA-854C-CC77C24E08DE}"/>
                </c:ext>
              </c:extLst>
            </c:dLbl>
            <c:dLbl>
              <c:idx val="20"/>
              <c:layout>
                <c:manualLayout>
                  <c:x val="0"/>
                  <c:y val="-1.868131948954398E-2"/>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55A1-4FFA-854C-CC77C24E08DE}"/>
                </c:ext>
              </c:extLst>
            </c:dLbl>
            <c:dLbl>
              <c:idx val="21"/>
              <c:layout>
                <c:manualLayout>
                  <c:x val="-9.929530875587715E-17"/>
                  <c:y val="-2.0757021655048863E-2"/>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55A1-4FFA-854C-CC77C24E08DE}"/>
                </c:ext>
              </c:extLst>
            </c:dLbl>
            <c:dLbl>
              <c:idx val="22"/>
              <c:layout>
                <c:manualLayout>
                  <c:x val="-4.0621277382444894E-3"/>
                  <c:y val="-5.1892554137622201E-3"/>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55A1-4FFA-854C-CC77C24E08DE}"/>
                </c:ext>
              </c:extLst>
            </c:dLbl>
            <c:dLbl>
              <c:idx val="23"/>
              <c:layout>
                <c:manualLayout>
                  <c:x val="-1.3540425794148659E-3"/>
                  <c:y val="-1.971917057229642E-2"/>
                </c:manualLayout>
              </c:layout>
              <c:dLblPos val="in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55A1-4FFA-854C-CC77C24E08DE}"/>
                </c:ext>
              </c:extLst>
            </c:dLbl>
            <c:spPr>
              <a:noFill/>
              <a:ln>
                <a:noFill/>
              </a:ln>
              <a:effectLst/>
            </c:spPr>
            <c:dLblPos val="inEnd"/>
            <c:showVal val="1"/>
            <c:extLst xmlns:c16r2="http://schemas.microsoft.com/office/drawing/2015/06/chart">
              <c:ext xmlns:c15="http://schemas.microsoft.com/office/drawing/2012/chart" uri="{CE6537A1-D6FC-4f65-9D91-7224C49458BB}">
                <c15:showLeaderLines val="0"/>
              </c:ext>
            </c:extLst>
          </c:dLbls>
          <c:cat>
            <c:strRef>
              <c:f>'1-RESUMO'!$C$11:$C$34</c:f>
              <c:strCache>
                <c:ptCount val="24"/>
                <c:pt idx="0">
                  <c:v>ADIMINISTRAÇÃO LOCAL</c:v>
                </c:pt>
                <c:pt idx="1">
                  <c:v>INSTALAÇÕES DE CANTEIRO E SERVIÇOS PRELIMINARES</c:v>
                </c:pt>
                <c:pt idx="2">
                  <c:v>DEMOLIÇÕES E RETIRADAS</c:v>
                </c:pt>
                <c:pt idx="3">
                  <c:v>FUNDAÇÕES </c:v>
                </c:pt>
                <c:pt idx="4">
                  <c:v>SUPERESTRUTURA </c:v>
                </c:pt>
                <c:pt idx="5">
                  <c:v>ALAMBRADO</c:v>
                </c:pt>
                <c:pt idx="6">
                  <c:v>MURETA </c:v>
                </c:pt>
                <c:pt idx="7">
                  <c:v>REFORMA DE VESTIARIOS E BILHETERIA EXISTENTES</c:v>
                </c:pt>
                <c:pt idx="8">
                  <c:v>GUARDA CORPO </c:v>
                </c:pt>
                <c:pt idx="9">
                  <c:v>URBANIZAÇÃO</c:v>
                </c:pt>
                <c:pt idx="10">
                  <c:v>PISOS EXTERNOS E CALÇAMENTOS</c:v>
                </c:pt>
                <c:pt idx="11">
                  <c:v>PORTÕES DE ACESSO</c:v>
                </c:pt>
                <c:pt idx="12">
                  <c:v>ARQUIBANCADA</c:v>
                </c:pt>
                <c:pt idx="13">
                  <c:v>MURO DE VEDAÇÃO</c:v>
                </c:pt>
                <c:pt idx="14">
                  <c:v>BILHETERIA SECUNDARIA</c:v>
                </c:pt>
                <c:pt idx="15">
                  <c:v>BANHEIRO PUBLICO 01</c:v>
                </c:pt>
                <c:pt idx="16">
                  <c:v>RESTAURAÇÃO CANTINA E ACESSO</c:v>
                </c:pt>
                <c:pt idx="17">
                  <c:v>BANHEIRO PUBLICO 02</c:v>
                </c:pt>
                <c:pt idx="18">
                  <c:v>2 MODULOS DE ARQUIBANCADAS DE 35 M</c:v>
                </c:pt>
                <c:pt idx="19">
                  <c:v>PISO DE CONCRETO NO ENTORNO DE ARQIBANCADA </c:v>
                </c:pt>
                <c:pt idx="20">
                  <c:v>INSTALAÇÕES HIDROSANITARIAS</c:v>
                </c:pt>
                <c:pt idx="21">
                  <c:v>INSTALAÇÕES ELÉTRICAS</c:v>
                </c:pt>
                <c:pt idx="22">
                  <c:v>SERVIÇOS DIVERSOS</c:v>
                </c:pt>
                <c:pt idx="23">
                  <c:v>LIMPEZA DE OBRA </c:v>
                </c:pt>
              </c:strCache>
            </c:strRef>
          </c:cat>
          <c:val>
            <c:numRef>
              <c:f>'1-RESUMO'!$D$11:$D$34</c:f>
              <c:numCache>
                <c:formatCode>_-"R$"\ * #,##0.00_-;\-"R$"\ * #,##0.00_-;_-"R$"\ * "-"??_-;_-@_-</c:formatCode>
                <c:ptCount val="24"/>
                <c:pt idx="0">
                  <c:v>106269.95999999999</c:v>
                </c:pt>
                <c:pt idx="1">
                  <c:v>77403.589999999982</c:v>
                </c:pt>
                <c:pt idx="2">
                  <c:v>31362.649999999998</c:v>
                </c:pt>
                <c:pt idx="3">
                  <c:v>33582.860000000015</c:v>
                </c:pt>
                <c:pt idx="4">
                  <c:v>9256.5499999999993</c:v>
                </c:pt>
                <c:pt idx="5">
                  <c:v>98450.7</c:v>
                </c:pt>
                <c:pt idx="6">
                  <c:v>13709.860000000002</c:v>
                </c:pt>
                <c:pt idx="7">
                  <c:v>185627.70000000004</c:v>
                </c:pt>
                <c:pt idx="8">
                  <c:v>6432.1399999999994</c:v>
                </c:pt>
                <c:pt idx="9">
                  <c:v>141531.22</c:v>
                </c:pt>
                <c:pt idx="10">
                  <c:v>20087.95</c:v>
                </c:pt>
                <c:pt idx="11">
                  <c:v>15383.77</c:v>
                </c:pt>
                <c:pt idx="12">
                  <c:v>39717.550000000003</c:v>
                </c:pt>
                <c:pt idx="13">
                  <c:v>386603.85000000003</c:v>
                </c:pt>
                <c:pt idx="14">
                  <c:v>21092.539999999997</c:v>
                </c:pt>
                <c:pt idx="15">
                  <c:v>84960.760000000024</c:v>
                </c:pt>
                <c:pt idx="16">
                  <c:v>43567.08</c:v>
                </c:pt>
                <c:pt idx="17">
                  <c:v>63338.879999999997</c:v>
                </c:pt>
                <c:pt idx="18">
                  <c:v>199366.11</c:v>
                </c:pt>
                <c:pt idx="19">
                  <c:v>34508.589999999997</c:v>
                </c:pt>
                <c:pt idx="20">
                  <c:v>71601.62</c:v>
                </c:pt>
                <c:pt idx="21">
                  <c:v>196535.25000000006</c:v>
                </c:pt>
                <c:pt idx="22">
                  <c:v>5011.1900000000005</c:v>
                </c:pt>
                <c:pt idx="23">
                  <c:v>17938.849999999999</c:v>
                </c:pt>
              </c:numCache>
            </c:numRef>
          </c:val>
          <c:extLst xmlns:c16r2="http://schemas.microsoft.com/office/drawing/2015/06/chart">
            <c:ext xmlns:c16="http://schemas.microsoft.com/office/drawing/2014/chart" uri="{C3380CC4-5D6E-409C-BE32-E72D297353CC}">
              <c16:uniqueId val="{00000012-55A1-4FFA-854C-CC77C24E08DE}"/>
            </c:ext>
          </c:extLst>
        </c:ser>
        <c:gapWidth val="75"/>
        <c:overlap val="40"/>
        <c:axId val="98961664"/>
        <c:axId val="99012608"/>
      </c:barChart>
      <c:catAx>
        <c:axId val="98961664"/>
        <c:scaling>
          <c:orientation val="minMax"/>
        </c:scaling>
        <c:axPos val="b"/>
        <c:numFmt formatCode="General" sourceLinked="0"/>
        <c:majorTickMark val="none"/>
        <c:tickLblPos val="nextTo"/>
        <c:crossAx val="99012608"/>
        <c:crosses val="autoZero"/>
        <c:auto val="1"/>
        <c:lblAlgn val="ctr"/>
        <c:lblOffset val="100"/>
      </c:catAx>
      <c:valAx>
        <c:axId val="99012608"/>
        <c:scaling>
          <c:orientation val="minMax"/>
        </c:scaling>
        <c:axPos val="l"/>
        <c:majorGridlines/>
        <c:numFmt formatCode="_-&quot;R$&quot;\ * #,##0.00_-;\-&quot;R$&quot;\ * #,##0.00_-;_-&quot;R$&quot;\ * &quot;-&quot;??_-;_-@_-" sourceLinked="1"/>
        <c:majorTickMark val="none"/>
        <c:tickLblPos val="nextTo"/>
        <c:crossAx val="98961664"/>
        <c:crosses val="autoZero"/>
        <c:crossBetween val="between"/>
      </c:valAx>
    </c:plotArea>
    <c:plotVisOnly val="1"/>
    <c:dispBlanksAs val="gap"/>
  </c:chart>
  <c:printSettings>
    <c:headerFooter/>
    <c:pageMargins b="0.78740157480314954" l="0.51181102362204722" r="0.51181102362204722" t="0.78740157480314954" header="0.31496062992126006" footer="0.31496062992126006"/>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2453652</xdr:colOff>
      <xdr:row>1</xdr:row>
      <xdr:rowOff>1034143</xdr:rowOff>
    </xdr:to>
    <xdr:pic>
      <xdr:nvPicPr>
        <xdr:cNvPr id="3" name="Imagem 1">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twoCellAnchor>
    <xdr:from>
      <xdr:col>7</xdr:col>
      <xdr:colOff>134471</xdr:colOff>
      <xdr:row>1</xdr:row>
      <xdr:rowOff>112060</xdr:rowOff>
    </xdr:from>
    <xdr:to>
      <xdr:col>24</xdr:col>
      <xdr:colOff>168085</xdr:colOff>
      <xdr:row>29</xdr:row>
      <xdr:rowOff>302559</xdr:rowOff>
    </xdr:to>
    <xdr:graphicFrame macro="">
      <xdr:nvGraphicFramePr>
        <xdr:cNvPr id="12" name="Gráfico 11">
          <a:extLst>
            <a:ext uri="{FF2B5EF4-FFF2-40B4-BE49-F238E27FC236}">
              <a16:creationId xmlns=""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3537859</xdr:colOff>
      <xdr:row>1</xdr:row>
      <xdr:rowOff>95250</xdr:rowOff>
    </xdr:from>
    <xdr:to>
      <xdr:col>10</xdr:col>
      <xdr:colOff>874188</xdr:colOff>
      <xdr:row>1</xdr:row>
      <xdr:rowOff>1224816</xdr:rowOff>
    </xdr:to>
    <xdr:pic>
      <xdr:nvPicPr>
        <xdr:cNvPr id="2" name="Imagem 1" descr="PREFEITURA DE VÁRZEA GRANDE.PNG">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6708323" y="571500"/>
          <a:ext cx="4793044" cy="1129566"/>
        </a:xfrm>
        <a:prstGeom prst="rect">
          <a:avLst/>
        </a:prstGeom>
      </xdr:spPr>
    </xdr:pic>
    <xdr:clientData/>
  </xdr:twoCellAnchor>
  <xdr:twoCellAnchor editAs="oneCell">
    <xdr:from>
      <xdr:col>1</xdr:col>
      <xdr:colOff>122464</xdr:colOff>
      <xdr:row>1</xdr:row>
      <xdr:rowOff>69762</xdr:rowOff>
    </xdr:from>
    <xdr:to>
      <xdr:col>4</xdr:col>
      <xdr:colOff>1524000</xdr:colOff>
      <xdr:row>1</xdr:row>
      <xdr:rowOff>1199155</xdr:rowOff>
    </xdr:to>
    <xdr:pic>
      <xdr:nvPicPr>
        <xdr:cNvPr id="3" name="Imagem 1">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1360714</xdr:colOff>
      <xdr:row>1</xdr:row>
      <xdr:rowOff>95250</xdr:rowOff>
    </xdr:from>
    <xdr:to>
      <xdr:col>10</xdr:col>
      <xdr:colOff>195604</xdr:colOff>
      <xdr:row>1</xdr:row>
      <xdr:rowOff>1170198</xdr:rowOff>
    </xdr:to>
    <xdr:pic>
      <xdr:nvPicPr>
        <xdr:cNvPr id="2" name="Imagem 1" descr="PREFEITURA DE VÁRZEA GRANDE.PNG">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10654393" y="693964"/>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 xmlns:a16="http://schemas.microsoft.com/office/drawing/2014/main" id="{00000000-0008-0000-0600-000007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laudenir.junior/Desktop/JUNIOR/MINI%20ESTADIOS/DITO%20SOUZA/REVITALIZA&#199;&#195;O/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Q2300"/>
  <sheetViews>
    <sheetView zoomScale="85" zoomScaleNormal="85" zoomScaleSheetLayoutView="80" workbookViewId="0">
      <pane ySplit="4" topLeftCell="A5" activePane="bottomLeft" state="frozen"/>
      <selection activeCell="B1" sqref="B1"/>
      <selection pane="bottomLeft" activeCell="F17" sqref="F17"/>
    </sheetView>
  </sheetViews>
  <sheetFormatPr defaultColWidth="13.85546875" defaultRowHeight="12.75"/>
  <cols>
    <col min="1" max="1" width="6.85546875" style="3" customWidth="1"/>
    <col min="2" max="2" width="43.42578125" style="149" customWidth="1"/>
    <col min="3" max="3" width="11.85546875" style="26" customWidth="1"/>
    <col min="4" max="4" width="12.5703125" style="26" customWidth="1"/>
    <col min="5" max="5" width="14.140625" style="58" customWidth="1"/>
    <col min="6" max="6" width="14.42578125" style="51" customWidth="1"/>
    <col min="7" max="7" width="12.140625" style="51" customWidth="1"/>
    <col min="8" max="8" width="14.5703125" style="51" customWidth="1"/>
    <col min="9" max="9" width="14" style="51" bestFit="1" customWidth="1"/>
    <col min="10" max="10" width="17.42578125" style="51" customWidth="1"/>
    <col min="11" max="11" width="14.42578125" style="180" customWidth="1"/>
    <col min="12" max="12" width="8.28515625" style="58" bestFit="1" customWidth="1"/>
    <col min="13" max="13" width="22.140625" style="103" bestFit="1" customWidth="1"/>
    <col min="14" max="14" width="13.5703125" style="3" customWidth="1"/>
    <col min="15" max="15" width="6.7109375" style="3" customWidth="1"/>
    <col min="16" max="16" width="11.140625" style="3" bestFit="1" customWidth="1"/>
    <col min="17" max="16384" width="13.85546875" style="3"/>
  </cols>
  <sheetData>
    <row r="1" spans="2:14" ht="13.5" thickBot="1"/>
    <row r="2" spans="2:14" ht="18.75" thickBot="1">
      <c r="B2" s="482" t="str">
        <f>'2-ORÇAMENTO'!B3:K3</f>
        <v xml:space="preserve">OBRA: REFORMA DO ESTÁDIO BENEDITO LAURINDO DE SOUZA </v>
      </c>
      <c r="C2" s="483"/>
      <c r="D2" s="483"/>
      <c r="E2" s="483"/>
      <c r="F2" s="483"/>
      <c r="G2" s="483"/>
      <c r="H2" s="483"/>
      <c r="I2" s="483"/>
      <c r="J2" s="483"/>
      <c r="K2" s="483"/>
      <c r="L2" s="483"/>
      <c r="M2" s="483"/>
      <c r="N2" s="484"/>
    </row>
    <row r="3" spans="2:14" ht="13.5" thickBot="1">
      <c r="B3" s="485" t="str">
        <f>'2-ORÇAMENTO'!B4:K4</f>
        <v>LOCAL: ESTÁDIO BENEDITO LAURINDO DE SOUZA "DITO SOUZA"</v>
      </c>
      <c r="C3" s="486"/>
      <c r="D3" s="486"/>
      <c r="E3" s="486"/>
      <c r="F3" s="486"/>
      <c r="G3" s="486"/>
      <c r="H3" s="486"/>
      <c r="I3" s="486"/>
      <c r="J3" s="486"/>
      <c r="K3" s="486"/>
      <c r="L3" s="486"/>
      <c r="M3" s="486"/>
      <c r="N3" s="487"/>
    </row>
    <row r="4" spans="2:14" ht="26.25" thickBot="1">
      <c r="B4" s="62" t="s">
        <v>0</v>
      </c>
      <c r="C4" s="62" t="s">
        <v>1</v>
      </c>
      <c r="D4" s="75" t="s">
        <v>2</v>
      </c>
      <c r="E4" s="488" t="s">
        <v>3</v>
      </c>
      <c r="F4" s="489"/>
      <c r="G4" s="489"/>
      <c r="H4" s="489"/>
      <c r="I4" s="489"/>
      <c r="J4" s="490"/>
      <c r="K4" s="181" t="s">
        <v>4</v>
      </c>
      <c r="L4" s="98" t="s">
        <v>5</v>
      </c>
      <c r="M4" s="97" t="s">
        <v>6</v>
      </c>
      <c r="N4" s="223" t="s">
        <v>5</v>
      </c>
    </row>
    <row r="5" spans="2:14" ht="16.5" thickBot="1">
      <c r="B5" s="158"/>
      <c r="C5" s="159"/>
      <c r="D5" s="159"/>
      <c r="E5" s="160"/>
      <c r="F5" s="161"/>
      <c r="G5" s="161"/>
      <c r="H5" s="161"/>
      <c r="I5" s="161"/>
      <c r="J5" s="162"/>
      <c r="K5" s="182"/>
      <c r="L5" s="161"/>
      <c r="M5" s="163"/>
      <c r="N5" s="162"/>
    </row>
    <row r="6" spans="2:14" ht="13.5" thickBot="1">
      <c r="B6" s="151"/>
      <c r="C6" s="91"/>
      <c r="D6" s="91"/>
      <c r="E6" s="444" t="s">
        <v>7</v>
      </c>
      <c r="F6" s="445"/>
      <c r="G6" s="445"/>
      <c r="H6" s="445"/>
      <c r="I6" s="445"/>
      <c r="J6" s="446"/>
      <c r="K6" s="183"/>
      <c r="L6" s="56"/>
      <c r="M6" s="93"/>
      <c r="N6" s="107"/>
    </row>
    <row r="7" spans="2:14">
      <c r="B7" s="150"/>
      <c r="E7" s="112"/>
      <c r="J7" s="102"/>
      <c r="N7" s="104"/>
    </row>
    <row r="8" spans="2:14" ht="15">
      <c r="B8" s="150"/>
      <c r="C8" s="26">
        <v>90777</v>
      </c>
      <c r="D8" s="16" t="s">
        <v>8</v>
      </c>
      <c r="E8" s="447" t="str">
        <f>IFERROR(VLOOKUP($C8,'SINAPI JULHO 2018'!$1:$1048576,2,0),IFERROR(VLOOKUP($C8,'5-COMP. PROPRIA'!$B$13:$I$518,4,0),""))</f>
        <v>ENGENHEIRO CIVIL DE OBRA JUNIOR COM ENCARGOS COMPLEMENTARES</v>
      </c>
      <c r="F8" s="448"/>
      <c r="G8" s="448"/>
      <c r="H8" s="448"/>
      <c r="I8" s="448"/>
      <c r="J8" s="449"/>
      <c r="K8" s="53">
        <f>E10*G10*H10</f>
        <v>132</v>
      </c>
      <c r="L8" s="128" t="s">
        <v>9</v>
      </c>
      <c r="M8" s="53"/>
      <c r="N8" s="109"/>
    </row>
    <row r="9" spans="2:14" ht="38.25">
      <c r="B9" s="152" t="s">
        <v>10</v>
      </c>
      <c r="E9" s="79" t="s">
        <v>11</v>
      </c>
      <c r="G9" s="17" t="s">
        <v>12</v>
      </c>
      <c r="H9" s="67" t="s">
        <v>13</v>
      </c>
      <c r="J9" s="102"/>
      <c r="N9" s="104"/>
    </row>
    <row r="10" spans="2:14">
      <c r="B10" s="150"/>
      <c r="E10" s="111">
        <v>6</v>
      </c>
      <c r="G10" s="71">
        <v>1</v>
      </c>
      <c r="H10" s="51">
        <f>1*22</f>
        <v>22</v>
      </c>
      <c r="J10" s="102"/>
      <c r="K10" s="180">
        <f>E10*G10</f>
        <v>6</v>
      </c>
      <c r="N10" s="104"/>
    </row>
    <row r="11" spans="2:14">
      <c r="B11" s="150"/>
      <c r="E11" s="112"/>
      <c r="J11" s="102"/>
      <c r="N11" s="104"/>
    </row>
    <row r="12" spans="2:14" ht="25.5">
      <c r="B12" s="150" t="s">
        <v>14</v>
      </c>
      <c r="C12" s="26">
        <v>90780</v>
      </c>
      <c r="D12" s="16" t="s">
        <v>8</v>
      </c>
      <c r="E12" s="447" t="str">
        <f>IFERROR(VLOOKUP($C12,'SINAPI JULHO 2018'!$1:$1048576,2,0),IFERROR(VLOOKUP($C12,'5-COMP. PROPRIA'!$B$13:$I$518,4,0),""))</f>
        <v>MESTRE DE OBRAS COM ENCARGOS COMPLEMENTARES</v>
      </c>
      <c r="F12" s="448"/>
      <c r="G12" s="448"/>
      <c r="H12" s="448"/>
      <c r="I12" s="448"/>
      <c r="J12" s="449"/>
      <c r="K12" s="184">
        <f>E14*G14*H14</f>
        <v>1056</v>
      </c>
      <c r="L12" s="57" t="s">
        <v>9</v>
      </c>
      <c r="M12" s="53"/>
      <c r="N12" s="109"/>
    </row>
    <row r="13" spans="2:14" ht="38.25">
      <c r="B13" s="150" t="s">
        <v>15</v>
      </c>
      <c r="E13" s="79" t="s">
        <v>11</v>
      </c>
      <c r="G13" s="17" t="s">
        <v>12</v>
      </c>
      <c r="H13" s="67" t="s">
        <v>13</v>
      </c>
      <c r="J13" s="102"/>
      <c r="N13" s="104"/>
    </row>
    <row r="14" spans="2:14">
      <c r="B14" s="150"/>
      <c r="E14" s="111">
        <v>6</v>
      </c>
      <c r="G14" s="71">
        <v>1</v>
      </c>
      <c r="H14" s="51">
        <f>8*22</f>
        <v>176</v>
      </c>
      <c r="J14" s="102"/>
      <c r="N14" s="104"/>
    </row>
    <row r="15" spans="2:14">
      <c r="B15" s="150"/>
      <c r="E15" s="112"/>
      <c r="J15" s="102"/>
      <c r="N15" s="104"/>
    </row>
    <row r="16" spans="2:14" ht="15">
      <c r="B16" s="150"/>
      <c r="C16" s="26">
        <v>88326</v>
      </c>
      <c r="D16" s="16" t="s">
        <v>8</v>
      </c>
      <c r="E16" s="447" t="str">
        <f>IFERROR(VLOOKUP($C16,'SINAPI JULHO 2018'!$1:$1048576,2,0),IFERROR(VLOOKUP($C16,'5-COMP. PROPRIA'!$B$13:$I$518,4,0),""))</f>
        <v>VIGIA NOTURNO COM ENCARGOS COMPLEMENTARES</v>
      </c>
      <c r="F16" s="448"/>
      <c r="G16" s="448"/>
      <c r="H16" s="448"/>
      <c r="I16" s="448"/>
      <c r="J16" s="449"/>
      <c r="K16" s="184">
        <f>SUM(K18:K19)</f>
        <v>2880</v>
      </c>
      <c r="L16" s="57" t="s">
        <v>16</v>
      </c>
      <c r="N16" s="104"/>
    </row>
    <row r="17" spans="2:14" ht="51">
      <c r="B17" s="152" t="s">
        <v>17</v>
      </c>
      <c r="E17" s="79" t="s">
        <v>11</v>
      </c>
      <c r="F17" s="67" t="s">
        <v>18</v>
      </c>
      <c r="G17" s="67" t="s">
        <v>19</v>
      </c>
      <c r="H17" s="67" t="s">
        <v>20</v>
      </c>
      <c r="I17" s="17" t="s">
        <v>12</v>
      </c>
      <c r="J17" s="102"/>
      <c r="N17" s="104"/>
    </row>
    <row r="18" spans="2:14">
      <c r="B18" s="150" t="s">
        <v>21</v>
      </c>
      <c r="E18" s="111">
        <v>6</v>
      </c>
      <c r="F18" s="51">
        <v>12</v>
      </c>
      <c r="G18" s="71">
        <v>20</v>
      </c>
      <c r="H18" s="51">
        <f>F18*G18</f>
        <v>240</v>
      </c>
      <c r="I18" s="71">
        <v>1</v>
      </c>
      <c r="J18" s="102"/>
      <c r="K18" s="180">
        <f>E18*I18*H18</f>
        <v>1440</v>
      </c>
      <c r="N18" s="104"/>
    </row>
    <row r="19" spans="2:14">
      <c r="B19" s="150" t="s">
        <v>22</v>
      </c>
      <c r="E19" s="111">
        <v>6</v>
      </c>
      <c r="F19" s="51">
        <v>24</v>
      </c>
      <c r="G19" s="71">
        <v>10</v>
      </c>
      <c r="H19" s="51">
        <f>F19*G19</f>
        <v>240</v>
      </c>
      <c r="I19" s="71">
        <v>1</v>
      </c>
      <c r="J19" s="102"/>
      <c r="K19" s="180">
        <f>E19*I19*H19</f>
        <v>1440</v>
      </c>
      <c r="N19" s="104"/>
    </row>
    <row r="20" spans="2:14">
      <c r="B20" s="150"/>
      <c r="E20" s="112"/>
      <c r="J20" s="102"/>
      <c r="N20" s="104"/>
    </row>
    <row r="21" spans="2:14" ht="13.5" thickBot="1">
      <c r="B21" s="150"/>
      <c r="E21" s="112"/>
      <c r="J21" s="102"/>
      <c r="N21" s="104"/>
    </row>
    <row r="22" spans="2:14" ht="13.5" thickBot="1">
      <c r="B22" s="151"/>
      <c r="C22" s="91"/>
      <c r="D22" s="91"/>
      <c r="E22" s="444" t="s">
        <v>23</v>
      </c>
      <c r="F22" s="445"/>
      <c r="G22" s="445"/>
      <c r="H22" s="445"/>
      <c r="I22" s="445"/>
      <c r="J22" s="446"/>
      <c r="K22" s="183"/>
      <c r="L22" s="56"/>
      <c r="M22" s="93"/>
      <c r="N22" s="107"/>
    </row>
    <row r="23" spans="2:14" ht="15">
      <c r="B23" s="150"/>
      <c r="E23" s="78"/>
      <c r="J23" s="102"/>
      <c r="N23" s="104"/>
    </row>
    <row r="24" spans="2:14" ht="33" customHeight="1">
      <c r="B24" s="150"/>
      <c r="C24" s="16" t="s">
        <v>24</v>
      </c>
      <c r="D24" s="16" t="s">
        <v>8</v>
      </c>
      <c r="E24" s="447" t="str">
        <f>IFERROR(VLOOKUP($C24,'SINAPI JULHO 2018'!$1:$1048576,2,0),IFERROR(VLOOKUP($C24,'5-COMP. PROPRIA'!$B$13:$I$518,4,0),""))</f>
        <v>LOCACAO CONVENCIONAL DE OBRA, ATRAVÉS DE GABARITO DE TABUAS CORRIDAS PONTALETADAS A CADA 1,50M, SEM REAPROVEITAMENTO</v>
      </c>
      <c r="F24" s="448"/>
      <c r="G24" s="448"/>
      <c r="H24" s="448"/>
      <c r="I24" s="448"/>
      <c r="J24" s="449"/>
      <c r="K24" s="185">
        <f>SUM(K26:K26)</f>
        <v>995</v>
      </c>
      <c r="L24" s="58" t="s">
        <v>25</v>
      </c>
      <c r="N24" s="104"/>
    </row>
    <row r="25" spans="2:14">
      <c r="B25" s="150"/>
      <c r="E25" s="76" t="s">
        <v>26</v>
      </c>
      <c r="F25" s="17" t="s">
        <v>27</v>
      </c>
      <c r="G25" s="17" t="s">
        <v>28</v>
      </c>
      <c r="J25" s="102"/>
      <c r="N25" s="104"/>
    </row>
    <row r="26" spans="2:14">
      <c r="B26" s="150"/>
      <c r="E26" s="77">
        <v>995</v>
      </c>
      <c r="F26" s="71">
        <v>1</v>
      </c>
      <c r="G26" s="71">
        <v>1</v>
      </c>
      <c r="J26" s="102"/>
      <c r="K26" s="180">
        <f>E26*F26*G26-J26</f>
        <v>995</v>
      </c>
      <c r="N26" s="104"/>
    </row>
    <row r="27" spans="2:14" ht="15">
      <c r="B27" s="150"/>
      <c r="E27" s="81"/>
      <c r="J27" s="102"/>
      <c r="N27" s="104"/>
    </row>
    <row r="28" spans="2:14" ht="50.25" customHeight="1">
      <c r="B28" s="150"/>
      <c r="C28" s="16" t="s">
        <v>29</v>
      </c>
      <c r="D28" s="16" t="s">
        <v>8</v>
      </c>
      <c r="E28" s="447" t="str">
        <f>IFERROR(VLOOKUP($C28,'SINAPI JULHO 2018'!$1:$1048576,2,0),IFERROR(VLOOKUP($C28,'5-COMP. PROPRIA'!$B$13:$I$518,4,0),""))</f>
        <v>ALUGUEL CONTAINER/ESCRIT INCL INST ELET LARG=2,20 COMP=6,20M          ALT=2,50M CHAPA ACO C/NERV TRAPEZ FORRO C/ISOL TERMO/ACUSTICO         CHASSIS REFORC PISO COMPENS NAVAL EXC TRANSP/CARGA/DESCARGA</v>
      </c>
      <c r="F28" s="448"/>
      <c r="G28" s="448"/>
      <c r="H28" s="448"/>
      <c r="I28" s="448"/>
      <c r="J28" s="449"/>
      <c r="K28" s="184">
        <f>SUM(K30:K30)</f>
        <v>4</v>
      </c>
      <c r="L28" s="57" t="s">
        <v>30</v>
      </c>
      <c r="N28" s="104"/>
    </row>
    <row r="29" spans="2:14" ht="38.25">
      <c r="B29" s="153" t="s">
        <v>31</v>
      </c>
      <c r="E29" s="79" t="s">
        <v>32</v>
      </c>
      <c r="F29" s="67" t="s">
        <v>33</v>
      </c>
      <c r="J29" s="102"/>
      <c r="N29" s="104"/>
    </row>
    <row r="30" spans="2:14">
      <c r="B30" s="150"/>
      <c r="E30" s="77">
        <v>4</v>
      </c>
      <c r="F30" s="71">
        <v>1</v>
      </c>
      <c r="J30" s="102"/>
      <c r="K30" s="180">
        <f>E30*F30</f>
        <v>4</v>
      </c>
      <c r="N30" s="104"/>
    </row>
    <row r="31" spans="2:14" ht="15">
      <c r="B31" s="150"/>
      <c r="E31" s="78"/>
      <c r="J31" s="102"/>
      <c r="N31" s="104"/>
    </row>
    <row r="32" spans="2:14" ht="40.5" customHeight="1">
      <c r="B32" s="153" t="s">
        <v>31</v>
      </c>
      <c r="C32" s="136" t="s">
        <v>34</v>
      </c>
      <c r="D32" s="16" t="s">
        <v>35</v>
      </c>
      <c r="E32" s="447" t="str">
        <f>IFERROR(VLOOKUP($C32,'SINAPI JULHO 2018'!$1:$1048576,2,0),IFERROR(VLOOKUP($C32,'5-COMP. PROPRIA'!$B$13:$I$518,4,0),""))</f>
        <v>CONTAINER 2,30 X 4,30 M, ALT. 2,50 M, P/ SANITARIO, C/ 5 BACIAS, 1 LAVATORIO E 4 MICTORIOS (LOCACAO) - SANITARIO</v>
      </c>
      <c r="F32" s="448"/>
      <c r="G32" s="448"/>
      <c r="H32" s="448"/>
      <c r="I32" s="448"/>
      <c r="J32" s="449"/>
      <c r="K32" s="184">
        <f>SUM(K34:K34)</f>
        <v>4</v>
      </c>
      <c r="L32" s="57" t="s">
        <v>30</v>
      </c>
      <c r="N32" s="104"/>
    </row>
    <row r="33" spans="2:14" ht="38.25">
      <c r="B33" s="150"/>
      <c r="E33" s="79" t="s">
        <v>32</v>
      </c>
      <c r="F33" s="67" t="s">
        <v>33</v>
      </c>
      <c r="J33" s="102"/>
      <c r="N33" s="104"/>
    </row>
    <row r="34" spans="2:14">
      <c r="B34" s="150"/>
      <c r="E34" s="77">
        <v>4</v>
      </c>
      <c r="F34" s="71">
        <v>1</v>
      </c>
      <c r="J34" s="102"/>
      <c r="K34" s="180">
        <f>E34*F34</f>
        <v>4</v>
      </c>
      <c r="N34" s="104"/>
    </row>
    <row r="35" spans="2:14" ht="15">
      <c r="B35" s="150"/>
      <c r="E35" s="78"/>
      <c r="J35" s="102"/>
      <c r="N35" s="104"/>
    </row>
    <row r="36" spans="2:14" ht="42.75" customHeight="1">
      <c r="B36" s="150"/>
      <c r="C36" s="26">
        <v>93210</v>
      </c>
      <c r="D36" s="16" t="s">
        <v>8</v>
      </c>
      <c r="E36" s="447" t="str">
        <f>IFERROR(VLOOKUP($C36,'SINAPI JULHO 2018'!$1:$1048576,2,0),IFERROR(VLOOKUP($C36,'5-COMP. PROPRIA'!$B$13:$I$518,4,0),""))</f>
        <v>EXECUÇÃO DE REFEITÓRIO EM CANTEIRO DE OBRA EM CHAPA DE MADEIRA COMPENSADA, NÃO INCLUSO MOBILIÁRIO E EQUIPAMENTOS. AF_02/2016</v>
      </c>
      <c r="F36" s="448"/>
      <c r="G36" s="448"/>
      <c r="H36" s="448"/>
      <c r="I36" s="448"/>
      <c r="J36" s="449"/>
      <c r="K36" s="184">
        <f>SUM(K38:K38)</f>
        <v>18</v>
      </c>
      <c r="L36" s="57" t="s">
        <v>25</v>
      </c>
      <c r="N36" s="104"/>
    </row>
    <row r="37" spans="2:14" ht="51">
      <c r="B37" s="152" t="s">
        <v>36</v>
      </c>
      <c r="E37" s="79" t="s">
        <v>26</v>
      </c>
      <c r="F37" s="67" t="s">
        <v>37</v>
      </c>
      <c r="G37" s="67" t="s">
        <v>38</v>
      </c>
      <c r="H37" s="59"/>
      <c r="I37" s="50"/>
      <c r="J37" s="82"/>
      <c r="N37" s="104"/>
    </row>
    <row r="38" spans="2:14" ht="15">
      <c r="B38" s="150" t="s">
        <v>39</v>
      </c>
      <c r="E38" s="77">
        <v>6</v>
      </c>
      <c r="F38" s="71">
        <v>3</v>
      </c>
      <c r="G38" s="71">
        <v>1</v>
      </c>
      <c r="H38" s="59"/>
      <c r="I38" s="50"/>
      <c r="J38" s="82"/>
      <c r="K38" s="180">
        <f>E38*F38*G38</f>
        <v>18</v>
      </c>
      <c r="N38" s="104"/>
    </row>
    <row r="39" spans="2:14" ht="15">
      <c r="B39" s="150"/>
      <c r="E39" s="83"/>
      <c r="F39" s="59"/>
      <c r="G39" s="59"/>
      <c r="H39" s="59"/>
      <c r="I39" s="50"/>
      <c r="J39" s="82"/>
      <c r="N39" s="104"/>
    </row>
    <row r="40" spans="2:14" ht="15">
      <c r="B40" s="150"/>
      <c r="C40" s="16" t="s">
        <v>40</v>
      </c>
      <c r="D40" s="16" t="s">
        <v>8</v>
      </c>
      <c r="E40" s="447" t="str">
        <f>IFERROR(VLOOKUP($C40,'SINAPI JULHO 2018'!$1:$1048576,2,0),IFERROR(VLOOKUP($C40,'5-COMP. PROPRIA'!$B$13:$I$518,4,0),""))</f>
        <v>TAPUME DE CHAPA DE MADEIRA COMPENSADA, E= 6MM, COM PINTURA A CAL E REAPROVEITAMENTO DE 2X</v>
      </c>
      <c r="F40" s="448"/>
      <c r="G40" s="448"/>
      <c r="H40" s="448"/>
      <c r="I40" s="448"/>
      <c r="J40" s="449"/>
      <c r="K40" s="184">
        <f>SUM(K42:K42)</f>
        <v>651</v>
      </c>
      <c r="L40" s="57" t="s">
        <v>25</v>
      </c>
      <c r="M40" s="72"/>
      <c r="N40" s="66"/>
    </row>
    <row r="41" spans="2:14" ht="25.5">
      <c r="B41" s="152" t="s">
        <v>41</v>
      </c>
      <c r="E41" s="79" t="s">
        <v>37</v>
      </c>
      <c r="F41" s="67" t="s">
        <v>42</v>
      </c>
      <c r="G41" s="67" t="s">
        <v>38</v>
      </c>
      <c r="H41" s="59"/>
      <c r="I41" s="50"/>
      <c r="J41" s="82"/>
      <c r="L41" s="129"/>
      <c r="M41" s="72"/>
      <c r="N41" s="66"/>
    </row>
    <row r="42" spans="2:14" ht="15">
      <c r="B42" s="150" t="s">
        <v>43</v>
      </c>
      <c r="E42" s="84">
        <v>310</v>
      </c>
      <c r="F42" s="73">
        <v>2.1</v>
      </c>
      <c r="G42" s="73">
        <v>1</v>
      </c>
      <c r="H42" s="59"/>
      <c r="I42" s="50"/>
      <c r="J42" s="82"/>
      <c r="K42" s="180">
        <f>E42*F42*G42</f>
        <v>651</v>
      </c>
      <c r="L42" s="129"/>
      <c r="M42" s="72"/>
      <c r="N42" s="66"/>
    </row>
    <row r="43" spans="2:14" ht="15">
      <c r="B43" s="150"/>
      <c r="E43" s="81"/>
      <c r="J43" s="102"/>
      <c r="N43" s="104"/>
    </row>
    <row r="44" spans="2:14" ht="15">
      <c r="B44" s="150"/>
      <c r="C44" s="26">
        <v>41598</v>
      </c>
      <c r="D44" s="16" t="s">
        <v>8</v>
      </c>
      <c r="E44" s="447" t="str">
        <f>IFERROR(VLOOKUP($C44,'SINAPI JULHO 2018'!$1:$1048576,2,0),IFERROR(VLOOKUP($C44,'5-COMP. PROPRIA'!$B$13:$I$518,4,0),""))</f>
        <v>ENTRADA PROVISORIA DE ENERGIA ELETRICA AEREA TRIFASICA 40A EM POSTE MADEIRA</v>
      </c>
      <c r="F44" s="448"/>
      <c r="G44" s="448"/>
      <c r="H44" s="448"/>
      <c r="I44" s="448"/>
      <c r="J44" s="449"/>
      <c r="K44" s="184">
        <f>SUM(K46)</f>
        <v>1</v>
      </c>
      <c r="L44" s="57" t="s">
        <v>44</v>
      </c>
      <c r="N44" s="104"/>
    </row>
    <row r="45" spans="2:14" ht="38.25">
      <c r="B45" s="152" t="s">
        <v>45</v>
      </c>
      <c r="E45" s="79" t="s">
        <v>46</v>
      </c>
      <c r="G45" s="67" t="s">
        <v>47</v>
      </c>
      <c r="J45" s="102"/>
      <c r="N45" s="104"/>
    </row>
    <row r="46" spans="2:14" ht="15">
      <c r="B46" s="150"/>
      <c r="E46" s="85">
        <v>1</v>
      </c>
      <c r="G46" s="71">
        <v>1</v>
      </c>
      <c r="J46" s="102"/>
      <c r="K46" s="180">
        <f>E46*G46</f>
        <v>1</v>
      </c>
      <c r="N46" s="104"/>
    </row>
    <row r="47" spans="2:14" ht="15">
      <c r="B47" s="150"/>
      <c r="E47" s="78"/>
      <c r="J47" s="102"/>
      <c r="K47" s="180">
        <f>E47*F47*G47</f>
        <v>0</v>
      </c>
      <c r="N47" s="104"/>
    </row>
    <row r="48" spans="2:14" ht="15">
      <c r="B48" s="150"/>
      <c r="E48" s="78"/>
      <c r="J48" s="102"/>
      <c r="N48" s="104"/>
    </row>
    <row r="49" spans="2:14" ht="15">
      <c r="B49" s="150"/>
      <c r="C49" s="136" t="s">
        <v>48</v>
      </c>
      <c r="D49" s="16" t="s">
        <v>35</v>
      </c>
      <c r="E49" s="447" t="str">
        <f>IFERROR(VLOOKUP($C49,'SINAPI JULHO 2018'!$1:$1048576,2,0),IFERROR(VLOOKUP($C49,'5-COMP. PROPRIA'!$B$13:$I$518,4,0),""))</f>
        <v>INSTALAÇÃO PROVISÓRIA DE ÁGUA E SANITÁRIOS</v>
      </c>
      <c r="F49" s="448"/>
      <c r="G49" s="448"/>
      <c r="H49" s="448"/>
      <c r="I49" s="448"/>
      <c r="J49" s="449"/>
      <c r="K49" s="184">
        <f>K51</f>
        <v>1</v>
      </c>
      <c r="L49" s="57" t="s">
        <v>44</v>
      </c>
      <c r="N49" s="104"/>
    </row>
    <row r="50" spans="2:14" ht="38.25">
      <c r="B50" s="152" t="s">
        <v>45</v>
      </c>
      <c r="E50" s="79" t="s">
        <v>46</v>
      </c>
      <c r="G50" s="67" t="s">
        <v>47</v>
      </c>
      <c r="J50" s="102"/>
      <c r="N50" s="104"/>
    </row>
    <row r="51" spans="2:14" ht="15">
      <c r="B51" s="150"/>
      <c r="E51" s="85">
        <v>1</v>
      </c>
      <c r="G51" s="71">
        <v>1</v>
      </c>
      <c r="J51" s="102"/>
      <c r="K51" s="180">
        <f>E51*G51</f>
        <v>1</v>
      </c>
      <c r="N51" s="104"/>
    </row>
    <row r="52" spans="2:14" ht="15">
      <c r="B52" s="150"/>
      <c r="E52" s="78"/>
      <c r="J52" s="102"/>
      <c r="K52" s="180">
        <f>E52*F52*G52</f>
        <v>0</v>
      </c>
      <c r="N52" s="104"/>
    </row>
    <row r="53" spans="2:14" ht="15">
      <c r="B53" s="150"/>
      <c r="E53" s="78"/>
      <c r="J53" s="102"/>
      <c r="N53" s="104"/>
    </row>
    <row r="54" spans="2:14" ht="15">
      <c r="B54" s="150"/>
      <c r="C54" s="16" t="s">
        <v>49</v>
      </c>
      <c r="D54" s="16" t="s">
        <v>8</v>
      </c>
      <c r="E54" s="479" t="str">
        <f>IFERROR(VLOOKUP($C54,'SINAPI JULHO 2018'!$1:$1048576,2,0),IFERROR(VLOOKUP($C54,'5-COMP. PROPRIA'!$B$13:$I$518,4,0),""))</f>
        <v>PLACA DE OBRA EM CHAPA DE ACO GALVANIZADO</v>
      </c>
      <c r="F54" s="480"/>
      <c r="G54" s="480"/>
      <c r="H54" s="480"/>
      <c r="I54" s="480"/>
      <c r="J54" s="481"/>
      <c r="K54" s="184">
        <f>SUM(K56:K56)</f>
        <v>6</v>
      </c>
      <c r="L54" s="57" t="s">
        <v>25</v>
      </c>
      <c r="N54" s="104"/>
    </row>
    <row r="55" spans="2:14" ht="25.5">
      <c r="B55" s="152" t="s">
        <v>50</v>
      </c>
      <c r="E55" s="79" t="s">
        <v>37</v>
      </c>
      <c r="F55" s="67" t="s">
        <v>51</v>
      </c>
      <c r="G55" s="67" t="s">
        <v>38</v>
      </c>
      <c r="J55" s="102"/>
      <c r="N55" s="104"/>
    </row>
    <row r="56" spans="2:14" ht="15">
      <c r="B56" s="150"/>
      <c r="E56" s="85">
        <v>3</v>
      </c>
      <c r="F56" s="71">
        <v>2</v>
      </c>
      <c r="G56" s="71">
        <v>1</v>
      </c>
      <c r="J56" s="102"/>
      <c r="K56" s="180">
        <f>E56*F56*G56</f>
        <v>6</v>
      </c>
      <c r="N56" s="104"/>
    </row>
    <row r="57" spans="2:14">
      <c r="B57" s="150"/>
      <c r="E57" s="118"/>
      <c r="J57" s="102"/>
      <c r="N57" s="104"/>
    </row>
    <row r="58" spans="2:14" ht="15">
      <c r="B58" s="150"/>
      <c r="C58" s="16" t="s">
        <v>52</v>
      </c>
      <c r="D58" s="16" t="s">
        <v>8</v>
      </c>
      <c r="E58" s="447" t="str">
        <f>IFERROR(VLOOKUP($C58,'SINAPI JULHO 2018'!$1:$1048576,2,0),IFERROR(VLOOKUP($C58,'5-COMP. PROPRIA'!$B$13:$I$518,4,0),""))</f>
        <v>EXTINTOR INCENDIO AGUA-PRESSURIZADA 10L INCL SUPORTE PAREDE CARGA     COMPLETA FORNECIMENTO E COLOCACAO</v>
      </c>
      <c r="F58" s="448"/>
      <c r="G58" s="448"/>
      <c r="H58" s="448"/>
      <c r="I58" s="448"/>
      <c r="J58" s="449"/>
      <c r="K58" s="184">
        <f>SUM(K60)</f>
        <v>1</v>
      </c>
      <c r="L58" s="57" t="s">
        <v>44</v>
      </c>
      <c r="N58" s="104"/>
    </row>
    <row r="59" spans="2:14" ht="25.5">
      <c r="B59" s="152" t="s">
        <v>53</v>
      </c>
      <c r="E59" s="76" t="s">
        <v>38</v>
      </c>
      <c r="F59" s="67"/>
      <c r="G59" s="67" t="s">
        <v>54</v>
      </c>
      <c r="J59" s="102"/>
      <c r="N59" s="104"/>
    </row>
    <row r="60" spans="2:14" ht="15">
      <c r="B60" s="150" t="s">
        <v>55</v>
      </c>
      <c r="E60" s="85">
        <v>1</v>
      </c>
      <c r="G60" s="71">
        <v>1</v>
      </c>
      <c r="J60" s="102"/>
      <c r="K60" s="180">
        <f>E60*G60</f>
        <v>1</v>
      </c>
      <c r="N60" s="104"/>
    </row>
    <row r="61" spans="2:14" ht="15">
      <c r="B61" s="150"/>
      <c r="E61" s="78"/>
      <c r="J61" s="102"/>
      <c r="N61" s="104"/>
    </row>
    <row r="62" spans="2:14" ht="15">
      <c r="B62" s="150"/>
      <c r="E62" s="78"/>
      <c r="J62" s="102"/>
      <c r="N62" s="104"/>
    </row>
    <row r="63" spans="2:14" ht="15">
      <c r="B63" s="150"/>
      <c r="C63" s="94" t="s">
        <v>56</v>
      </c>
      <c r="D63" s="16" t="s">
        <v>35</v>
      </c>
      <c r="E63" s="447" t="str">
        <f>IFERROR(VLOOKUP($C63,'SINAPI JULHO 2018'!$1:$1048576,2,0),IFERROR(VLOOKUP($C63,'5-COMP. PROPRIA'!$B$13:$I$518,4,0),""))</f>
        <v>AQUISIÇÃO E INSTALAÇÃO DE BEBEDOURO DE CAPACIDADE DE 100L</v>
      </c>
      <c r="F63" s="448"/>
      <c r="G63" s="448"/>
      <c r="H63" s="448"/>
      <c r="I63" s="448"/>
      <c r="J63" s="449"/>
      <c r="K63" s="184">
        <f>SUM(K65)</f>
        <v>1</v>
      </c>
      <c r="L63" s="57" t="s">
        <v>44</v>
      </c>
      <c r="N63" s="104"/>
    </row>
    <row r="64" spans="2:14" ht="25.5">
      <c r="B64" s="150"/>
      <c r="E64" s="79" t="s">
        <v>57</v>
      </c>
      <c r="G64" s="67" t="s">
        <v>28</v>
      </c>
      <c r="J64" s="102"/>
      <c r="N64" s="104"/>
    </row>
    <row r="65" spans="2:14" ht="15">
      <c r="B65" s="150"/>
      <c r="E65" s="85">
        <v>1</v>
      </c>
      <c r="G65" s="71">
        <v>1</v>
      </c>
      <c r="J65" s="102"/>
      <c r="K65" s="180">
        <f>E65*G65</f>
        <v>1</v>
      </c>
      <c r="N65" s="104"/>
    </row>
    <row r="66" spans="2:14" ht="15">
      <c r="B66" s="150"/>
      <c r="E66" s="78"/>
      <c r="J66" s="102"/>
      <c r="N66" s="104"/>
    </row>
    <row r="67" spans="2:14" ht="13.5" thickBot="1">
      <c r="B67" s="150"/>
      <c r="E67" s="118"/>
      <c r="F67" s="54"/>
      <c r="G67" s="54"/>
      <c r="H67" s="54"/>
      <c r="I67" s="54"/>
      <c r="J67" s="117"/>
      <c r="K67" s="183"/>
      <c r="L67" s="56"/>
      <c r="M67" s="93"/>
      <c r="N67" s="68"/>
    </row>
    <row r="68" spans="2:14" ht="13.5" thickBot="1">
      <c r="B68" s="230"/>
      <c r="C68" s="3"/>
      <c r="D68" s="3"/>
      <c r="E68" s="444" t="s">
        <v>58</v>
      </c>
      <c r="F68" s="445"/>
      <c r="G68" s="445"/>
      <c r="H68" s="445"/>
      <c r="I68" s="445"/>
      <c r="J68" s="446"/>
      <c r="K68" s="183"/>
      <c r="L68" s="56"/>
      <c r="M68" s="93"/>
      <c r="N68" s="107"/>
    </row>
    <row r="69" spans="2:14" ht="15">
      <c r="B69" s="150"/>
      <c r="E69" s="83"/>
      <c r="F69" s="59"/>
      <c r="G69" s="59"/>
      <c r="H69" s="59"/>
      <c r="I69" s="59"/>
      <c r="J69" s="87"/>
      <c r="N69" s="104"/>
    </row>
    <row r="70" spans="2:14" ht="37.5" customHeight="1">
      <c r="B70" s="154" t="s">
        <v>59</v>
      </c>
      <c r="C70" s="26">
        <v>5928</v>
      </c>
      <c r="D70" s="16" t="s">
        <v>8</v>
      </c>
      <c r="E70" s="447" t="str">
        <f>IFERROR(VLOOKUP($C70,'SINAPI JULHO 2018'!$1:$1048576,2,0),IFERROR(VLOOKUP($C70,'5-COMP. PROPRIA'!$B$13:$I$518,4,0),""))</f>
        <v>GUINDAUTO HIDRÁULICO, CAPACIDADE MÁXIMA DE CARGA 6200 KG, MOMENTO MÁXIMO DE CARGA 11,7 TM, ALCANCE MÁXIMO HORIZONTAL 9,70 M, INCLUSIVE CAMINHÃO TOCO PBT 16.000 KG, POTÊNCIA DE 189 CV - CHP DIURNO. AF_06/2014</v>
      </c>
      <c r="F70" s="448"/>
      <c r="G70" s="448"/>
      <c r="H70" s="448"/>
      <c r="I70" s="448"/>
      <c r="J70" s="449"/>
      <c r="K70" s="184">
        <f>SUM(K72)</f>
        <v>20</v>
      </c>
      <c r="L70" s="57" t="s">
        <v>16</v>
      </c>
      <c r="N70" s="104"/>
    </row>
    <row r="71" spans="2:14" ht="30">
      <c r="B71" s="154" t="s">
        <v>60</v>
      </c>
      <c r="E71" s="86" t="s">
        <v>61</v>
      </c>
      <c r="F71" s="60" t="s">
        <v>62</v>
      </c>
      <c r="G71" s="59"/>
      <c r="H71" s="59"/>
      <c r="I71" s="59"/>
      <c r="J71" s="87"/>
      <c r="N71" s="104"/>
    </row>
    <row r="72" spans="2:14" ht="15">
      <c r="B72" s="150"/>
      <c r="E72" s="84">
        <v>8</v>
      </c>
      <c r="F72" s="73">
        <v>2.5</v>
      </c>
      <c r="G72" s="59"/>
      <c r="H72" s="59"/>
      <c r="I72" s="59"/>
      <c r="J72" s="87"/>
      <c r="K72" s="180">
        <f>E72*F72</f>
        <v>20</v>
      </c>
      <c r="N72" s="104"/>
    </row>
    <row r="73" spans="2:14" ht="15">
      <c r="B73" s="150"/>
      <c r="E73" s="83"/>
      <c r="F73" s="59"/>
      <c r="G73" s="59"/>
      <c r="H73" s="59"/>
      <c r="I73" s="59"/>
      <c r="J73" s="87"/>
      <c r="N73" s="104"/>
    </row>
    <row r="74" spans="2:14" ht="48.75" customHeight="1">
      <c r="B74" s="154" t="str">
        <f>B70</f>
        <v xml:space="preserve">RETIRADA DE POSTES EXETRNOS </v>
      </c>
      <c r="C74" s="26">
        <v>5930</v>
      </c>
      <c r="D74" s="16" t="s">
        <v>8</v>
      </c>
      <c r="E74" s="447" t="str">
        <f>IFERROR(VLOOKUP($C74,'SINAPI JULHO 2018'!$1:$1048576,2,0),IFERROR(VLOOKUP($C74,'5-COMP. PROPRIA'!$B$13:$I$518,4,0),""))</f>
        <v>GUINDAUTO HIDRÁULICO, CAPACIDADE MÁXIMA DE CARGA 6200 KG, MOMENTO MÁXIMO DE CARGA 11,7 TM, ALCANCE MÁXIMO HORIZONTAL 9,70 M, INCLUSIVE CAMINHÃO TOCO PBT 16.000 KG, POTÊNCIA DE 189 CV - CHI DIURNO. AF_06/2014</v>
      </c>
      <c r="F74" s="448"/>
      <c r="G74" s="448"/>
      <c r="H74" s="448"/>
      <c r="I74" s="448"/>
      <c r="J74" s="449"/>
      <c r="K74" s="184">
        <f>SUM(K76)</f>
        <v>16</v>
      </c>
      <c r="L74" s="57" t="s">
        <v>16</v>
      </c>
      <c r="M74" s="110"/>
      <c r="N74" s="109"/>
    </row>
    <row r="75" spans="2:14" ht="30">
      <c r="B75" s="154" t="str">
        <f>B71</f>
        <v>INCLUSO TRANSPORTE</v>
      </c>
      <c r="E75" s="86" t="s">
        <v>61</v>
      </c>
      <c r="F75" s="60" t="s">
        <v>62</v>
      </c>
      <c r="G75" s="59"/>
      <c r="H75" s="60"/>
      <c r="I75" s="59"/>
      <c r="J75" s="87"/>
      <c r="N75" s="104"/>
    </row>
    <row r="76" spans="2:14" ht="15">
      <c r="B76" s="150"/>
      <c r="E76" s="84">
        <v>8</v>
      </c>
      <c r="F76" s="73">
        <v>2</v>
      </c>
      <c r="G76" s="59"/>
      <c r="J76" s="102"/>
      <c r="K76" s="180">
        <f>E76*F76</f>
        <v>16</v>
      </c>
      <c r="N76" s="104"/>
    </row>
    <row r="77" spans="2:14">
      <c r="B77" s="150"/>
      <c r="E77" s="113"/>
      <c r="F77" s="54"/>
      <c r="G77" s="54"/>
      <c r="H77" s="54"/>
      <c r="I77" s="54"/>
      <c r="J77" s="117"/>
      <c r="K77" s="183"/>
      <c r="L77" s="56"/>
      <c r="M77" s="93"/>
      <c r="N77" s="104"/>
    </row>
    <row r="78" spans="2:14" ht="15">
      <c r="B78" s="150"/>
      <c r="C78" s="16">
        <v>97661</v>
      </c>
      <c r="D78" s="16" t="s">
        <v>8</v>
      </c>
      <c r="E78" s="447" t="str">
        <f>IFERROR(VLOOKUP($C78,'SINAPI JULHO 2018'!$1:$1048576,2,0),IFERROR(VLOOKUP($C78,'5-COMP. PROPRIA'!$B$13:$I$518,4,0),""))</f>
        <v>REMOÇÃO DE CABOS ELÉTRICOS, DE FORMA MANUAL, SEM REAPROVEITAMENTO. AF_12/2017</v>
      </c>
      <c r="F78" s="448"/>
      <c r="G78" s="448"/>
      <c r="H78" s="448"/>
      <c r="I78" s="448"/>
      <c r="J78" s="449"/>
      <c r="K78" s="184">
        <f>2500*3</f>
        <v>7500</v>
      </c>
      <c r="L78" s="57" t="s">
        <v>63</v>
      </c>
      <c r="M78" s="116"/>
      <c r="N78" s="68"/>
    </row>
    <row r="79" spans="2:14">
      <c r="B79" s="150"/>
      <c r="C79" s="16"/>
      <c r="D79" s="16"/>
      <c r="E79" s="112"/>
      <c r="F79" s="17"/>
      <c r="G79" s="17"/>
      <c r="H79" s="17"/>
      <c r="I79" s="17"/>
      <c r="J79" s="89"/>
      <c r="K79" s="70"/>
      <c r="L79" s="56"/>
      <c r="M79" s="93"/>
      <c r="N79" s="68"/>
    </row>
    <row r="80" spans="2:14" ht="15">
      <c r="B80" s="150"/>
      <c r="C80" s="16">
        <v>97662</v>
      </c>
      <c r="D80" s="16" t="s">
        <v>8</v>
      </c>
      <c r="E80" s="447" t="str">
        <f>IFERROR(VLOOKUP($C80,'SINAPI JULHO 2018'!$1:$1048576,2,0),IFERROR(VLOOKUP($C80,'5-COMP. PROPRIA'!$B$13:$I$518,4,0),""))</f>
        <v>REMOÇÃO DE TUBULAÇÕES (TUBOS E CONEXÕES) DE ÁGUA FRIA, DE FORMA MANUAL, SEM REAPROVEITAMENTO. AF_12/2017</v>
      </c>
      <c r="F80" s="448"/>
      <c r="G80" s="448"/>
      <c r="H80" s="448"/>
      <c r="I80" s="448"/>
      <c r="J80" s="449"/>
      <c r="K80" s="184">
        <f>150*4*3</f>
        <v>1800</v>
      </c>
      <c r="L80" s="57" t="s">
        <v>63</v>
      </c>
      <c r="M80" s="116"/>
      <c r="N80" s="68"/>
    </row>
    <row r="81" spans="2:17">
      <c r="B81" s="157"/>
      <c r="C81" s="188"/>
      <c r="D81" s="188"/>
      <c r="E81" s="265"/>
      <c r="F81" s="125"/>
      <c r="G81" s="125"/>
      <c r="H81" s="125"/>
      <c r="I81" s="125"/>
      <c r="J81" s="108"/>
      <c r="K81" s="264"/>
      <c r="L81" s="123"/>
      <c r="M81" s="93"/>
      <c r="N81" s="68"/>
    </row>
    <row r="82" spans="2:17" ht="15">
      <c r="B82" s="150"/>
      <c r="C82" s="16" t="s">
        <v>64</v>
      </c>
      <c r="D82" s="16" t="s">
        <v>35</v>
      </c>
      <c r="E82" s="447" t="str">
        <f>IFERROR(VLOOKUP($C82,'SINAPI JULHO 2018'!$1:$1048576,2,0),IFERROR(VLOOKUP($C82,'5-COMP. PROPRIA'!$B$13:$I$518,4,0),""))</f>
        <v>DEMOLIÇÃO DE CONCRETO SIMPLES</v>
      </c>
      <c r="F82" s="448"/>
      <c r="G82" s="448"/>
      <c r="H82" s="448"/>
      <c r="I82" s="448"/>
      <c r="J82" s="449"/>
      <c r="K82" s="184">
        <f>SUM(K84:K84)</f>
        <v>69.099999999999994</v>
      </c>
      <c r="L82" s="57" t="s">
        <v>65</v>
      </c>
      <c r="M82" s="116">
        <f>K82</f>
        <v>69.099999999999994</v>
      </c>
      <c r="N82" s="68" t="s">
        <v>65</v>
      </c>
    </row>
    <row r="83" spans="2:17" ht="25.5">
      <c r="B83" s="150"/>
      <c r="E83" s="79" t="s">
        <v>66</v>
      </c>
      <c r="F83" s="67" t="s">
        <v>67</v>
      </c>
      <c r="G83" s="17" t="s">
        <v>68</v>
      </c>
      <c r="H83" s="67" t="s">
        <v>69</v>
      </c>
      <c r="J83" s="106"/>
      <c r="K83" s="183"/>
      <c r="L83" s="57"/>
      <c r="M83" s="93"/>
      <c r="N83" s="68"/>
      <c r="Q83" s="274"/>
    </row>
    <row r="84" spans="2:17" ht="25.5">
      <c r="B84" s="150" t="s">
        <v>70</v>
      </c>
      <c r="E84" s="101">
        <v>69.099999999999994</v>
      </c>
      <c r="F84" s="71">
        <v>1</v>
      </c>
      <c r="G84" s="71">
        <v>1</v>
      </c>
      <c r="H84" s="71">
        <v>1</v>
      </c>
      <c r="J84" s="106"/>
      <c r="K84" s="70">
        <f>E84*F84*G84*H84</f>
        <v>69.099999999999994</v>
      </c>
      <c r="M84" s="93"/>
      <c r="N84" s="68"/>
    </row>
    <row r="85" spans="2:17">
      <c r="B85" s="150"/>
      <c r="E85" s="118"/>
      <c r="J85" s="102"/>
      <c r="M85" s="93"/>
      <c r="N85" s="104"/>
    </row>
    <row r="86" spans="2:17" ht="15">
      <c r="B86" s="150"/>
      <c r="C86" s="26">
        <v>97622</v>
      </c>
      <c r="D86" s="16" t="s">
        <v>8</v>
      </c>
      <c r="E86" s="447" t="str">
        <f>IFERROR(VLOOKUP($C86,'SINAPI JULHO 2018'!$1:$1048576,2,0),IFERROR(VLOOKUP($C86,'5-COMP. PROPRIA'!$B$13:$I$518,4,0),""))</f>
        <v>DEMOLIÇÃO DE ALVENARIA DE BLOCO FURADO, DE FORMA MANUAL, SEM REAPROVEITAMENTO. AF_12/2017</v>
      </c>
      <c r="F86" s="448"/>
      <c r="G86" s="448"/>
      <c r="H86" s="448"/>
      <c r="I86" s="448"/>
      <c r="J86" s="449"/>
      <c r="K86" s="184">
        <f>SUM(K88:K89)</f>
        <v>140.83999999999997</v>
      </c>
      <c r="L86" s="58" t="s">
        <v>25</v>
      </c>
      <c r="M86" s="52">
        <f>K86*0.15</f>
        <v>21.125999999999994</v>
      </c>
      <c r="N86" s="68" t="s">
        <v>65</v>
      </c>
      <c r="P86" s="95"/>
    </row>
    <row r="87" spans="2:17" ht="25.5">
      <c r="B87" s="150"/>
      <c r="E87" s="79" t="s">
        <v>71</v>
      </c>
      <c r="F87" s="67" t="s">
        <v>72</v>
      </c>
      <c r="H87" s="67" t="s">
        <v>47</v>
      </c>
      <c r="J87" s="106"/>
      <c r="K87" s="70"/>
      <c r="M87" s="120"/>
      <c r="N87" s="68"/>
      <c r="P87" s="95"/>
    </row>
    <row r="88" spans="2:17">
      <c r="B88" s="150" t="s">
        <v>73</v>
      </c>
      <c r="E88" s="101">
        <v>201.2</v>
      </c>
      <c r="F88" s="71">
        <v>0.7</v>
      </c>
      <c r="H88" s="71">
        <v>1</v>
      </c>
      <c r="J88" s="106"/>
      <c r="K88" s="70">
        <f>E88*F88*H88</f>
        <v>140.83999999999997</v>
      </c>
      <c r="M88" s="120"/>
      <c r="N88" s="68"/>
      <c r="P88" s="95"/>
    </row>
    <row r="89" spans="2:17">
      <c r="B89" s="150"/>
      <c r="E89" s="118"/>
      <c r="J89" s="106"/>
      <c r="K89" s="70"/>
      <c r="M89" s="120"/>
      <c r="N89" s="68"/>
      <c r="P89" s="95"/>
    </row>
    <row r="90" spans="2:17" ht="15">
      <c r="B90" s="150"/>
      <c r="C90" s="16">
        <v>72897</v>
      </c>
      <c r="D90" s="16" t="s">
        <v>8</v>
      </c>
      <c r="E90" s="447" t="str">
        <f>IFERROR(VLOOKUP($C90,'SINAPI JULHO 2018'!$1:$1048576,2,0),IFERROR(VLOOKUP($C90,'5-COMP. PROPRIA'!$B$13:$I$518,4,0),""))</f>
        <v>CARGA MANUAL DE ENTULHO EM CAMINHAO BASCULANTE 6 M3</v>
      </c>
      <c r="F90" s="448"/>
      <c r="G90" s="448"/>
      <c r="H90" s="448"/>
      <c r="I90" s="448"/>
      <c r="J90" s="449"/>
      <c r="K90" s="184">
        <f>SUM(K92:K92)</f>
        <v>180.45199999999997</v>
      </c>
      <c r="L90" s="58" t="s">
        <v>65</v>
      </c>
      <c r="M90" s="93"/>
      <c r="N90" s="68"/>
      <c r="P90" s="95"/>
    </row>
    <row r="91" spans="2:17" ht="51">
      <c r="B91" s="152" t="s">
        <v>74</v>
      </c>
      <c r="E91" s="79" t="s">
        <v>75</v>
      </c>
      <c r="H91" s="67" t="s">
        <v>76</v>
      </c>
      <c r="J91" s="102"/>
      <c r="K91" s="70"/>
      <c r="N91" s="104"/>
      <c r="P91" s="95"/>
    </row>
    <row r="92" spans="2:17" ht="25.5">
      <c r="B92" s="150" t="s">
        <v>77</v>
      </c>
      <c r="E92" s="101">
        <f>M82+M86</f>
        <v>90.225999999999985</v>
      </c>
      <c r="H92" s="71">
        <v>2</v>
      </c>
      <c r="J92" s="102"/>
      <c r="K92" s="70">
        <f>E92*H92</f>
        <v>180.45199999999997</v>
      </c>
      <c r="N92" s="104"/>
      <c r="P92" s="95"/>
    </row>
    <row r="93" spans="2:17">
      <c r="B93" s="150"/>
      <c r="E93" s="118"/>
      <c r="J93" s="102"/>
      <c r="K93" s="70"/>
      <c r="N93" s="104"/>
      <c r="P93" s="95"/>
    </row>
    <row r="94" spans="2:17" ht="33.75" customHeight="1">
      <c r="B94" s="150"/>
      <c r="C94" s="16">
        <v>97914</v>
      </c>
      <c r="D94" s="16" t="s">
        <v>8</v>
      </c>
      <c r="E94" s="447" t="str">
        <f>IFERROR(VLOOKUP($C94,'SINAPI JULHO 2018'!$1:$1048576,2,0),IFERROR(VLOOKUP($C94,'5-COMP. PROPRIA'!$B$13:$I$518,4,0),""))</f>
        <v>TRANSPORTE COM CAMINHÃO BASCULANTE DE 6 M3, EM VIA URBANA PAVIMENTADA, DMT ATÉ 30 KM (UNIDADE: M3XKM). AF_01/2018</v>
      </c>
      <c r="F94" s="448"/>
      <c r="G94" s="448"/>
      <c r="H94" s="448"/>
      <c r="I94" s="448"/>
      <c r="J94" s="449"/>
      <c r="K94" s="184">
        <f>SUM(K96:K96)</f>
        <v>1353.3899999999999</v>
      </c>
      <c r="L94" s="57" t="s">
        <v>78</v>
      </c>
      <c r="M94" s="93"/>
      <c r="N94" s="68"/>
      <c r="P94" s="95"/>
    </row>
    <row r="95" spans="2:17" ht="25.5">
      <c r="B95" s="150" t="s">
        <v>79</v>
      </c>
      <c r="E95" s="79" t="s">
        <v>80</v>
      </c>
      <c r="H95" s="67" t="s">
        <v>81</v>
      </c>
      <c r="J95" s="102"/>
      <c r="N95" s="104"/>
    </row>
    <row r="96" spans="2:17">
      <c r="B96" s="150"/>
      <c r="E96" s="112">
        <f>K90</f>
        <v>180.45199999999997</v>
      </c>
      <c r="F96" s="57"/>
      <c r="G96" s="57"/>
      <c r="H96" s="105">
        <f>(5+10)/2</f>
        <v>7.5</v>
      </c>
      <c r="J96" s="68"/>
      <c r="K96" s="70">
        <f>H96*E96</f>
        <v>1353.3899999999999</v>
      </c>
      <c r="N96" s="104"/>
    </row>
    <row r="97" spans="2:14" ht="13.5" thickBot="1">
      <c r="B97" s="150"/>
      <c r="E97" s="112"/>
      <c r="J97" s="102"/>
      <c r="N97" s="104"/>
    </row>
    <row r="98" spans="2:14" ht="13.5" thickBot="1">
      <c r="B98" s="151"/>
      <c r="C98" s="91"/>
      <c r="D98" s="91"/>
      <c r="E98" s="444" t="s">
        <v>82</v>
      </c>
      <c r="F98" s="445"/>
      <c r="G98" s="445"/>
      <c r="H98" s="445"/>
      <c r="I98" s="445"/>
      <c r="J98" s="446"/>
      <c r="K98" s="183"/>
      <c r="L98" s="56"/>
      <c r="M98" s="93"/>
      <c r="N98" s="107"/>
    </row>
    <row r="99" spans="2:14">
      <c r="B99" s="150"/>
      <c r="E99" s="118"/>
      <c r="J99" s="102"/>
      <c r="N99" s="104"/>
    </row>
    <row r="100" spans="2:14" ht="15">
      <c r="B100" s="150"/>
      <c r="E100" s="476" t="s">
        <v>83</v>
      </c>
      <c r="F100" s="477"/>
      <c r="G100" s="478"/>
      <c r="H100" s="123" t="s">
        <v>84</v>
      </c>
      <c r="I100" s="124"/>
      <c r="J100" s="117"/>
      <c r="K100" s="183"/>
      <c r="L100" s="56"/>
      <c r="M100" s="93"/>
      <c r="N100" s="107"/>
    </row>
    <row r="101" spans="2:14">
      <c r="B101" s="150"/>
      <c r="E101" s="118"/>
      <c r="J101" s="102"/>
      <c r="N101" s="104"/>
    </row>
    <row r="102" spans="2:14" ht="15">
      <c r="B102" s="268"/>
      <c r="C102" s="269"/>
      <c r="D102" s="269"/>
      <c r="E102" s="462" t="s">
        <v>85</v>
      </c>
      <c r="F102" s="463"/>
      <c r="G102" s="463"/>
      <c r="H102" s="463"/>
      <c r="I102" s="463"/>
      <c r="J102" s="464"/>
      <c r="K102" s="270"/>
      <c r="L102" s="271"/>
      <c r="M102" s="272"/>
      <c r="N102" s="273"/>
    </row>
    <row r="103" spans="2:14" ht="15">
      <c r="B103" s="150"/>
      <c r="E103" s="266"/>
      <c r="F103" s="99"/>
      <c r="G103" s="99"/>
      <c r="H103" s="99"/>
      <c r="I103" s="99"/>
      <c r="J103" s="267"/>
      <c r="K103" s="70"/>
      <c r="N103" s="104"/>
    </row>
    <row r="104" spans="2:14" ht="15">
      <c r="B104" s="151"/>
      <c r="C104" s="91"/>
      <c r="D104" s="91"/>
      <c r="E104" s="453" t="s">
        <v>86</v>
      </c>
      <c r="F104" s="454"/>
      <c r="G104" s="454"/>
      <c r="H104" s="454"/>
      <c r="I104" s="454"/>
      <c r="J104" s="455"/>
      <c r="K104" s="183"/>
      <c r="L104" s="56"/>
      <c r="M104" s="93"/>
      <c r="N104" s="107"/>
    </row>
    <row r="105" spans="2:14">
      <c r="B105" s="156"/>
      <c r="C105" s="92"/>
      <c r="D105" s="92"/>
      <c r="E105" s="112"/>
      <c r="F105" s="57"/>
      <c r="G105" s="57"/>
      <c r="H105" s="57"/>
      <c r="J105" s="102"/>
      <c r="K105" s="70"/>
      <c r="N105" s="104"/>
    </row>
    <row r="106" spans="2:14" ht="33" customHeight="1">
      <c r="B106" s="150" t="s">
        <v>87</v>
      </c>
      <c r="C106" s="26">
        <v>98228</v>
      </c>
      <c r="D106" s="26" t="s">
        <v>8</v>
      </c>
      <c r="E106" s="447" t="str">
        <f>IFERROR(VLOOKUP($C106,'SINAPI JULHO 2018'!$1:$1048576,2,0),IFERROR(VLOOKUP($C106,'5-COMP. PROPRIA'!$B$13:$I$518,4,0),""))</f>
        <v>ESTACA BROCA DE CONCRETO, DIÃMETRO DE 20 CM, PROFUNDIDADE DE ATÉ 3 M, ESCAVAÇÃO MANUAL COM TRADO CONCHA, NÃO ARMADA. AF_03/2018</v>
      </c>
      <c r="F106" s="448"/>
      <c r="G106" s="448"/>
      <c r="H106" s="448"/>
      <c r="I106" s="448"/>
      <c r="J106" s="449"/>
      <c r="K106" s="184">
        <f>SUM(K108:K108)</f>
        <v>121.5</v>
      </c>
      <c r="L106" s="58" t="s">
        <v>63</v>
      </c>
      <c r="M106" s="99">
        <f>K106*(PI()*G108^2)</f>
        <v>15.268140296446395</v>
      </c>
      <c r="N106" s="107" t="s">
        <v>65</v>
      </c>
    </row>
    <row r="107" spans="2:14">
      <c r="B107" s="150"/>
      <c r="E107" s="76" t="s">
        <v>88</v>
      </c>
      <c r="F107" s="51" t="s">
        <v>89</v>
      </c>
      <c r="G107" s="51" t="s">
        <v>90</v>
      </c>
      <c r="J107" s="102"/>
      <c r="K107" s="187"/>
      <c r="L107" s="3"/>
      <c r="M107" s="3"/>
      <c r="N107" s="104"/>
    </row>
    <row r="108" spans="2:14">
      <c r="B108" s="150"/>
      <c r="C108" s="16"/>
      <c r="D108" s="16"/>
      <c r="E108" s="111">
        <v>81</v>
      </c>
      <c r="F108" s="105">
        <v>1.5</v>
      </c>
      <c r="G108" s="51">
        <v>0.2</v>
      </c>
      <c r="J108" s="102"/>
      <c r="K108" s="70">
        <f>E108*F108</f>
        <v>121.5</v>
      </c>
      <c r="N108" s="104"/>
    </row>
    <row r="109" spans="2:14">
      <c r="B109" s="150"/>
      <c r="C109" s="16"/>
      <c r="D109" s="16"/>
      <c r="E109" s="112"/>
      <c r="J109" s="102"/>
      <c r="K109" s="70"/>
      <c r="N109" s="104"/>
    </row>
    <row r="110" spans="2:14" ht="34.5" customHeight="1">
      <c r="B110" s="157" t="s">
        <v>91</v>
      </c>
      <c r="C110" s="26">
        <v>95583</v>
      </c>
      <c r="D110" s="26" t="s">
        <v>8</v>
      </c>
      <c r="E110" s="447" t="str">
        <f>IFERROR(VLOOKUP($C110,'SINAPI JULHO 2018'!$1:$1048576,2,0),IFERROR(VLOOKUP($C110,'5-COMP. PROPRIA'!$B$13:$I$518,4,0),""))</f>
        <v>MONTAGEM DE ARMADURA TRANSVERSAL DE ESTACAS DE SEÇÃO CIRCULAR, DIÂMETRO = 5,0 MM. AF_11/2016</v>
      </c>
      <c r="F110" s="448"/>
      <c r="G110" s="448"/>
      <c r="H110" s="448"/>
      <c r="I110" s="448"/>
      <c r="J110" s="449"/>
      <c r="K110" s="184">
        <f>SUM(K111:K112)</f>
        <v>68.13291712500002</v>
      </c>
      <c r="L110" s="58" t="s">
        <v>92</v>
      </c>
      <c r="M110" s="184"/>
      <c r="N110" s="107"/>
    </row>
    <row r="111" spans="2:14">
      <c r="B111" s="150"/>
      <c r="E111" s="79" t="s">
        <v>93</v>
      </c>
      <c r="F111" s="67" t="s">
        <v>27</v>
      </c>
      <c r="G111" s="67" t="s">
        <v>94</v>
      </c>
      <c r="H111" s="61" t="s">
        <v>95</v>
      </c>
      <c r="I111" s="61"/>
      <c r="J111" s="102"/>
      <c r="K111" s="70"/>
      <c r="N111" s="104"/>
    </row>
    <row r="112" spans="2:14">
      <c r="B112" s="150"/>
      <c r="E112" s="101">
        <v>5</v>
      </c>
      <c r="F112" s="51">
        <f>2*3.14*0.1+0.1</f>
        <v>0.72800000000000009</v>
      </c>
      <c r="G112" s="51">
        <f>$K$106/0.2</f>
        <v>607.5</v>
      </c>
      <c r="H112" s="51">
        <f>((E112/1000)*(E112/1000)*3.14*0.25)*7850</f>
        <v>0.15405625000000003</v>
      </c>
      <c r="J112" s="102"/>
      <c r="K112" s="70">
        <f>G112*H112*F112</f>
        <v>68.13291712500002</v>
      </c>
      <c r="N112" s="104"/>
    </row>
    <row r="113" spans="2:14">
      <c r="B113" s="150"/>
      <c r="E113" s="118"/>
      <c r="J113" s="102"/>
      <c r="K113" s="183"/>
      <c r="N113" s="104"/>
    </row>
    <row r="114" spans="2:14" ht="39.75" customHeight="1">
      <c r="B114" s="150"/>
      <c r="C114" s="26">
        <v>95576</v>
      </c>
      <c r="D114" s="26" t="s">
        <v>8</v>
      </c>
      <c r="E114" s="447" t="str">
        <f>IFERROR(VLOOKUP($C114,'SINAPI JULHO 2018'!$1:$1048576,2,0),IFERROR(VLOOKUP($C114,'5-COMP. PROPRIA'!$B$13:$I$518,4,0),""))</f>
        <v>MONTAGEM DE ARMADURA LONGITUDINAL/TRANSVERSAL DE ESTACAS DE SEÇÃO CIRCULAR, DIÂMETRO = 8,0 MM. AF_11/2016</v>
      </c>
      <c r="F114" s="448"/>
      <c r="G114" s="448"/>
      <c r="H114" s="448"/>
      <c r="I114" s="448"/>
      <c r="J114" s="449"/>
      <c r="K114" s="184">
        <f>SUM(K117:K117)</f>
        <v>230.00474880000002</v>
      </c>
      <c r="L114" s="58" t="s">
        <v>92</v>
      </c>
      <c r="N114" s="104"/>
    </row>
    <row r="115" spans="2:14">
      <c r="B115" s="150"/>
      <c r="E115" s="118"/>
      <c r="H115" s="51" t="s">
        <v>96</v>
      </c>
      <c r="J115" s="102"/>
      <c r="N115" s="104"/>
    </row>
    <row r="116" spans="2:14">
      <c r="B116" s="150"/>
      <c r="E116" s="79" t="s">
        <v>93</v>
      </c>
      <c r="F116" s="67" t="s">
        <v>27</v>
      </c>
      <c r="G116" s="67" t="s">
        <v>94</v>
      </c>
      <c r="H116" s="61" t="s">
        <v>95</v>
      </c>
      <c r="I116" s="61"/>
      <c r="J116" s="102"/>
      <c r="K116" s="70"/>
      <c r="N116" s="104"/>
    </row>
    <row r="117" spans="2:14">
      <c r="B117" s="150"/>
      <c r="E117" s="101">
        <v>8</v>
      </c>
      <c r="F117" s="51">
        <f>1.5+0.3</f>
        <v>1.8</v>
      </c>
      <c r="G117" s="51">
        <f>E108*4</f>
        <v>324</v>
      </c>
      <c r="H117" s="51">
        <f>((E117/1000)*(E117/1000)*3.14*0.25)*7850</f>
        <v>0.39438400000000001</v>
      </c>
      <c r="J117" s="102"/>
      <c r="K117" s="70">
        <f>G117*H117*F117</f>
        <v>230.00474880000002</v>
      </c>
      <c r="N117" s="104"/>
    </row>
    <row r="118" spans="2:14">
      <c r="B118" s="150"/>
      <c r="E118" s="118"/>
      <c r="J118" s="102"/>
      <c r="K118" s="70"/>
      <c r="N118" s="104"/>
    </row>
    <row r="119" spans="2:14" ht="15">
      <c r="B119" s="150"/>
      <c r="C119" s="26">
        <v>72897</v>
      </c>
      <c r="D119" s="26" t="s">
        <v>97</v>
      </c>
      <c r="E119" s="447" t="str">
        <f>IFERROR(VLOOKUP($C119,'SINAPI JULHO 2018'!$1:$1048576,2,0),IFERROR(VLOOKUP($C119,'5-COMP. PROPRIA'!$B$13:$I$518,4,0),""))</f>
        <v>CARGA MANUAL DE ENTULHO EM CAMINHAO BASCULANTE 6 M3</v>
      </c>
      <c r="F119" s="448"/>
      <c r="G119" s="448"/>
      <c r="H119" s="448"/>
      <c r="I119" s="448"/>
      <c r="J119" s="449"/>
      <c r="K119" s="184">
        <f>K121</f>
        <v>19.848582385380315</v>
      </c>
      <c r="L119" s="58" t="s">
        <v>65</v>
      </c>
      <c r="N119" s="104"/>
    </row>
    <row r="120" spans="2:14" ht="51">
      <c r="B120" s="152" t="s">
        <v>98</v>
      </c>
      <c r="E120" s="90"/>
      <c r="F120" s="67" t="s">
        <v>99</v>
      </c>
      <c r="G120" s="67"/>
      <c r="H120" s="61"/>
      <c r="I120" s="67" t="s">
        <v>100</v>
      </c>
      <c r="J120" s="102"/>
      <c r="N120" s="104"/>
    </row>
    <row r="121" spans="2:14">
      <c r="B121" s="150"/>
      <c r="E121" s="80"/>
      <c r="F121" s="51">
        <f>M106</f>
        <v>15.268140296446395</v>
      </c>
      <c r="I121" s="51">
        <v>1.3</v>
      </c>
      <c r="J121" s="102"/>
      <c r="K121" s="70">
        <f>F121*I121</f>
        <v>19.848582385380315</v>
      </c>
      <c r="N121" s="104"/>
    </row>
    <row r="122" spans="2:14">
      <c r="B122" s="150"/>
      <c r="E122" s="118"/>
      <c r="J122" s="102"/>
      <c r="N122" s="104"/>
    </row>
    <row r="123" spans="2:14" ht="40.5" customHeight="1">
      <c r="B123" s="150"/>
      <c r="C123" s="16">
        <v>97914</v>
      </c>
      <c r="D123" s="26" t="s">
        <v>97</v>
      </c>
      <c r="E123" s="447" t="str">
        <f>IFERROR(VLOOKUP($C123,'SINAPI JULHO 2018'!$1:$1048576,2,0),IFERROR(VLOOKUP($C123,'5-COMP. PROPRIA'!$B$13:$I$518,4,0),""))</f>
        <v>TRANSPORTE COM CAMINHÃO BASCULANTE DE 6 M3, EM VIA URBANA PAVIMENTADA, DMT ATÉ 30 KM (UNIDADE: M3XKM). AF_01/2018</v>
      </c>
      <c r="F123" s="448"/>
      <c r="G123" s="448"/>
      <c r="H123" s="448"/>
      <c r="I123" s="448"/>
      <c r="J123" s="449"/>
      <c r="K123" s="184">
        <f>SUM(K125)</f>
        <v>148.86436789035236</v>
      </c>
      <c r="L123" s="57" t="s">
        <v>101</v>
      </c>
      <c r="N123" s="104"/>
    </row>
    <row r="124" spans="2:14" ht="25.5">
      <c r="B124" s="150" t="s">
        <v>102</v>
      </c>
      <c r="E124" s="79" t="s">
        <v>80</v>
      </c>
      <c r="H124" s="67" t="s">
        <v>81</v>
      </c>
      <c r="J124" s="102"/>
      <c r="N124" s="104"/>
    </row>
    <row r="125" spans="2:14">
      <c r="B125" s="150"/>
      <c r="E125" s="112">
        <f>K119</f>
        <v>19.848582385380315</v>
      </c>
      <c r="F125" s="57"/>
      <c r="G125" s="57"/>
      <c r="H125" s="105">
        <v>7.5</v>
      </c>
      <c r="J125" s="68"/>
      <c r="K125" s="70">
        <f>H125*E125</f>
        <v>148.86436789035236</v>
      </c>
      <c r="N125" s="104"/>
    </row>
    <row r="126" spans="2:14">
      <c r="B126" s="150"/>
      <c r="E126" s="118"/>
      <c r="J126" s="102"/>
      <c r="N126" s="104"/>
    </row>
    <row r="127" spans="2:14" ht="15">
      <c r="B127" s="151"/>
      <c r="C127" s="91"/>
      <c r="D127" s="91"/>
      <c r="E127" s="465" t="s">
        <v>103</v>
      </c>
      <c r="F127" s="466"/>
      <c r="G127" s="466"/>
      <c r="H127" s="123" t="s">
        <v>104</v>
      </c>
      <c r="J127" s="117"/>
      <c r="K127" s="183"/>
      <c r="L127" s="56"/>
      <c r="M127" s="93"/>
      <c r="N127" s="107"/>
    </row>
    <row r="128" spans="2:14" ht="15">
      <c r="B128" s="150"/>
      <c r="C128" s="26">
        <v>96527</v>
      </c>
      <c r="D128" s="16" t="s">
        <v>8</v>
      </c>
      <c r="E128" s="447" t="str">
        <f>IFERROR(VLOOKUP($C128,'SINAPI JULHO 2018'!$1:$1048576,2,0),IFERROR(VLOOKUP($C128,'5-COMP. PROPRIA'!$B$13:$I$518,4,0),""))</f>
        <v>ESCAVAÇÃO MANUAL DE VALA PARA VIGA BALDRAME, COM PREVISÃO DE FÔRMA. AF_06/2017</v>
      </c>
      <c r="F128" s="448"/>
      <c r="G128" s="448"/>
      <c r="H128" s="448"/>
      <c r="I128" s="448"/>
      <c r="J128" s="449"/>
      <c r="K128" s="184">
        <f>K130</f>
        <v>23.137999999999998</v>
      </c>
      <c r="L128" s="58" t="s">
        <v>65</v>
      </c>
      <c r="M128" s="93"/>
      <c r="N128" s="68"/>
    </row>
    <row r="129" spans="2:14" ht="38.25">
      <c r="B129" s="150" t="s">
        <v>105</v>
      </c>
      <c r="E129" s="76" t="s">
        <v>106</v>
      </c>
      <c r="F129" s="17" t="s">
        <v>107</v>
      </c>
      <c r="G129" s="17" t="s">
        <v>108</v>
      </c>
      <c r="H129" s="67" t="s">
        <v>47</v>
      </c>
      <c r="I129" s="67"/>
      <c r="J129" s="222"/>
      <c r="K129" s="186"/>
      <c r="M129" s="93"/>
      <c r="N129" s="68"/>
    </row>
    <row r="130" spans="2:14">
      <c r="B130" s="150" t="s">
        <v>109</v>
      </c>
      <c r="E130" s="105">
        <f>E138</f>
        <v>201.2</v>
      </c>
      <c r="F130" s="105">
        <f>F138+0.3</f>
        <v>0.5</v>
      </c>
      <c r="G130" s="105">
        <f>G138+0.03</f>
        <v>0.23</v>
      </c>
      <c r="H130" s="105">
        <f>H138</f>
        <v>1</v>
      </c>
      <c r="I130" s="67"/>
      <c r="J130" s="102"/>
      <c r="K130" s="70">
        <f>E130*F130*G130*H130</f>
        <v>23.137999999999998</v>
      </c>
      <c r="M130" s="93"/>
      <c r="N130" s="114"/>
    </row>
    <row r="131" spans="2:14">
      <c r="B131" s="150"/>
      <c r="E131" s="118"/>
      <c r="J131" s="102"/>
      <c r="K131" s="183"/>
      <c r="M131" s="93"/>
      <c r="N131" s="68"/>
    </row>
    <row r="132" spans="2:14" ht="31.5" customHeight="1">
      <c r="B132" s="150"/>
      <c r="C132" s="26">
        <v>96617</v>
      </c>
      <c r="D132" s="16" t="s">
        <v>8</v>
      </c>
      <c r="E132" s="447" t="str">
        <f>IFERROR(VLOOKUP($C132,'SINAPI JULHO 2018'!$1:$1048576,2,0),IFERROR(VLOOKUP($C132,'5-COMP. PROPRIA'!$B$13:$I$518,4,0),""))</f>
        <v>LASTRO DE CONCRETO MAGRO, APLICADO EM BLOCOS DE COROAMENTO OU SAPATAS, ESPESSURA DE 3 CM. AF_08/2017</v>
      </c>
      <c r="F132" s="448"/>
      <c r="G132" s="448"/>
      <c r="H132" s="448"/>
      <c r="I132" s="448"/>
      <c r="J132" s="449"/>
      <c r="K132" s="184">
        <f>SUM(K134:K134)</f>
        <v>40.24</v>
      </c>
      <c r="L132" s="57" t="s">
        <v>25</v>
      </c>
      <c r="M132" s="52">
        <f>K132*0.03</f>
        <v>1.2072000000000001</v>
      </c>
      <c r="N132" s="109" t="s">
        <v>65</v>
      </c>
    </row>
    <row r="133" spans="2:14" ht="25.5">
      <c r="B133" s="150"/>
      <c r="E133" s="76" t="s">
        <v>106</v>
      </c>
      <c r="F133" s="17" t="s">
        <v>107</v>
      </c>
      <c r="H133" s="67" t="s">
        <v>47</v>
      </c>
      <c r="J133" s="102"/>
      <c r="N133" s="104"/>
    </row>
    <row r="134" spans="2:14">
      <c r="B134" s="150" t="str">
        <f>B130</f>
        <v>BALDRAMES PARA MURETAS</v>
      </c>
      <c r="E134" s="105">
        <f>E138</f>
        <v>201.2</v>
      </c>
      <c r="F134" s="105">
        <f>F138</f>
        <v>0.2</v>
      </c>
      <c r="H134" s="105">
        <f>H138</f>
        <v>1</v>
      </c>
      <c r="J134" s="102"/>
      <c r="K134" s="70">
        <f>H134*F134*E134</f>
        <v>40.24</v>
      </c>
      <c r="N134" s="104"/>
    </row>
    <row r="135" spans="2:14">
      <c r="B135" s="150"/>
      <c r="E135" s="118"/>
      <c r="J135" s="102"/>
      <c r="K135" s="183"/>
      <c r="M135" s="93"/>
      <c r="N135" s="68"/>
    </row>
    <row r="136" spans="2:14" ht="50.25" customHeight="1">
      <c r="B136" s="150"/>
      <c r="C136" s="26">
        <v>94965</v>
      </c>
      <c r="D136" s="16" t="s">
        <v>8</v>
      </c>
      <c r="E136" s="447" t="str">
        <f>IFERROR(VLOOKUP($C136,'SINAPI JULHO 2018'!$1:$1048576,2,0),IFERROR(VLOOKUP($C136,'5-COMP. PROPRIA'!$B$13:$I$518,4,0),""))</f>
        <v>CONCRETO FCK = 25MPA, TRAÇO 1:2,3:2,7 (CIMENTO/ AREIA MÉDIA/ BRITA 1)  - PREPARO MECÂNICO COM BETONEIRA 400 L. AF_07/2016</v>
      </c>
      <c r="F136" s="448"/>
      <c r="G136" s="448"/>
      <c r="H136" s="448"/>
      <c r="I136" s="448"/>
      <c r="J136" s="449"/>
      <c r="K136" s="184">
        <f>SUM(K138:K138)</f>
        <v>8.048</v>
      </c>
      <c r="L136" s="58" t="s">
        <v>65</v>
      </c>
      <c r="M136" s="93"/>
      <c r="N136" s="68"/>
    </row>
    <row r="137" spans="2:14" ht="25.5">
      <c r="B137" s="150" t="s">
        <v>110</v>
      </c>
      <c r="E137" s="76" t="s">
        <v>106</v>
      </c>
      <c r="F137" s="17" t="s">
        <v>107</v>
      </c>
      <c r="G137" s="17" t="s">
        <v>108</v>
      </c>
      <c r="H137" s="67" t="s">
        <v>47</v>
      </c>
      <c r="I137" s="221"/>
      <c r="J137" s="222"/>
      <c r="K137" s="183"/>
      <c r="M137" s="93"/>
      <c r="N137" s="68"/>
    </row>
    <row r="138" spans="2:14">
      <c r="B138" s="150" t="str">
        <f>B134</f>
        <v>BALDRAMES PARA MURETAS</v>
      </c>
      <c r="E138" s="111">
        <v>201.2</v>
      </c>
      <c r="F138" s="74">
        <v>0.2</v>
      </c>
      <c r="G138" s="74">
        <v>0.2</v>
      </c>
      <c r="H138" s="74">
        <v>1</v>
      </c>
      <c r="J138" s="102"/>
      <c r="K138" s="70">
        <f>E138*F138*G138*H138</f>
        <v>8.048</v>
      </c>
      <c r="M138" s="93"/>
      <c r="N138" s="68"/>
    </row>
    <row r="139" spans="2:14">
      <c r="B139" s="150"/>
      <c r="E139" s="112"/>
      <c r="J139" s="102"/>
      <c r="K139" s="183"/>
      <c r="M139" s="93"/>
      <c r="N139" s="68"/>
    </row>
    <row r="140" spans="2:14">
      <c r="B140" s="150"/>
      <c r="E140" s="112"/>
      <c r="J140" s="102"/>
      <c r="K140" s="183"/>
      <c r="M140" s="93"/>
      <c r="N140" s="68"/>
    </row>
    <row r="141" spans="2:14" ht="15">
      <c r="B141" s="150" t="str">
        <f>B138</f>
        <v>BALDRAMES PARA MURETAS</v>
      </c>
      <c r="C141" s="26" t="s">
        <v>111</v>
      </c>
      <c r="D141" s="16" t="s">
        <v>8</v>
      </c>
      <c r="E141" s="447" t="str">
        <f>IFERROR(VLOOKUP($C141,'SINAPI JULHO 2018'!$1:$1048576,2,0),IFERROR(VLOOKUP($C141,'5-COMP. PROPRIA'!$B$13:$I$518,4,0),""))</f>
        <v>LANCAMENTO/APLICACAO MANUAL DE CONCRETO EM FUNDACOES</v>
      </c>
      <c r="F141" s="448"/>
      <c r="G141" s="448"/>
      <c r="H141" s="448"/>
      <c r="I141" s="448"/>
      <c r="J141" s="449"/>
      <c r="K141" s="184">
        <f>K136</f>
        <v>8.048</v>
      </c>
      <c r="L141" s="58" t="s">
        <v>65</v>
      </c>
      <c r="M141" s="93"/>
      <c r="N141" s="68"/>
    </row>
    <row r="142" spans="2:14">
      <c r="B142" s="150"/>
      <c r="E142" s="118"/>
      <c r="J142" s="102"/>
      <c r="M142" s="93"/>
      <c r="N142" s="68"/>
    </row>
    <row r="143" spans="2:14" ht="15">
      <c r="B143" s="150"/>
      <c r="C143" s="26">
        <v>96543</v>
      </c>
      <c r="D143" s="16" t="s">
        <v>8</v>
      </c>
      <c r="E143" s="447" t="str">
        <f>IFERROR(VLOOKUP($C143,'SINAPI JULHO 2018'!$1:$1048576,2,0),IFERROR(VLOOKUP($C143,'5-COMP. PROPRIA'!$B$13:$I$518,4,0),""))</f>
        <v>ARMAÇÃO DE BLOCO, VIGA BALDRAME E SAPATA UTILIZANDO AÇO CA-60 DE 5 MM - MONTAGEM. AF_06/2017</v>
      </c>
      <c r="F143" s="448"/>
      <c r="G143" s="448"/>
      <c r="H143" s="448"/>
      <c r="I143" s="448"/>
      <c r="J143" s="449"/>
      <c r="K143" s="184">
        <f>SUM(K146:K146)</f>
        <v>102.28718775000002</v>
      </c>
      <c r="L143" s="58" t="s">
        <v>92</v>
      </c>
      <c r="M143" s="52">
        <v>0</v>
      </c>
      <c r="N143" s="68" t="s">
        <v>92</v>
      </c>
    </row>
    <row r="144" spans="2:14">
      <c r="B144" s="150"/>
      <c r="E144" s="118"/>
      <c r="H144" s="70" t="s">
        <v>112</v>
      </c>
      <c r="I144" s="69">
        <f>K143/K136</f>
        <v>12.709640625000002</v>
      </c>
      <c r="J144" s="102"/>
      <c r="K144" s="70"/>
      <c r="M144" s="93"/>
      <c r="N144" s="68"/>
    </row>
    <row r="145" spans="2:14" ht="25.5">
      <c r="B145" s="150" t="s">
        <v>113</v>
      </c>
      <c r="E145" s="79" t="s">
        <v>93</v>
      </c>
      <c r="F145" s="67" t="s">
        <v>27</v>
      </c>
      <c r="G145" s="67" t="s">
        <v>94</v>
      </c>
      <c r="H145" s="61" t="s">
        <v>95</v>
      </c>
      <c r="I145" s="17" t="s">
        <v>54</v>
      </c>
      <c r="J145" s="102"/>
      <c r="K145" s="70"/>
      <c r="M145" s="93"/>
      <c r="N145" s="68"/>
    </row>
    <row r="146" spans="2:14">
      <c r="B146" s="150" t="str">
        <f>B138</f>
        <v>BALDRAMES PARA MURETAS</v>
      </c>
      <c r="E146" s="101">
        <v>5</v>
      </c>
      <c r="F146" s="51">
        <f>(F138-0.06)*2+(G138-0.06)*2+0.1</f>
        <v>0.66</v>
      </c>
      <c r="G146" s="51">
        <f>$E$138/0.2</f>
        <v>1005.9999999999999</v>
      </c>
      <c r="H146" s="51">
        <f>((E146/1000)*(E146/1000)*3.14*0.25)*7850</f>
        <v>0.15405625000000003</v>
      </c>
      <c r="I146" s="51">
        <f>$H$138</f>
        <v>1</v>
      </c>
      <c r="J146" s="102"/>
      <c r="K146" s="70">
        <f>G146*H146*F146*I146</f>
        <v>102.28718775000002</v>
      </c>
      <c r="M146" s="93"/>
      <c r="N146" s="68"/>
    </row>
    <row r="147" spans="2:14">
      <c r="B147" s="157" t="s">
        <v>91</v>
      </c>
      <c r="E147" s="118"/>
      <c r="J147" s="102"/>
      <c r="M147" s="93"/>
      <c r="N147" s="68"/>
    </row>
    <row r="148" spans="2:14" ht="15">
      <c r="B148" s="150"/>
      <c r="C148" s="26">
        <v>96545</v>
      </c>
      <c r="D148" s="16" t="s">
        <v>8</v>
      </c>
      <c r="E148" s="447" t="str">
        <f>IFERROR(VLOOKUP($C148,'SINAPI JULHO 2018'!$1:$1048576,2,0),IFERROR(VLOOKUP($C148,'5-COMP. PROPRIA'!$B$13:$I$518,4,0),""))</f>
        <v>ARMAÇÃO DE BLOCO, VIGA BALDRAME OU SAPATA UTILIZANDO AÇO CA-50 DE 8 MM - MONTAGEM. AF_06/2017</v>
      </c>
      <c r="F148" s="448"/>
      <c r="G148" s="448"/>
      <c r="H148" s="448"/>
      <c r="I148" s="448"/>
      <c r="J148" s="449"/>
      <c r="K148" s="184">
        <f>SUM(K151:K151)</f>
        <v>317.40024319999998</v>
      </c>
      <c r="L148" s="58" t="s">
        <v>92</v>
      </c>
      <c r="M148" s="52">
        <v>0</v>
      </c>
      <c r="N148" s="68" t="s">
        <v>92</v>
      </c>
    </row>
    <row r="149" spans="2:14">
      <c r="B149" s="150"/>
      <c r="E149" s="118"/>
      <c r="H149" s="70" t="s">
        <v>112</v>
      </c>
      <c r="I149" s="69">
        <f>K148/K141</f>
        <v>39.438399999999994</v>
      </c>
      <c r="J149" s="102"/>
      <c r="K149" s="70"/>
      <c r="M149" s="93"/>
      <c r="N149" s="68"/>
    </row>
    <row r="150" spans="2:14" ht="25.5">
      <c r="B150" s="150" t="s">
        <v>113</v>
      </c>
      <c r="E150" s="79" t="s">
        <v>93</v>
      </c>
      <c r="F150" s="67" t="s">
        <v>27</v>
      </c>
      <c r="G150" s="67" t="s">
        <v>28</v>
      </c>
      <c r="H150" s="61" t="s">
        <v>95</v>
      </c>
      <c r="I150" s="17" t="s">
        <v>54</v>
      </c>
      <c r="J150" s="102"/>
      <c r="K150" s="70"/>
      <c r="M150" s="93"/>
      <c r="N150" s="68"/>
    </row>
    <row r="151" spans="2:14">
      <c r="B151" s="150" t="str">
        <f>B146</f>
        <v>BALDRAMES PARA MURETAS</v>
      </c>
      <c r="E151" s="101">
        <v>8</v>
      </c>
      <c r="F151" s="51">
        <f>$E$138</f>
        <v>201.2</v>
      </c>
      <c r="G151" s="51">
        <v>1</v>
      </c>
      <c r="H151" s="51">
        <f>((E151/1000)*(E151/1000)*3.14*0.25)*7850</f>
        <v>0.39438400000000001</v>
      </c>
      <c r="I151" s="51">
        <v>4</v>
      </c>
      <c r="J151" s="102"/>
      <c r="K151" s="70">
        <f>G151*H151*F151*I151</f>
        <v>317.40024319999998</v>
      </c>
      <c r="M151" s="93"/>
      <c r="N151" s="68"/>
    </row>
    <row r="152" spans="2:14">
      <c r="B152" s="150"/>
      <c r="E152" s="118"/>
      <c r="J152" s="102"/>
      <c r="K152" s="183"/>
      <c r="M152" s="93"/>
      <c r="N152" s="68"/>
    </row>
    <row r="153" spans="2:14" ht="37.5" customHeight="1">
      <c r="B153" s="150"/>
      <c r="C153" s="26">
        <v>96536</v>
      </c>
      <c r="D153" s="16" t="s">
        <v>8</v>
      </c>
      <c r="E153" s="447" t="str">
        <f>IFERROR(VLOOKUP($C153,'SINAPI JULHO 2018'!$1:$1048576,2,0),IFERROR(VLOOKUP($C153,'5-COMP. PROPRIA'!$B$13:$I$518,4,0),""))</f>
        <v>FABRICAÇÃO, MONTAGEM E DESMONTAGEM DE FÔRMA PARA VIGA BALDRAME, EM MADEIRA SERRADA, E=25 MM, 4 UTILIZAÇÕES. AF_06/2017</v>
      </c>
      <c r="F153" s="448"/>
      <c r="G153" s="448"/>
      <c r="H153" s="448"/>
      <c r="I153" s="448"/>
      <c r="J153" s="449"/>
      <c r="K153" s="184">
        <f>SUM(K155:K155)</f>
        <v>80.48</v>
      </c>
      <c r="L153" s="58" t="s">
        <v>25</v>
      </c>
      <c r="M153" s="93"/>
      <c r="N153" s="68"/>
    </row>
    <row r="154" spans="2:14" ht="25.5">
      <c r="B154" s="150"/>
      <c r="D154" s="51"/>
      <c r="E154" s="76" t="s">
        <v>106</v>
      </c>
      <c r="F154" s="17" t="s">
        <v>107</v>
      </c>
      <c r="G154" s="17" t="s">
        <v>108</v>
      </c>
      <c r="H154" s="67" t="s">
        <v>47</v>
      </c>
      <c r="I154" s="221"/>
      <c r="J154" s="222"/>
      <c r="K154" s="186"/>
      <c r="L154" s="100"/>
      <c r="M154" s="93"/>
      <c r="N154" s="68"/>
    </row>
    <row r="155" spans="2:14">
      <c r="B155" s="150" t="str">
        <f>B138</f>
        <v>BALDRAMES PARA MURETAS</v>
      </c>
      <c r="E155" s="118">
        <f>E138</f>
        <v>201.2</v>
      </c>
      <c r="F155" s="51">
        <f>F138</f>
        <v>0.2</v>
      </c>
      <c r="G155" s="51">
        <v>0.2</v>
      </c>
      <c r="H155" s="51">
        <f>H138</f>
        <v>1</v>
      </c>
      <c r="J155" s="102"/>
      <c r="K155" s="70">
        <f>E155*(G155*2)</f>
        <v>80.48</v>
      </c>
      <c r="M155" s="93"/>
      <c r="N155" s="68"/>
    </row>
    <row r="156" spans="2:14">
      <c r="B156" s="150"/>
      <c r="E156" s="118"/>
      <c r="J156" s="102"/>
      <c r="M156" s="93"/>
      <c r="N156" s="68"/>
    </row>
    <row r="157" spans="2:14" ht="15">
      <c r="B157" s="150"/>
      <c r="C157" s="16">
        <v>93382</v>
      </c>
      <c r="D157" s="16" t="s">
        <v>8</v>
      </c>
      <c r="E157" s="447" t="str">
        <f>IFERROR(VLOOKUP($C157,'SINAPI JULHO 2018'!$1:$1048576,2,0),IFERROR(VLOOKUP($C157,'5-COMP. PROPRIA'!$B$13:$I$518,4,0),""))</f>
        <v>REATERRO MANUAL DE VALAS COM COMPACTAÇÃO MECANIZADA. AF_04/2016</v>
      </c>
      <c r="F157" s="448"/>
      <c r="G157" s="448"/>
      <c r="H157" s="448"/>
      <c r="I157" s="448"/>
      <c r="J157" s="449"/>
      <c r="K157" s="184">
        <f>SUM(K159)</f>
        <v>15.089999999999998</v>
      </c>
      <c r="L157" s="58" t="s">
        <v>65</v>
      </c>
      <c r="M157" s="93"/>
      <c r="N157" s="68"/>
    </row>
    <row r="158" spans="2:14" ht="38.25">
      <c r="B158" s="152" t="s">
        <v>114</v>
      </c>
      <c r="E158" s="79" t="s">
        <v>115</v>
      </c>
      <c r="F158" s="67" t="s">
        <v>116</v>
      </c>
      <c r="J158" s="102"/>
      <c r="K158" s="184"/>
      <c r="M158" s="93"/>
      <c r="N158" s="68"/>
    </row>
    <row r="159" spans="2:14">
      <c r="B159" s="150"/>
      <c r="E159" s="112">
        <f>K128</f>
        <v>23.137999999999998</v>
      </c>
      <c r="F159" s="51">
        <f>K136</f>
        <v>8.048</v>
      </c>
      <c r="J159" s="102"/>
      <c r="K159" s="70">
        <f>E159-F159</f>
        <v>15.089999999999998</v>
      </c>
      <c r="M159" s="93"/>
      <c r="N159" s="68"/>
    </row>
    <row r="160" spans="2:14">
      <c r="B160" s="150"/>
      <c r="E160" s="118"/>
      <c r="J160" s="102"/>
      <c r="N160" s="104"/>
    </row>
    <row r="161" spans="2:14" ht="33" customHeight="1">
      <c r="B161" s="150"/>
      <c r="C161" s="16" t="s">
        <v>117</v>
      </c>
      <c r="D161" s="16" t="s">
        <v>8</v>
      </c>
      <c r="E161" s="447" t="str">
        <f>IFERROR(VLOOKUP($C161,'SINAPI JULHO 2018'!$1:$1048576,2,0),IFERROR(VLOOKUP($C161,'5-COMP. PROPRIA'!$B$13:$I$518,4,0),""))</f>
        <v>IMPERMEABILIZACAO DE ESTRUTURAS ENTERRADAS, COM TINTA ASFALTICA, DUAS DEMAOS.</v>
      </c>
      <c r="F161" s="448"/>
      <c r="G161" s="448"/>
      <c r="H161" s="448"/>
      <c r="I161" s="448"/>
      <c r="J161" s="449"/>
      <c r="K161" s="184">
        <f>K153</f>
        <v>80.48</v>
      </c>
      <c r="L161" s="57" t="s">
        <v>25</v>
      </c>
      <c r="M161" s="52"/>
      <c r="N161" s="68"/>
    </row>
    <row r="162" spans="2:14" ht="25.5">
      <c r="B162" s="152" t="s">
        <v>118</v>
      </c>
      <c r="E162" s="112"/>
      <c r="J162" s="102"/>
      <c r="K162" s="183"/>
      <c r="L162" s="57"/>
      <c r="M162" s="93"/>
      <c r="N162" s="68"/>
    </row>
    <row r="163" spans="2:14">
      <c r="B163" s="150"/>
      <c r="E163" s="112"/>
      <c r="J163" s="102"/>
      <c r="K163" s="183"/>
      <c r="L163" s="57"/>
      <c r="M163" s="93"/>
      <c r="N163" s="68"/>
    </row>
    <row r="164" spans="2:14" ht="15">
      <c r="B164" s="150"/>
      <c r="C164" s="26">
        <v>72897</v>
      </c>
      <c r="D164" s="16" t="s">
        <v>8</v>
      </c>
      <c r="E164" s="447" t="str">
        <f>IFERROR(VLOOKUP($C164,'SINAPI JULHO 2018'!$1:$1048576,2,0),IFERROR(VLOOKUP($C164,'5-COMP. PROPRIA'!$B$13:$I$518,4,0),""))</f>
        <v>CARGA MANUAL DE ENTULHO EM CAMINHAO BASCULANTE 6 M3</v>
      </c>
      <c r="F164" s="448"/>
      <c r="G164" s="448"/>
      <c r="H164" s="448"/>
      <c r="I164" s="448"/>
      <c r="J164" s="449"/>
      <c r="K164" s="184">
        <f>SUM(K166:K166)</f>
        <v>10.462400000000001</v>
      </c>
      <c r="L164" s="58" t="s">
        <v>65</v>
      </c>
      <c r="M164" s="93"/>
      <c r="N164" s="68"/>
    </row>
    <row r="165" spans="2:14" ht="51">
      <c r="B165" s="152" t="s">
        <v>98</v>
      </c>
      <c r="E165" s="79"/>
      <c r="F165" s="67" t="s">
        <v>116</v>
      </c>
      <c r="G165" s="17"/>
      <c r="H165" s="67" t="s">
        <v>119</v>
      </c>
      <c r="J165" s="220"/>
      <c r="K165" s="70"/>
      <c r="M165" s="93"/>
      <c r="N165" s="68"/>
    </row>
    <row r="166" spans="2:14">
      <c r="B166" s="150"/>
      <c r="E166" s="118"/>
      <c r="F166" s="17">
        <f>K136</f>
        <v>8.048</v>
      </c>
      <c r="G166" s="17"/>
      <c r="H166" s="17">
        <v>1.3</v>
      </c>
      <c r="J166" s="68"/>
      <c r="K166" s="70">
        <f>H166*F166</f>
        <v>10.462400000000001</v>
      </c>
      <c r="M166" s="93"/>
      <c r="N166" s="68"/>
    </row>
    <row r="167" spans="2:14">
      <c r="B167" s="150"/>
      <c r="E167" s="118"/>
      <c r="F167" s="17"/>
      <c r="G167" s="17"/>
      <c r="I167" s="17"/>
      <c r="J167" s="68"/>
      <c r="K167" s="70"/>
      <c r="M167" s="93"/>
      <c r="N167" s="68"/>
    </row>
    <row r="168" spans="2:14" ht="15">
      <c r="B168" s="150"/>
      <c r="C168" s="16">
        <v>97914</v>
      </c>
      <c r="D168" s="16" t="s">
        <v>8</v>
      </c>
      <c r="E168" s="447" t="str">
        <f>IFERROR(VLOOKUP($C168,'SINAPI JULHO 2018'!$1:$1048576,2,0),IFERROR(VLOOKUP($C168,'5-COMP. PROPRIA'!$B$13:$I$518,4,0),""))</f>
        <v>TRANSPORTE COM CAMINHÃO BASCULANTE DE 6 M3, EM VIA URBANA PAVIMENTADA, DMT ATÉ 30 KM (UNIDADE: M3XKM). AF_01/2018</v>
      </c>
      <c r="F168" s="448"/>
      <c r="G168" s="448"/>
      <c r="H168" s="448"/>
      <c r="I168" s="448"/>
      <c r="J168" s="449"/>
      <c r="K168" s="184">
        <f>K170</f>
        <v>78.468000000000004</v>
      </c>
      <c r="L168" s="57" t="s">
        <v>78</v>
      </c>
      <c r="M168" s="93"/>
      <c r="N168" s="68"/>
    </row>
    <row r="169" spans="2:14" ht="25.5">
      <c r="B169" s="150" t="s">
        <v>79</v>
      </c>
      <c r="E169" s="79" t="s">
        <v>80</v>
      </c>
      <c r="H169" s="67" t="s">
        <v>81</v>
      </c>
      <c r="J169" s="102"/>
      <c r="M169" s="93"/>
      <c r="N169" s="68"/>
    </row>
    <row r="170" spans="2:14">
      <c r="B170" s="150"/>
      <c r="E170" s="112">
        <f>K164</f>
        <v>10.462400000000001</v>
      </c>
      <c r="F170" s="57"/>
      <c r="G170" s="57"/>
      <c r="H170" s="105">
        <v>7.5</v>
      </c>
      <c r="J170" s="68"/>
      <c r="K170" s="70">
        <f>H170*E170</f>
        <v>78.468000000000004</v>
      </c>
      <c r="M170" s="93"/>
      <c r="N170" s="68"/>
    </row>
    <row r="171" spans="2:14">
      <c r="B171" s="150"/>
      <c r="E171" s="112"/>
      <c r="F171" s="57"/>
      <c r="G171" s="57"/>
      <c r="H171" s="57"/>
      <c r="J171" s="68"/>
      <c r="K171" s="70"/>
      <c r="M171" s="93"/>
      <c r="N171" s="68"/>
    </row>
    <row r="172" spans="2:14" ht="15">
      <c r="B172" s="268"/>
      <c r="C172" s="269"/>
      <c r="D172" s="269"/>
      <c r="E172" s="462" t="s">
        <v>120</v>
      </c>
      <c r="F172" s="463"/>
      <c r="G172" s="463"/>
      <c r="H172" s="463"/>
      <c r="I172" s="463"/>
      <c r="J172" s="464"/>
      <c r="K172" s="270"/>
      <c r="L172" s="271"/>
      <c r="M172" s="272"/>
      <c r="N172" s="273"/>
    </row>
    <row r="173" spans="2:14" ht="15">
      <c r="B173" s="150"/>
      <c r="E173" s="266"/>
      <c r="F173" s="99"/>
      <c r="G173" s="99"/>
      <c r="H173" s="99"/>
      <c r="I173" s="99"/>
      <c r="J173" s="267"/>
      <c r="K173" s="70"/>
      <c r="N173" s="104"/>
    </row>
    <row r="174" spans="2:14" ht="15">
      <c r="B174" s="150"/>
      <c r="C174" s="91"/>
      <c r="D174" s="91"/>
      <c r="E174" s="476" t="s">
        <v>86</v>
      </c>
      <c r="F174" s="477"/>
      <c r="G174" s="478"/>
      <c r="H174" s="54"/>
      <c r="I174" s="54"/>
      <c r="J174" s="117"/>
      <c r="K174" s="183"/>
      <c r="L174" s="56"/>
      <c r="M174" s="93"/>
      <c r="N174" s="107"/>
    </row>
    <row r="175" spans="2:14">
      <c r="B175" s="150"/>
      <c r="C175" s="92"/>
      <c r="D175" s="92"/>
      <c r="E175" s="112"/>
      <c r="F175" s="57"/>
      <c r="G175" s="57"/>
      <c r="H175" s="57"/>
      <c r="J175" s="102"/>
      <c r="K175" s="70"/>
      <c r="N175" s="104"/>
    </row>
    <row r="176" spans="2:14" ht="25.5">
      <c r="B176" s="154" t="s">
        <v>121</v>
      </c>
      <c r="C176" s="26">
        <v>98228</v>
      </c>
      <c r="D176" s="26" t="s">
        <v>8</v>
      </c>
      <c r="E176" s="447" t="str">
        <f>IFERROR(VLOOKUP($C176,'SINAPI JULHO 2018'!$1:$1048576,2,0),IFERROR(VLOOKUP($C176,'5-COMP. PROPRIA'!$B$13:$I$518,4,0),""))</f>
        <v>ESTACA BROCA DE CONCRETO, DIÃMETRO DE 20 CM, PROFUNDIDADE DE ATÉ 3 M, ESCAVAÇÃO MANUAL COM TRADO CONCHA, NÃO ARMADA. AF_03/2018</v>
      </c>
      <c r="F176" s="448"/>
      <c r="G176" s="448"/>
      <c r="H176" s="448"/>
      <c r="I176" s="448"/>
      <c r="J176" s="449"/>
      <c r="K176" s="184">
        <f>SUM(K178:K178)</f>
        <v>12</v>
      </c>
      <c r="L176" s="58" t="s">
        <v>63</v>
      </c>
      <c r="M176" s="99">
        <f>K176*(PI()*G178^2)</f>
        <v>1.5079644737231008</v>
      </c>
      <c r="N176" s="107" t="s">
        <v>65</v>
      </c>
    </row>
    <row r="177" spans="2:14">
      <c r="B177" s="150"/>
      <c r="E177" s="76" t="s">
        <v>88</v>
      </c>
      <c r="F177" s="51" t="s">
        <v>89</v>
      </c>
      <c r="G177" s="51" t="s">
        <v>90</v>
      </c>
      <c r="J177" s="102"/>
      <c r="K177" s="187"/>
      <c r="L177" s="3"/>
      <c r="M177" s="3"/>
      <c r="N177" s="104"/>
    </row>
    <row r="178" spans="2:14">
      <c r="B178" s="150"/>
      <c r="C178" s="16"/>
      <c r="D178" s="16"/>
      <c r="E178" s="111">
        <f>ROUNDUP((4.55*2)/1.7,0)</f>
        <v>6</v>
      </c>
      <c r="F178" s="105">
        <v>2</v>
      </c>
      <c r="G178" s="51">
        <v>0.2</v>
      </c>
      <c r="J178" s="102"/>
      <c r="K178" s="70">
        <f>E178*F178</f>
        <v>12</v>
      </c>
      <c r="N178" s="104"/>
    </row>
    <row r="179" spans="2:14">
      <c r="B179" s="150"/>
      <c r="C179" s="16"/>
      <c r="D179" s="16"/>
      <c r="E179" s="112"/>
      <c r="J179" s="102"/>
      <c r="K179" s="70"/>
      <c r="N179" s="104"/>
    </row>
    <row r="180" spans="2:14" ht="36.75" customHeight="1">
      <c r="B180" s="157" t="s">
        <v>91</v>
      </c>
      <c r="C180" s="26">
        <v>95583</v>
      </c>
      <c r="D180" s="26" t="s">
        <v>8</v>
      </c>
      <c r="E180" s="447" t="str">
        <f>IFERROR(VLOOKUP($C180,'SINAPI JULHO 2018'!$1:$1048576,2,0),IFERROR(VLOOKUP($C180,'5-COMP. PROPRIA'!$B$13:$I$518,4,0),""))</f>
        <v>MONTAGEM DE ARMADURA TRANSVERSAL DE ESTACAS DE SEÇÃO CIRCULAR, DIÂMETRO = 5,0 MM. AF_11/2016</v>
      </c>
      <c r="F180" s="448"/>
      <c r="G180" s="448"/>
      <c r="H180" s="448"/>
      <c r="I180" s="448"/>
      <c r="J180" s="449"/>
      <c r="K180" s="184">
        <f>SUM(K181:K182)</f>
        <v>6.7291770000000026</v>
      </c>
      <c r="L180" s="58" t="s">
        <v>92</v>
      </c>
      <c r="M180" s="184"/>
      <c r="N180" s="107"/>
    </row>
    <row r="181" spans="2:14">
      <c r="B181" s="150"/>
      <c r="E181" s="79" t="s">
        <v>93</v>
      </c>
      <c r="F181" s="67" t="s">
        <v>27</v>
      </c>
      <c r="G181" s="67" t="s">
        <v>94</v>
      </c>
      <c r="H181" s="61" t="s">
        <v>95</v>
      </c>
      <c r="I181" s="61"/>
      <c r="J181" s="102"/>
      <c r="K181" s="70"/>
      <c r="N181" s="104"/>
    </row>
    <row r="182" spans="2:14">
      <c r="B182" s="150"/>
      <c r="E182" s="101">
        <v>5</v>
      </c>
      <c r="F182" s="51">
        <f>2*3.14*0.1+0.1</f>
        <v>0.72800000000000009</v>
      </c>
      <c r="G182" s="51">
        <f>K176/0.2</f>
        <v>60</v>
      </c>
      <c r="H182" s="51">
        <f>((E182/1000)*(E182/1000)*3.14*0.25)*7850</f>
        <v>0.15405625000000003</v>
      </c>
      <c r="J182" s="102"/>
      <c r="K182" s="70">
        <f>G182*H182*F182</f>
        <v>6.7291770000000026</v>
      </c>
      <c r="N182" s="104"/>
    </row>
    <row r="183" spans="2:14">
      <c r="B183" s="150"/>
      <c r="E183" s="118"/>
      <c r="J183" s="102"/>
      <c r="K183" s="183"/>
      <c r="N183" s="104"/>
    </row>
    <row r="184" spans="2:14" ht="32.25" customHeight="1">
      <c r="B184" s="150"/>
      <c r="C184" s="26">
        <v>95576</v>
      </c>
      <c r="D184" s="26" t="s">
        <v>8</v>
      </c>
      <c r="E184" s="447" t="str">
        <f>IFERROR(VLOOKUP($C184,'SINAPI JULHO 2018'!$1:$1048576,2,0),IFERROR(VLOOKUP($C184,'5-COMP. PROPRIA'!$B$13:$I$518,4,0),""))</f>
        <v>MONTAGEM DE ARMADURA LONGITUDINAL/TRANSVERSAL DE ESTACAS DE SEÇÃO CIRCULAR, DIÂMETRO = 8,0 MM. AF_11/2016</v>
      </c>
      <c r="F184" s="448"/>
      <c r="G184" s="448"/>
      <c r="H184" s="448"/>
      <c r="I184" s="448"/>
      <c r="J184" s="449"/>
      <c r="K184" s="184">
        <f>SUM(K187:K187)</f>
        <v>21.769996799999998</v>
      </c>
      <c r="L184" s="58" t="s">
        <v>92</v>
      </c>
      <c r="N184" s="104"/>
    </row>
    <row r="185" spans="2:14">
      <c r="B185" s="150"/>
      <c r="E185" s="118"/>
      <c r="H185" s="51" t="s">
        <v>96</v>
      </c>
      <c r="J185" s="102"/>
      <c r="N185" s="104"/>
    </row>
    <row r="186" spans="2:14">
      <c r="B186" s="150"/>
      <c r="E186" s="79" t="s">
        <v>93</v>
      </c>
      <c r="F186" s="67" t="s">
        <v>27</v>
      </c>
      <c r="G186" s="67" t="s">
        <v>94</v>
      </c>
      <c r="H186" s="61" t="s">
        <v>95</v>
      </c>
      <c r="I186" s="61"/>
      <c r="J186" s="102"/>
      <c r="K186" s="70"/>
      <c r="N186" s="104"/>
    </row>
    <row r="187" spans="2:14">
      <c r="B187" s="150"/>
      <c r="E187" s="101">
        <v>8</v>
      </c>
      <c r="F187" s="51">
        <f>F178+0.3</f>
        <v>2.2999999999999998</v>
      </c>
      <c r="G187" s="51">
        <f>E178*4</f>
        <v>24</v>
      </c>
      <c r="H187" s="51">
        <f>((E187/1000)*(E187/1000)*3.14*0.25)*7850</f>
        <v>0.39438400000000001</v>
      </c>
      <c r="J187" s="102"/>
      <c r="K187" s="70">
        <f>G187*H187*F187</f>
        <v>21.769996799999998</v>
      </c>
      <c r="N187" s="104"/>
    </row>
    <row r="188" spans="2:14">
      <c r="B188" s="150"/>
      <c r="E188" s="118"/>
      <c r="J188" s="102"/>
      <c r="K188" s="70"/>
      <c r="N188" s="104"/>
    </row>
    <row r="189" spans="2:14" ht="15">
      <c r="B189" s="150"/>
      <c r="C189" s="26">
        <v>72897</v>
      </c>
      <c r="D189" s="26" t="s">
        <v>97</v>
      </c>
      <c r="E189" s="447" t="str">
        <f>IFERROR(VLOOKUP($C189,'SINAPI JULHO 2018'!$1:$1048576,2,0),IFERROR(VLOOKUP($C189,'5-COMP. PROPRIA'!$B$13:$I$518,4,0),""))</f>
        <v>CARGA MANUAL DE ENTULHO EM CAMINHAO BASCULANTE 6 M3</v>
      </c>
      <c r="F189" s="448"/>
      <c r="G189" s="448"/>
      <c r="H189" s="448"/>
      <c r="I189" s="448"/>
      <c r="J189" s="449"/>
      <c r="K189" s="184">
        <f>M176*1.3</f>
        <v>1.9603538158400311</v>
      </c>
      <c r="L189" s="58" t="s">
        <v>65</v>
      </c>
      <c r="N189" s="104"/>
    </row>
    <row r="190" spans="2:14">
      <c r="B190" s="150"/>
      <c r="E190" s="90"/>
      <c r="F190" s="67" t="s">
        <v>99</v>
      </c>
      <c r="G190" s="67"/>
      <c r="H190" s="61"/>
      <c r="I190" s="67" t="s">
        <v>122</v>
      </c>
      <c r="J190" s="102"/>
      <c r="N190" s="104"/>
    </row>
    <row r="191" spans="2:14">
      <c r="B191" s="150"/>
      <c r="E191" s="80"/>
      <c r="F191" s="51">
        <f>M176</f>
        <v>1.5079644737231008</v>
      </c>
      <c r="I191" s="51">
        <v>1.3</v>
      </c>
      <c r="J191" s="102"/>
      <c r="K191" s="70">
        <f>H191*H191*3.14*0.25*G191*F191*E191*I191</f>
        <v>0</v>
      </c>
      <c r="N191" s="104"/>
    </row>
    <row r="192" spans="2:14">
      <c r="B192" s="150"/>
      <c r="E192" s="118"/>
      <c r="J192" s="102"/>
      <c r="N192" s="104"/>
    </row>
    <row r="193" spans="2:14" ht="33.75" customHeight="1">
      <c r="B193" s="150"/>
      <c r="C193" s="16">
        <v>97914</v>
      </c>
      <c r="D193" s="26" t="s">
        <v>97</v>
      </c>
      <c r="E193" s="447" t="str">
        <f>IFERROR(VLOOKUP($C193,'SINAPI JULHO 2018'!$1:$1048576,2,0),IFERROR(VLOOKUP($C193,'5-COMP. PROPRIA'!$B$13:$I$518,4,0),""))</f>
        <v>TRANSPORTE COM CAMINHÃO BASCULANTE DE 6 M3, EM VIA URBANA PAVIMENTADA, DMT ATÉ 30 KM (UNIDADE: M3XKM). AF_01/2018</v>
      </c>
      <c r="F193" s="448"/>
      <c r="G193" s="448"/>
      <c r="H193" s="448"/>
      <c r="I193" s="448"/>
      <c r="J193" s="449"/>
      <c r="K193" s="184">
        <f>SUM(K195)</f>
        <v>14.702653618800234</v>
      </c>
      <c r="L193" s="58" t="s">
        <v>65</v>
      </c>
      <c r="N193" s="104"/>
    </row>
    <row r="194" spans="2:14" ht="25.5">
      <c r="B194" s="150"/>
      <c r="E194" s="79" t="s">
        <v>80</v>
      </c>
      <c r="H194" s="67" t="s">
        <v>81</v>
      </c>
      <c r="J194" s="102"/>
      <c r="N194" s="104"/>
    </row>
    <row r="195" spans="2:14">
      <c r="B195" s="150"/>
      <c r="E195" s="112">
        <f>K189</f>
        <v>1.9603538158400311</v>
      </c>
      <c r="F195" s="57"/>
      <c r="G195" s="57"/>
      <c r="H195" s="105">
        <v>7.5</v>
      </c>
      <c r="J195" s="68"/>
      <c r="K195" s="70">
        <f>H195*E195</f>
        <v>14.702653618800234</v>
      </c>
      <c r="N195" s="104"/>
    </row>
    <row r="196" spans="2:14">
      <c r="B196" s="150"/>
      <c r="E196" s="118"/>
      <c r="J196" s="102"/>
      <c r="N196" s="104"/>
    </row>
    <row r="197" spans="2:14" ht="15">
      <c r="B197" s="150"/>
      <c r="C197" s="91"/>
      <c r="D197" s="91"/>
      <c r="E197" s="465" t="s">
        <v>103</v>
      </c>
      <c r="F197" s="466"/>
      <c r="G197" s="466"/>
      <c r="H197" s="123" t="s">
        <v>104</v>
      </c>
      <c r="J197" s="117"/>
      <c r="K197" s="183"/>
      <c r="L197" s="56"/>
      <c r="M197" s="93"/>
      <c r="N197" s="107"/>
    </row>
    <row r="198" spans="2:14" ht="33" customHeight="1">
      <c r="B198" s="150"/>
      <c r="C198" s="26">
        <v>96527</v>
      </c>
      <c r="D198" s="16" t="s">
        <v>8</v>
      </c>
      <c r="E198" s="447" t="str">
        <f>IFERROR(VLOOKUP($C198,'SINAPI JULHO 2018'!$1:$1048576,2,0),IFERROR(VLOOKUP($C198,'5-COMP. PROPRIA'!$B$13:$I$518,4,0),""))</f>
        <v>ESCAVAÇÃO MANUAL DE VALA PARA VIGA BALDRAME, COM PREVISÃO DE FÔRMA. AF_06/2017</v>
      </c>
      <c r="F198" s="448"/>
      <c r="G198" s="448"/>
      <c r="H198" s="448"/>
      <c r="I198" s="448"/>
      <c r="J198" s="449"/>
      <c r="K198" s="184">
        <f>SUM(K200:K200)</f>
        <v>1.5014999999999998</v>
      </c>
      <c r="L198" s="58" t="s">
        <v>65</v>
      </c>
      <c r="M198" s="93"/>
      <c r="N198" s="68"/>
    </row>
    <row r="199" spans="2:14" ht="25.5">
      <c r="B199" s="150"/>
      <c r="E199" s="76" t="s">
        <v>106</v>
      </c>
      <c r="F199" s="17" t="s">
        <v>107</v>
      </c>
      <c r="G199" s="17" t="s">
        <v>108</v>
      </c>
      <c r="H199" s="67" t="s">
        <v>47</v>
      </c>
      <c r="I199" s="221"/>
      <c r="J199" s="222"/>
      <c r="K199" s="186"/>
      <c r="M199" s="93"/>
      <c r="N199" s="68"/>
    </row>
    <row r="200" spans="2:14">
      <c r="B200" s="150"/>
      <c r="E200" s="105">
        <f>E208</f>
        <v>9.1</v>
      </c>
      <c r="F200" s="105">
        <f>F208+0.3</f>
        <v>0.5</v>
      </c>
      <c r="G200" s="105">
        <f>G208+0.03</f>
        <v>0.32999999999999996</v>
      </c>
      <c r="H200" s="105">
        <f>H208</f>
        <v>1</v>
      </c>
      <c r="J200" s="102"/>
      <c r="K200" s="70">
        <f>E200*F200*G200*H200</f>
        <v>1.5014999999999998</v>
      </c>
      <c r="M200" s="93"/>
      <c r="N200" s="114"/>
    </row>
    <row r="201" spans="2:14">
      <c r="B201" s="150"/>
      <c r="E201" s="118"/>
      <c r="J201" s="102"/>
      <c r="K201" s="183"/>
      <c r="M201" s="93"/>
      <c r="N201" s="68"/>
    </row>
    <row r="202" spans="2:14" ht="31.5" customHeight="1">
      <c r="B202" s="150"/>
      <c r="C202" s="26">
        <v>96617</v>
      </c>
      <c r="D202" s="16" t="s">
        <v>8</v>
      </c>
      <c r="E202" s="447" t="str">
        <f>IFERROR(VLOOKUP($C202,'SINAPI JULHO 2018'!$1:$1048576,2,0),IFERROR(VLOOKUP($C202,'5-COMP. PROPRIA'!$B$13:$I$518,4,0),""))</f>
        <v>LASTRO DE CONCRETO MAGRO, APLICADO EM BLOCOS DE COROAMENTO OU SAPATAS, ESPESSURA DE 3 CM. AF_08/2017</v>
      </c>
      <c r="F202" s="448"/>
      <c r="G202" s="448"/>
      <c r="H202" s="448"/>
      <c r="I202" s="448"/>
      <c r="J202" s="449"/>
      <c r="K202" s="184">
        <f>SUM(K204:K204)</f>
        <v>1.82</v>
      </c>
      <c r="L202" s="57" t="s">
        <v>25</v>
      </c>
      <c r="M202" s="52">
        <f>K202*0.03</f>
        <v>5.4600000000000003E-2</v>
      </c>
      <c r="N202" s="109" t="s">
        <v>65</v>
      </c>
    </row>
    <row r="203" spans="2:14" ht="25.5">
      <c r="B203" s="150"/>
      <c r="E203" s="76" t="s">
        <v>106</v>
      </c>
      <c r="F203" s="17" t="s">
        <v>107</v>
      </c>
      <c r="H203" s="67" t="s">
        <v>47</v>
      </c>
      <c r="J203" s="102"/>
      <c r="N203" s="104"/>
    </row>
    <row r="204" spans="2:14">
      <c r="B204" s="150"/>
      <c r="E204" s="105">
        <f>E208</f>
        <v>9.1</v>
      </c>
      <c r="F204" s="105">
        <f>F208</f>
        <v>0.2</v>
      </c>
      <c r="H204" s="105">
        <f>H208</f>
        <v>1</v>
      </c>
      <c r="J204" s="102"/>
      <c r="K204" s="70">
        <f>H204*F204*E204</f>
        <v>1.82</v>
      </c>
      <c r="N204" s="104"/>
    </row>
    <row r="205" spans="2:14">
      <c r="B205" s="150"/>
      <c r="E205" s="118"/>
      <c r="J205" s="102"/>
      <c r="K205" s="183"/>
      <c r="M205" s="93"/>
      <c r="N205" s="68"/>
    </row>
    <row r="206" spans="2:14" ht="38.25" customHeight="1">
      <c r="B206" s="150"/>
      <c r="C206" s="26">
        <v>94965</v>
      </c>
      <c r="D206" s="16" t="s">
        <v>8</v>
      </c>
      <c r="E206" s="447" t="str">
        <f>IFERROR(VLOOKUP($C206,'SINAPI JULHO 2018'!$1:$1048576,2,0),IFERROR(VLOOKUP($C206,'5-COMP. PROPRIA'!$B$13:$I$518,4,0),""))</f>
        <v>CONCRETO FCK = 25MPA, TRAÇO 1:2,3:2,7 (CIMENTO/ AREIA MÉDIA/ BRITA 1)  - PREPARO MECÂNICO COM BETONEIRA 400 L. AF_07/2016</v>
      </c>
      <c r="F206" s="448"/>
      <c r="G206" s="448"/>
      <c r="H206" s="448"/>
      <c r="I206" s="448"/>
      <c r="J206" s="449"/>
      <c r="K206" s="184">
        <f>SUM(K208:K208)</f>
        <v>0.54600000000000004</v>
      </c>
      <c r="L206" s="58" t="s">
        <v>65</v>
      </c>
      <c r="M206" s="93"/>
      <c r="N206" s="68"/>
    </row>
    <row r="207" spans="2:14" ht="25.5">
      <c r="B207" s="150"/>
      <c r="E207" s="76" t="s">
        <v>106</v>
      </c>
      <c r="F207" s="17" t="s">
        <v>107</v>
      </c>
      <c r="G207" s="17" t="s">
        <v>108</v>
      </c>
      <c r="H207" s="67" t="s">
        <v>47</v>
      </c>
      <c r="I207" s="221"/>
      <c r="J207" s="222"/>
      <c r="K207" s="183"/>
      <c r="M207" s="93"/>
      <c r="N207" s="68"/>
    </row>
    <row r="208" spans="2:14">
      <c r="B208" s="150"/>
      <c r="E208" s="105">
        <f>4.55*2</f>
        <v>9.1</v>
      </c>
      <c r="F208" s="74">
        <v>0.2</v>
      </c>
      <c r="G208" s="74">
        <v>0.3</v>
      </c>
      <c r="H208" s="74">
        <v>1</v>
      </c>
      <c r="J208" s="102"/>
      <c r="K208" s="70">
        <f>E208*F208*G208*H208</f>
        <v>0.54600000000000004</v>
      </c>
      <c r="M208" s="93"/>
      <c r="N208" s="68"/>
    </row>
    <row r="209" spans="2:14">
      <c r="B209" s="150"/>
      <c r="E209" s="112"/>
      <c r="J209" s="102"/>
      <c r="K209" s="183"/>
      <c r="M209" s="93"/>
      <c r="N209" s="68"/>
    </row>
    <row r="210" spans="2:14">
      <c r="B210" s="150"/>
      <c r="E210" s="112"/>
      <c r="J210" s="102"/>
      <c r="K210" s="183"/>
      <c r="M210" s="93"/>
      <c r="N210" s="68"/>
    </row>
    <row r="211" spans="2:14" ht="15">
      <c r="B211" s="150"/>
      <c r="C211" s="26" t="s">
        <v>111</v>
      </c>
      <c r="D211" s="16" t="s">
        <v>8</v>
      </c>
      <c r="E211" s="447" t="str">
        <f>IFERROR(VLOOKUP($C211,'SINAPI JULHO 2018'!$1:$1048576,2,0),IFERROR(VLOOKUP($C211,'5-COMP. PROPRIA'!$B$13:$I$518,4,0),""))</f>
        <v>LANCAMENTO/APLICACAO MANUAL DE CONCRETO EM FUNDACOES</v>
      </c>
      <c r="F211" s="448"/>
      <c r="G211" s="448"/>
      <c r="H211" s="448"/>
      <c r="I211" s="448"/>
      <c r="J211" s="449"/>
      <c r="K211" s="184">
        <f>K206</f>
        <v>0.54600000000000004</v>
      </c>
      <c r="L211" s="58" t="s">
        <v>65</v>
      </c>
      <c r="M211" s="93"/>
      <c r="N211" s="68"/>
    </row>
    <row r="212" spans="2:14">
      <c r="B212" s="150"/>
      <c r="E212" s="118"/>
      <c r="J212" s="102"/>
      <c r="M212" s="93"/>
      <c r="N212" s="68"/>
    </row>
    <row r="213" spans="2:14" ht="15">
      <c r="B213" s="157" t="s">
        <v>91</v>
      </c>
      <c r="C213" s="26">
        <v>96543</v>
      </c>
      <c r="D213" s="16" t="s">
        <v>8</v>
      </c>
      <c r="E213" s="447" t="str">
        <f>IFERROR(VLOOKUP($C213,'SINAPI JULHO 2018'!$1:$1048576,2,0),IFERROR(VLOOKUP($C213,'5-COMP. PROPRIA'!$B$13:$I$518,4,0),""))</f>
        <v>ARMAÇÃO DE BLOCO, VIGA BALDRAME E SAPATA UTILIZANDO AÇO CA-60 DE 5 MM - MONTAGEM. AF_06/2017</v>
      </c>
      <c r="F213" s="448"/>
      <c r="G213" s="448"/>
      <c r="H213" s="448"/>
      <c r="I213" s="448"/>
      <c r="J213" s="449"/>
      <c r="K213" s="184">
        <f>SUM(K216:K216)</f>
        <v>6.0282210625000001</v>
      </c>
      <c r="L213" s="58" t="s">
        <v>92</v>
      </c>
      <c r="M213" s="52">
        <v>0</v>
      </c>
      <c r="N213" s="68" t="s">
        <v>92</v>
      </c>
    </row>
    <row r="214" spans="2:14">
      <c r="B214" s="150"/>
      <c r="E214" s="118"/>
      <c r="H214" s="70" t="s">
        <v>112</v>
      </c>
      <c r="I214" s="69">
        <f>K213/K206</f>
        <v>11.040697916666666</v>
      </c>
      <c r="J214" s="102"/>
      <c r="K214" s="70"/>
      <c r="M214" s="93"/>
      <c r="N214" s="68"/>
    </row>
    <row r="215" spans="2:14">
      <c r="B215" s="150"/>
      <c r="E215" s="79" t="s">
        <v>93</v>
      </c>
      <c r="F215" s="67" t="s">
        <v>27</v>
      </c>
      <c r="G215" s="67" t="s">
        <v>94</v>
      </c>
      <c r="H215" s="61" t="s">
        <v>95</v>
      </c>
      <c r="I215" s="17" t="s">
        <v>54</v>
      </c>
      <c r="J215" s="102"/>
      <c r="K215" s="70"/>
      <c r="M215" s="93"/>
      <c r="N215" s="68"/>
    </row>
    <row r="216" spans="2:14">
      <c r="B216" s="150"/>
      <c r="E216" s="101">
        <v>5</v>
      </c>
      <c r="F216" s="51">
        <f>(F208-0.06)*2+(G208-0.06)*2+0.1</f>
        <v>0.86</v>
      </c>
      <c r="G216" s="51">
        <f>E200/0.2</f>
        <v>45.499999999999993</v>
      </c>
      <c r="H216" s="51">
        <f>((E216/1000)*(E216/1000)*3.14*0.25)*7850</f>
        <v>0.15405625000000003</v>
      </c>
      <c r="I216" s="51">
        <f>$H$138</f>
        <v>1</v>
      </c>
      <c r="J216" s="102"/>
      <c r="K216" s="70">
        <f>G216*H216*F216*I216</f>
        <v>6.0282210625000001</v>
      </c>
      <c r="M216" s="93"/>
      <c r="N216" s="68"/>
    </row>
    <row r="217" spans="2:14">
      <c r="B217" s="150"/>
      <c r="E217" s="118"/>
      <c r="J217" s="102"/>
      <c r="M217" s="93"/>
      <c r="N217" s="68"/>
    </row>
    <row r="218" spans="2:14" ht="15">
      <c r="B218" s="150"/>
      <c r="C218" s="26">
        <v>96545</v>
      </c>
      <c r="D218" s="16" t="s">
        <v>8</v>
      </c>
      <c r="E218" s="447" t="str">
        <f>IFERROR(VLOOKUP($C218,'SINAPI JULHO 2018'!$1:$1048576,2,0),IFERROR(VLOOKUP($C218,'5-COMP. PROPRIA'!$B$13:$I$518,4,0),""))</f>
        <v>ARMAÇÃO DE BLOCO, VIGA BALDRAME OU SAPATA UTILIZANDO AÇO CA-50 DE 8 MM - MONTAGEM. AF_06/2017</v>
      </c>
      <c r="F218" s="448"/>
      <c r="G218" s="448"/>
      <c r="H218" s="448"/>
      <c r="I218" s="448"/>
      <c r="J218" s="449"/>
      <c r="K218" s="184">
        <f>SUM(K221:K221)</f>
        <v>14.3555776</v>
      </c>
      <c r="L218" s="58" t="s">
        <v>92</v>
      </c>
      <c r="M218" s="52">
        <v>0</v>
      </c>
      <c r="N218" s="68" t="s">
        <v>92</v>
      </c>
    </row>
    <row r="219" spans="2:14">
      <c r="B219" s="150"/>
      <c r="E219" s="118"/>
      <c r="H219" s="70" t="s">
        <v>112</v>
      </c>
      <c r="I219" s="69">
        <f>K218/K211</f>
        <v>26.292266666666666</v>
      </c>
      <c r="J219" s="102"/>
      <c r="K219" s="70"/>
      <c r="M219" s="93"/>
      <c r="N219" s="68"/>
    </row>
    <row r="220" spans="2:14">
      <c r="B220" s="150"/>
      <c r="E220" s="79" t="s">
        <v>93</v>
      </c>
      <c r="F220" s="67" t="s">
        <v>27</v>
      </c>
      <c r="G220" s="67" t="s">
        <v>28</v>
      </c>
      <c r="H220" s="61" t="s">
        <v>95</v>
      </c>
      <c r="I220" s="17" t="s">
        <v>54</v>
      </c>
      <c r="J220" s="102"/>
      <c r="K220" s="70"/>
      <c r="M220" s="93"/>
      <c r="N220" s="68"/>
    </row>
    <row r="221" spans="2:14">
      <c r="B221" s="150"/>
      <c r="E221" s="101">
        <v>8</v>
      </c>
      <c r="F221" s="51">
        <f>E208</f>
        <v>9.1</v>
      </c>
      <c r="G221" s="51">
        <v>1</v>
      </c>
      <c r="H221" s="51">
        <f>((E221/1000)*(E221/1000)*3.14*0.25)*7850</f>
        <v>0.39438400000000001</v>
      </c>
      <c r="I221" s="51">
        <v>4</v>
      </c>
      <c r="J221" s="102"/>
      <c r="K221" s="70">
        <f>G221*H221*F221*I221</f>
        <v>14.3555776</v>
      </c>
      <c r="M221" s="93"/>
      <c r="N221" s="68"/>
    </row>
    <row r="222" spans="2:14">
      <c r="B222" s="150"/>
      <c r="E222" s="118"/>
      <c r="J222" s="102"/>
      <c r="K222" s="183"/>
      <c r="M222" s="93"/>
      <c r="N222" s="68"/>
    </row>
    <row r="223" spans="2:14" ht="30.75" customHeight="1">
      <c r="B223" s="150"/>
      <c r="C223" s="26">
        <v>96536</v>
      </c>
      <c r="D223" s="16" t="s">
        <v>8</v>
      </c>
      <c r="E223" s="447" t="str">
        <f>IFERROR(VLOOKUP($C223,'SINAPI JULHO 2018'!$1:$1048576,2,0),IFERROR(VLOOKUP($C223,'5-COMP. PROPRIA'!$B$13:$I$518,4,0),""))</f>
        <v>FABRICAÇÃO, MONTAGEM E DESMONTAGEM DE FÔRMA PARA VIGA BALDRAME, EM MADEIRA SERRADA, E=25 MM, 4 UTILIZAÇÕES. AF_06/2017</v>
      </c>
      <c r="F223" s="448"/>
      <c r="G223" s="448"/>
      <c r="H223" s="448"/>
      <c r="I223" s="448"/>
      <c r="J223" s="449"/>
      <c r="K223" s="184">
        <f>SUM(K225:K225)</f>
        <v>5.46</v>
      </c>
      <c r="L223" s="58" t="s">
        <v>25</v>
      </c>
      <c r="M223" s="93"/>
      <c r="N223" s="68"/>
    </row>
    <row r="224" spans="2:14" ht="25.5">
      <c r="B224" s="150"/>
      <c r="D224" s="51"/>
      <c r="E224" s="76" t="s">
        <v>106</v>
      </c>
      <c r="F224" s="17" t="s">
        <v>107</v>
      </c>
      <c r="G224" s="17" t="s">
        <v>108</v>
      </c>
      <c r="H224" s="67" t="s">
        <v>47</v>
      </c>
      <c r="I224" s="221"/>
      <c r="J224" s="222"/>
      <c r="K224" s="186"/>
      <c r="L224" s="100"/>
      <c r="M224" s="93"/>
      <c r="N224" s="68"/>
    </row>
    <row r="225" spans="2:14">
      <c r="B225" s="150"/>
      <c r="E225" s="118">
        <f>E208</f>
        <v>9.1</v>
      </c>
      <c r="F225" s="51">
        <f>F208</f>
        <v>0.2</v>
      </c>
      <c r="G225" s="51">
        <f>G208</f>
        <v>0.3</v>
      </c>
      <c r="H225" s="51">
        <f>H208</f>
        <v>1</v>
      </c>
      <c r="J225" s="102"/>
      <c r="K225" s="70">
        <f>E225*(G225*2)*H225</f>
        <v>5.46</v>
      </c>
      <c r="M225" s="93"/>
      <c r="N225" s="68"/>
    </row>
    <row r="226" spans="2:14">
      <c r="B226" s="150"/>
      <c r="E226" s="118"/>
      <c r="J226" s="102"/>
      <c r="M226" s="93"/>
      <c r="N226" s="68"/>
    </row>
    <row r="227" spans="2:14" ht="15">
      <c r="B227" s="150"/>
      <c r="C227" s="16">
        <v>93382</v>
      </c>
      <c r="D227" s="16" t="s">
        <v>8</v>
      </c>
      <c r="E227" s="447" t="str">
        <f>IFERROR(VLOOKUP($C227,'SINAPI JULHO 2018'!$1:$1048576,2,0),IFERROR(VLOOKUP($C227,'5-COMP. PROPRIA'!$B$13:$I$518,4,0),""))</f>
        <v>REATERRO MANUAL DE VALAS COM COMPACTAÇÃO MECANIZADA. AF_04/2016</v>
      </c>
      <c r="F227" s="448"/>
      <c r="G227" s="448"/>
      <c r="H227" s="448"/>
      <c r="I227" s="448"/>
      <c r="J227" s="449"/>
      <c r="K227" s="184">
        <f>SUM(K229)</f>
        <v>0.95549999999999979</v>
      </c>
      <c r="L227" s="58" t="s">
        <v>65</v>
      </c>
      <c r="M227" s="93"/>
      <c r="N227" s="68"/>
    </row>
    <row r="228" spans="2:14" ht="38.25">
      <c r="B228" s="150"/>
      <c r="E228" s="79" t="s">
        <v>115</v>
      </c>
      <c r="F228" s="67" t="s">
        <v>116</v>
      </c>
      <c r="J228" s="102"/>
      <c r="K228" s="184"/>
      <c r="M228" s="93"/>
      <c r="N228" s="68"/>
    </row>
    <row r="229" spans="2:14">
      <c r="B229" s="150"/>
      <c r="E229" s="112">
        <f>K198</f>
        <v>1.5014999999999998</v>
      </c>
      <c r="F229" s="51">
        <f>K206</f>
        <v>0.54600000000000004</v>
      </c>
      <c r="J229" s="102"/>
      <c r="K229" s="70">
        <f>E229-F229</f>
        <v>0.95549999999999979</v>
      </c>
      <c r="M229" s="93"/>
      <c r="N229" s="68"/>
    </row>
    <row r="230" spans="2:14">
      <c r="B230" s="150"/>
      <c r="E230" s="118"/>
      <c r="J230" s="102"/>
      <c r="M230" s="93"/>
      <c r="N230" s="68"/>
    </row>
    <row r="231" spans="2:14" ht="15">
      <c r="B231" s="150"/>
      <c r="C231" s="16" t="s">
        <v>117</v>
      </c>
      <c r="D231" s="16" t="s">
        <v>8</v>
      </c>
      <c r="E231" s="447" t="str">
        <f>IFERROR(VLOOKUP($C231,'SINAPI JULHO 2018'!$1:$1048576,2,0),IFERROR(VLOOKUP($C231,'5-COMP. PROPRIA'!$B$13:$I$518,4,0),""))</f>
        <v>IMPERMEABILIZACAO DE ESTRUTURAS ENTERRADAS, COM TINTA ASFALTICA, DUAS DEMAOS.</v>
      </c>
      <c r="F231" s="448"/>
      <c r="G231" s="448"/>
      <c r="H231" s="448"/>
      <c r="I231" s="448"/>
      <c r="J231" s="449"/>
      <c r="K231" s="184">
        <f>K223</f>
        <v>5.46</v>
      </c>
      <c r="L231" s="57" t="s">
        <v>25</v>
      </c>
      <c r="M231" s="52"/>
      <c r="N231" s="68"/>
    </row>
    <row r="232" spans="2:14">
      <c r="B232" s="150"/>
      <c r="E232" s="112"/>
      <c r="J232" s="102"/>
      <c r="K232" s="183"/>
      <c r="L232" s="57"/>
      <c r="M232" s="93"/>
      <c r="N232" s="68"/>
    </row>
    <row r="233" spans="2:14">
      <c r="B233" s="150"/>
      <c r="E233" s="112"/>
      <c r="J233" s="102"/>
      <c r="K233" s="183"/>
      <c r="L233" s="57"/>
      <c r="M233" s="93"/>
      <c r="N233" s="68"/>
    </row>
    <row r="234" spans="2:14" ht="15">
      <c r="B234" s="150"/>
      <c r="C234" s="26">
        <v>72897</v>
      </c>
      <c r="D234" s="16" t="s">
        <v>8</v>
      </c>
      <c r="E234" s="447" t="str">
        <f>IFERROR(VLOOKUP($C234,'SINAPI JULHO 2018'!$1:$1048576,2,0),IFERROR(VLOOKUP($C234,'5-COMP. PROPRIA'!$B$13:$I$518,4,0),""))</f>
        <v>CARGA MANUAL DE ENTULHO EM CAMINHAO BASCULANTE 6 M3</v>
      </c>
      <c r="F234" s="448"/>
      <c r="G234" s="448"/>
      <c r="H234" s="448"/>
      <c r="I234" s="448"/>
      <c r="J234" s="449"/>
      <c r="K234" s="184">
        <f>SUM(K236:K236)</f>
        <v>0.7098000000000001</v>
      </c>
      <c r="L234" s="58" t="s">
        <v>65</v>
      </c>
      <c r="M234" s="93"/>
      <c r="N234" s="68"/>
    </row>
    <row r="235" spans="2:14" ht="38.25">
      <c r="B235" s="150"/>
      <c r="E235" s="79"/>
      <c r="F235" s="67" t="s">
        <v>116</v>
      </c>
      <c r="G235" s="17"/>
      <c r="H235" s="67" t="s">
        <v>119</v>
      </c>
      <c r="J235" s="220"/>
      <c r="K235" s="70"/>
      <c r="M235" s="93"/>
      <c r="N235" s="68"/>
    </row>
    <row r="236" spans="2:14">
      <c r="B236" s="150"/>
      <c r="E236" s="118"/>
      <c r="F236" s="17">
        <f>K206</f>
        <v>0.54600000000000004</v>
      </c>
      <c r="G236" s="17"/>
      <c r="H236" s="17">
        <v>1.3</v>
      </c>
      <c r="J236" s="68"/>
      <c r="K236" s="70">
        <f>H236*F236</f>
        <v>0.7098000000000001</v>
      </c>
      <c r="M236" s="93"/>
      <c r="N236" s="68"/>
    </row>
    <row r="237" spans="2:14">
      <c r="B237" s="150"/>
      <c r="E237" s="118"/>
      <c r="F237" s="17"/>
      <c r="G237" s="17"/>
      <c r="I237" s="17"/>
      <c r="J237" s="68"/>
      <c r="K237" s="70"/>
      <c r="M237" s="93"/>
      <c r="N237" s="68"/>
    </row>
    <row r="238" spans="2:14" ht="15">
      <c r="B238" s="150"/>
      <c r="C238" s="16">
        <v>97914</v>
      </c>
      <c r="D238" s="16" t="s">
        <v>8</v>
      </c>
      <c r="E238" s="447" t="str">
        <f>IFERROR(VLOOKUP($C238,'SINAPI JULHO 2018'!$1:$1048576,2,0),IFERROR(VLOOKUP($C238,'5-COMP. PROPRIA'!$B$13:$I$518,4,0),""))</f>
        <v>TRANSPORTE COM CAMINHÃO BASCULANTE DE 6 M3, EM VIA URBANA PAVIMENTADA, DMT ATÉ 30 KM (UNIDADE: M3XKM). AF_01/2018</v>
      </c>
      <c r="F238" s="448"/>
      <c r="G238" s="448"/>
      <c r="H238" s="448"/>
      <c r="I238" s="448"/>
      <c r="J238" s="449"/>
      <c r="K238" s="184">
        <f>K240</f>
        <v>5.323500000000001</v>
      </c>
      <c r="L238" s="57" t="s">
        <v>78</v>
      </c>
      <c r="M238" s="93"/>
      <c r="N238" s="68"/>
    </row>
    <row r="239" spans="2:14" ht="25.5">
      <c r="B239" s="150"/>
      <c r="E239" s="79" t="s">
        <v>80</v>
      </c>
      <c r="H239" s="67" t="s">
        <v>81</v>
      </c>
      <c r="J239" s="102"/>
      <c r="M239" s="93"/>
      <c r="N239" s="68"/>
    </row>
    <row r="240" spans="2:14">
      <c r="B240" s="150"/>
      <c r="E240" s="79">
        <f>K234</f>
        <v>0.7098000000000001</v>
      </c>
      <c r="H240" s="105">
        <v>7.5</v>
      </c>
      <c r="J240" s="102"/>
      <c r="K240" s="180">
        <f>E240*H240</f>
        <v>5.323500000000001</v>
      </c>
      <c r="M240" s="93"/>
      <c r="N240" s="68"/>
    </row>
    <row r="241" spans="2:14">
      <c r="B241" s="150"/>
      <c r="E241" s="79"/>
      <c r="H241" s="67"/>
      <c r="J241" s="102"/>
      <c r="M241" s="93"/>
      <c r="N241" s="68"/>
    </row>
    <row r="242" spans="2:14" s="128" customFormat="1" ht="15">
      <c r="B242" s="268"/>
      <c r="C242" s="302"/>
      <c r="D242" s="302"/>
      <c r="E242" s="462" t="s">
        <v>123</v>
      </c>
      <c r="F242" s="463"/>
      <c r="G242" s="463"/>
      <c r="H242" s="463"/>
      <c r="I242" s="463"/>
      <c r="J242" s="464"/>
      <c r="K242" s="270"/>
      <c r="L242" s="303"/>
      <c r="M242" s="272"/>
      <c r="N242" s="304"/>
    </row>
    <row r="243" spans="2:14" ht="15">
      <c r="B243" s="150"/>
      <c r="E243" s="266"/>
      <c r="F243" s="99"/>
      <c r="G243" s="99"/>
      <c r="H243" s="99"/>
      <c r="I243" s="99"/>
      <c r="J243" s="267"/>
      <c r="K243" s="70"/>
      <c r="N243" s="104"/>
    </row>
    <row r="244" spans="2:14" ht="15">
      <c r="B244" s="150"/>
      <c r="C244" s="91"/>
      <c r="D244" s="91"/>
      <c r="E244" s="476" t="s">
        <v>86</v>
      </c>
      <c r="F244" s="477"/>
      <c r="G244" s="478"/>
      <c r="H244" s="54"/>
      <c r="I244" s="54"/>
      <c r="J244" s="117"/>
      <c r="K244" s="183"/>
      <c r="L244" s="56"/>
      <c r="M244" s="93"/>
      <c r="N244" s="107"/>
    </row>
    <row r="245" spans="2:14">
      <c r="B245" s="150"/>
      <c r="C245" s="92"/>
      <c r="D245" s="92"/>
      <c r="E245" s="112"/>
      <c r="F245" s="57"/>
      <c r="G245" s="57"/>
      <c r="H245" s="57"/>
      <c r="J245" s="102"/>
      <c r="K245" s="70"/>
      <c r="N245" s="104"/>
    </row>
    <row r="246" spans="2:14" ht="15">
      <c r="B246" s="150"/>
      <c r="C246" s="26">
        <v>98228</v>
      </c>
      <c r="D246" s="26" t="s">
        <v>8</v>
      </c>
      <c r="E246" s="447" t="str">
        <f>IFERROR(VLOOKUP($C246,'SINAPI JULHO 2018'!$1:$1048576,2,0),IFERROR(VLOOKUP($C246,'5-COMP. PROPRIA'!$B$13:$I$518,4,0),""))</f>
        <v>ESTACA BROCA DE CONCRETO, DIÃMETRO DE 20 CM, PROFUNDIDADE DE ATÉ 3 M, ESCAVAÇÃO MANUAL COM TRADO CONCHA, NÃO ARMADA. AF_03/2018</v>
      </c>
      <c r="F246" s="448"/>
      <c r="G246" s="448"/>
      <c r="H246" s="448"/>
      <c r="I246" s="448"/>
      <c r="J246" s="449"/>
      <c r="K246" s="184">
        <f>SUM(K248:K248)</f>
        <v>8</v>
      </c>
      <c r="L246" s="58" t="s">
        <v>63</v>
      </c>
      <c r="M246" s="99">
        <f>K246*(PI()*G248^2)</f>
        <v>1.0053096491487339</v>
      </c>
      <c r="N246" s="107" t="s">
        <v>65</v>
      </c>
    </row>
    <row r="247" spans="2:14">
      <c r="B247" s="150"/>
      <c r="E247" s="76" t="s">
        <v>88</v>
      </c>
      <c r="F247" s="51" t="s">
        <v>89</v>
      </c>
      <c r="G247" s="51" t="s">
        <v>90</v>
      </c>
      <c r="J247" s="102"/>
      <c r="K247" s="187"/>
      <c r="L247" s="3"/>
      <c r="M247" s="3"/>
      <c r="N247" s="104"/>
    </row>
    <row r="248" spans="2:14">
      <c r="B248" s="150"/>
      <c r="C248" s="16"/>
      <c r="D248" s="16"/>
      <c r="E248" s="111">
        <v>4</v>
      </c>
      <c r="F248" s="105">
        <v>2</v>
      </c>
      <c r="G248" s="51">
        <v>0.2</v>
      </c>
      <c r="J248" s="102"/>
      <c r="K248" s="70">
        <f>E248*F248</f>
        <v>8</v>
      </c>
      <c r="N248" s="104"/>
    </row>
    <row r="249" spans="2:14">
      <c r="B249" s="150"/>
      <c r="C249" s="16"/>
      <c r="D249" s="16"/>
      <c r="E249" s="112"/>
      <c r="J249" s="102"/>
      <c r="K249" s="70"/>
      <c r="N249" s="104"/>
    </row>
    <row r="250" spans="2:14" ht="26.25" customHeight="1">
      <c r="B250" s="157" t="s">
        <v>91</v>
      </c>
      <c r="C250" s="26">
        <v>95583</v>
      </c>
      <c r="D250" s="26" t="s">
        <v>8</v>
      </c>
      <c r="E250" s="447" t="str">
        <f>IFERROR(VLOOKUP($C250,'SINAPI JULHO 2018'!$1:$1048576,2,0),IFERROR(VLOOKUP($C250,'5-COMP. PROPRIA'!$B$13:$I$518,4,0),""))</f>
        <v>MONTAGEM DE ARMADURA TRANSVERSAL DE ESTACAS DE SEÇÃO CIRCULAR, DIÂMETRO = 5,0 MM. AF_11/2016</v>
      </c>
      <c r="F250" s="448"/>
      <c r="G250" s="448"/>
      <c r="H250" s="448"/>
      <c r="I250" s="448"/>
      <c r="J250" s="449"/>
      <c r="K250" s="184">
        <f>SUM(K251:K252)</f>
        <v>4.4861180000000012</v>
      </c>
      <c r="L250" s="58" t="s">
        <v>92</v>
      </c>
      <c r="M250" s="184"/>
      <c r="N250" s="107"/>
    </row>
    <row r="251" spans="2:14">
      <c r="B251" s="150"/>
      <c r="E251" s="79" t="s">
        <v>93</v>
      </c>
      <c r="F251" s="67" t="s">
        <v>27</v>
      </c>
      <c r="G251" s="67" t="s">
        <v>94</v>
      </c>
      <c r="H251" s="61" t="s">
        <v>95</v>
      </c>
      <c r="I251" s="67" t="s">
        <v>124</v>
      </c>
      <c r="J251" s="102">
        <f>K250/M246</f>
        <v>4.4624240937095463</v>
      </c>
      <c r="K251" s="70"/>
      <c r="N251" s="104"/>
    </row>
    <row r="252" spans="2:14">
      <c r="B252" s="150"/>
      <c r="E252" s="101">
        <v>5</v>
      </c>
      <c r="F252" s="51">
        <f>2*3.14*0.1+0.1</f>
        <v>0.72800000000000009</v>
      </c>
      <c r="G252" s="51">
        <f>K246/0.2</f>
        <v>40</v>
      </c>
      <c r="H252" s="51">
        <f>((E252/1000)*(E252/1000)*3.14*0.25)*7850</f>
        <v>0.15405625000000003</v>
      </c>
      <c r="J252" s="102"/>
      <c r="K252" s="70">
        <f>G252*H252*F252</f>
        <v>4.4861180000000012</v>
      </c>
      <c r="N252" s="104"/>
    </row>
    <row r="253" spans="2:14">
      <c r="B253" s="150"/>
      <c r="E253" s="118"/>
      <c r="J253" s="102"/>
      <c r="K253" s="183"/>
      <c r="N253" s="104"/>
    </row>
    <row r="254" spans="2:14">
      <c r="B254" s="150"/>
      <c r="E254" s="118"/>
      <c r="J254" s="102"/>
      <c r="K254" s="183"/>
      <c r="N254" s="104"/>
    </row>
    <row r="255" spans="2:14" ht="27.75" customHeight="1">
      <c r="B255" s="150"/>
      <c r="C255" s="26">
        <v>95576</v>
      </c>
      <c r="D255" s="26" t="s">
        <v>8</v>
      </c>
      <c r="E255" s="447" t="str">
        <f>IFERROR(VLOOKUP($C255,'SINAPI JULHO 2018'!$1:$1048576,2,0),IFERROR(VLOOKUP($C255,'5-COMP. PROPRIA'!$B$13:$I$518,4,0),""))</f>
        <v>MONTAGEM DE ARMADURA LONGITUDINAL/TRANSVERSAL DE ESTACAS DE SEÇÃO CIRCULAR, DIÂMETRO = 8,0 MM. AF_11/2016</v>
      </c>
      <c r="F255" s="448"/>
      <c r="G255" s="448"/>
      <c r="H255" s="448"/>
      <c r="I255" s="448"/>
      <c r="J255" s="449"/>
      <c r="K255" s="184">
        <f>SUM(K258:K258)</f>
        <v>14.5133312</v>
      </c>
      <c r="L255" s="58" t="s">
        <v>92</v>
      </c>
      <c r="N255" s="104"/>
    </row>
    <row r="256" spans="2:14">
      <c r="B256" s="150"/>
      <c r="E256" s="118"/>
      <c r="H256" s="51" t="s">
        <v>96</v>
      </c>
      <c r="I256" s="51">
        <f>K255/M246</f>
        <v>14.436677507561431</v>
      </c>
      <c r="J256" s="102"/>
      <c r="N256" s="104"/>
    </row>
    <row r="257" spans="2:14">
      <c r="B257" s="150"/>
      <c r="E257" s="79" t="s">
        <v>93</v>
      </c>
      <c r="F257" s="67" t="s">
        <v>27</v>
      </c>
      <c r="G257" s="67" t="s">
        <v>94</v>
      </c>
      <c r="H257" s="61" t="s">
        <v>95</v>
      </c>
      <c r="I257" s="61"/>
      <c r="J257" s="102"/>
      <c r="K257" s="70"/>
      <c r="N257" s="104"/>
    </row>
    <row r="258" spans="2:14">
      <c r="B258" s="150"/>
      <c r="E258" s="101">
        <v>8</v>
      </c>
      <c r="F258" s="51">
        <f>F248+0.3</f>
        <v>2.2999999999999998</v>
      </c>
      <c r="G258" s="51">
        <f>E248*4</f>
        <v>16</v>
      </c>
      <c r="H258" s="51">
        <f>((E258/1000)*(E258/1000)*3.14*0.25)*7850</f>
        <v>0.39438400000000001</v>
      </c>
      <c r="J258" s="102"/>
      <c r="K258" s="70">
        <f>G258*H258*F258</f>
        <v>14.5133312</v>
      </c>
      <c r="N258" s="104"/>
    </row>
    <row r="259" spans="2:14">
      <c r="B259" s="150"/>
      <c r="E259" s="118"/>
      <c r="J259" s="102"/>
      <c r="K259" s="70"/>
      <c r="N259" s="104"/>
    </row>
    <row r="260" spans="2:14" ht="15">
      <c r="B260" s="150"/>
      <c r="C260" s="26">
        <v>72897</v>
      </c>
      <c r="D260" s="26" t="s">
        <v>97</v>
      </c>
      <c r="E260" s="447" t="str">
        <f>IFERROR(VLOOKUP($C260,'SINAPI JULHO 2018'!$1:$1048576,2,0),IFERROR(VLOOKUP($C260,'5-COMP. PROPRIA'!$B$13:$I$518,4,0),""))</f>
        <v>CARGA MANUAL DE ENTULHO EM CAMINHAO BASCULANTE 6 M3</v>
      </c>
      <c r="F260" s="448"/>
      <c r="G260" s="448"/>
      <c r="H260" s="448"/>
      <c r="I260" s="448"/>
      <c r="J260" s="449"/>
      <c r="K260" s="184">
        <f>K262</f>
        <v>1.3069025438933541</v>
      </c>
      <c r="L260" s="58" t="s">
        <v>65</v>
      </c>
      <c r="N260" s="104"/>
    </row>
    <row r="261" spans="2:14">
      <c r="B261" s="150"/>
      <c r="E261" s="90"/>
      <c r="F261" s="67" t="s">
        <v>99</v>
      </c>
      <c r="G261" s="67"/>
      <c r="H261" s="61"/>
      <c r="I261" s="67" t="s">
        <v>122</v>
      </c>
      <c r="J261" s="102"/>
      <c r="N261" s="104"/>
    </row>
    <row r="262" spans="2:14">
      <c r="B262" s="150"/>
      <c r="E262" s="80"/>
      <c r="F262" s="51">
        <f>M246</f>
        <v>1.0053096491487339</v>
      </c>
      <c r="I262" s="51">
        <v>1.3</v>
      </c>
      <c r="J262" s="102"/>
      <c r="K262" s="70">
        <f>F262*I262</f>
        <v>1.3069025438933541</v>
      </c>
      <c r="N262" s="104"/>
    </row>
    <row r="263" spans="2:14">
      <c r="B263" s="150"/>
      <c r="E263" s="118"/>
      <c r="J263" s="102"/>
      <c r="N263" s="104"/>
    </row>
    <row r="264" spans="2:14" ht="15">
      <c r="B264" s="150"/>
      <c r="C264" s="16">
        <v>97914</v>
      </c>
      <c r="D264" s="26" t="s">
        <v>97</v>
      </c>
      <c r="E264" s="447" t="str">
        <f>IFERROR(VLOOKUP($C264,'SINAPI JULHO 2018'!$1:$1048576,2,0),IFERROR(VLOOKUP($C264,'5-COMP. PROPRIA'!$B$13:$I$518,4,0),""))</f>
        <v>TRANSPORTE COM CAMINHÃO BASCULANTE DE 6 M3, EM VIA URBANA PAVIMENTADA, DMT ATÉ 30 KM (UNIDADE: M3XKM). AF_01/2018</v>
      </c>
      <c r="F264" s="448"/>
      <c r="G264" s="448"/>
      <c r="H264" s="448"/>
      <c r="I264" s="448"/>
      <c r="J264" s="449"/>
      <c r="K264" s="184">
        <f>SUM(K266)</f>
        <v>9.8017690792001559</v>
      </c>
      <c r="L264" s="58" t="s">
        <v>65</v>
      </c>
      <c r="N264" s="104"/>
    </row>
    <row r="265" spans="2:14" ht="25.5">
      <c r="B265" s="150"/>
      <c r="E265" s="79" t="s">
        <v>80</v>
      </c>
      <c r="H265" s="67" t="s">
        <v>81</v>
      </c>
      <c r="J265" s="102"/>
      <c r="N265" s="104"/>
    </row>
    <row r="266" spans="2:14">
      <c r="B266" s="150"/>
      <c r="E266" s="112">
        <f>K260</f>
        <v>1.3069025438933541</v>
      </c>
      <c r="F266" s="57"/>
      <c r="G266" s="57"/>
      <c r="H266" s="105">
        <v>7.5</v>
      </c>
      <c r="J266" s="68"/>
      <c r="K266" s="70">
        <f>H266*E266</f>
        <v>9.8017690792001559</v>
      </c>
      <c r="N266" s="104"/>
    </row>
    <row r="267" spans="2:14">
      <c r="B267" s="150"/>
      <c r="E267" s="118"/>
      <c r="J267" s="102"/>
      <c r="N267" s="104"/>
    </row>
    <row r="268" spans="2:14" ht="15">
      <c r="B268" s="150"/>
      <c r="C268" s="91"/>
      <c r="D268" s="91"/>
      <c r="E268" s="465" t="s">
        <v>103</v>
      </c>
      <c r="F268" s="466"/>
      <c r="G268" s="466"/>
      <c r="H268" s="123" t="s">
        <v>104</v>
      </c>
      <c r="J268" s="117"/>
      <c r="K268" s="183"/>
      <c r="L268" s="56"/>
      <c r="M268" s="93"/>
      <c r="N268" s="107"/>
    </row>
    <row r="269" spans="2:14" ht="30.75" customHeight="1">
      <c r="B269" s="150"/>
      <c r="C269" s="26">
        <v>96527</v>
      </c>
      <c r="D269" s="16" t="s">
        <v>8</v>
      </c>
      <c r="E269" s="447" t="str">
        <f>IFERROR(VLOOKUP($C269,'SINAPI JULHO 2018'!$1:$1048576,2,0),IFERROR(VLOOKUP($C269,'5-COMP. PROPRIA'!$B$13:$I$518,4,0),""))</f>
        <v>ESCAVAÇÃO MANUAL DE VALA PARA VIGA BALDRAME, COM PREVISÃO DE FÔRMA. AF_06/2017</v>
      </c>
      <c r="F269" s="448"/>
      <c r="G269" s="448"/>
      <c r="H269" s="448"/>
      <c r="I269" s="448"/>
      <c r="J269" s="449"/>
      <c r="K269" s="184">
        <f>SUM(K271:K271)*1.3</f>
        <v>2.0591999999999997</v>
      </c>
      <c r="L269" s="58" t="s">
        <v>65</v>
      </c>
      <c r="M269" s="93"/>
      <c r="N269" s="68"/>
    </row>
    <row r="270" spans="2:14" ht="25.5">
      <c r="B270" s="150"/>
      <c r="E270" s="76" t="s">
        <v>106</v>
      </c>
      <c r="F270" s="17" t="s">
        <v>107</v>
      </c>
      <c r="G270" s="17" t="s">
        <v>108</v>
      </c>
      <c r="H270" s="67" t="s">
        <v>47</v>
      </c>
      <c r="I270" s="221"/>
      <c r="J270" s="222"/>
      <c r="K270" s="186"/>
      <c r="M270" s="93"/>
      <c r="N270" s="68"/>
    </row>
    <row r="271" spans="2:14">
      <c r="B271" s="150"/>
      <c r="E271" s="105">
        <f>E279</f>
        <v>9.6</v>
      </c>
      <c r="F271" s="105">
        <f>F279+0.3</f>
        <v>0.5</v>
      </c>
      <c r="G271" s="105">
        <f>G279+0.03</f>
        <v>0.32999999999999996</v>
      </c>
      <c r="H271" s="105">
        <f>H279</f>
        <v>1</v>
      </c>
      <c r="J271" s="102"/>
      <c r="K271" s="70">
        <f>E271*F271*G271*H271</f>
        <v>1.5839999999999999</v>
      </c>
      <c r="M271" s="93"/>
      <c r="N271" s="114"/>
    </row>
    <row r="272" spans="2:14">
      <c r="B272" s="150"/>
      <c r="E272" s="118"/>
      <c r="J272" s="102"/>
      <c r="K272" s="183"/>
      <c r="M272" s="93"/>
      <c r="N272" s="68"/>
    </row>
    <row r="273" spans="2:14" ht="25.5" customHeight="1">
      <c r="B273" s="150"/>
      <c r="C273" s="26">
        <v>96617</v>
      </c>
      <c r="D273" s="16" t="s">
        <v>8</v>
      </c>
      <c r="E273" s="447" t="str">
        <f>IFERROR(VLOOKUP($C273,'SINAPI JULHO 2018'!$1:$1048576,2,0),IFERROR(VLOOKUP($C273,'5-COMP. PROPRIA'!$B$13:$I$518,4,0),""))</f>
        <v>LASTRO DE CONCRETO MAGRO, APLICADO EM BLOCOS DE COROAMENTO OU SAPATAS, ESPESSURA DE 3 CM. AF_08/2017</v>
      </c>
      <c r="F273" s="448"/>
      <c r="G273" s="448"/>
      <c r="H273" s="448"/>
      <c r="I273" s="448"/>
      <c r="J273" s="449"/>
      <c r="K273" s="184">
        <f>SUM(K275:K275)</f>
        <v>1.92</v>
      </c>
      <c r="L273" s="57" t="s">
        <v>25</v>
      </c>
      <c r="M273" s="52">
        <f>K273*0.03</f>
        <v>5.7599999999999998E-2</v>
      </c>
      <c r="N273" s="109" t="s">
        <v>65</v>
      </c>
    </row>
    <row r="274" spans="2:14" ht="25.5">
      <c r="B274" s="150"/>
      <c r="E274" s="76" t="s">
        <v>106</v>
      </c>
      <c r="F274" s="17" t="s">
        <v>107</v>
      </c>
      <c r="H274" s="67" t="s">
        <v>47</v>
      </c>
      <c r="J274" s="102"/>
      <c r="N274" s="104"/>
    </row>
    <row r="275" spans="2:14">
      <c r="B275" s="150"/>
      <c r="E275" s="105">
        <f>E279</f>
        <v>9.6</v>
      </c>
      <c r="F275" s="105">
        <f>F279</f>
        <v>0.2</v>
      </c>
      <c r="H275" s="105">
        <f>H279</f>
        <v>1</v>
      </c>
      <c r="J275" s="102"/>
      <c r="K275" s="70">
        <f>H275*F275*E275</f>
        <v>1.92</v>
      </c>
      <c r="N275" s="104"/>
    </row>
    <row r="276" spans="2:14">
      <c r="B276" s="150"/>
      <c r="E276" s="118"/>
      <c r="J276" s="102"/>
      <c r="K276" s="183"/>
      <c r="M276" s="93"/>
      <c r="N276" s="68"/>
    </row>
    <row r="277" spans="2:14" ht="29.25" customHeight="1">
      <c r="B277" s="150"/>
      <c r="C277" s="26">
        <v>94965</v>
      </c>
      <c r="D277" s="16" t="s">
        <v>8</v>
      </c>
      <c r="E277" s="447" t="str">
        <f>IFERROR(VLOOKUP($C277,'SINAPI JULHO 2018'!$1:$1048576,2,0),IFERROR(VLOOKUP($C277,'5-COMP. PROPRIA'!$B$13:$I$518,4,0),""))</f>
        <v>CONCRETO FCK = 25MPA, TRAÇO 1:2,3:2,7 (CIMENTO/ AREIA MÉDIA/ BRITA 1)  - PREPARO MECÂNICO COM BETONEIRA 400 L. AF_07/2016</v>
      </c>
      <c r="F277" s="448"/>
      <c r="G277" s="448"/>
      <c r="H277" s="448"/>
      <c r="I277" s="448"/>
      <c r="J277" s="449"/>
      <c r="K277" s="184">
        <f>SUM(K279:K279)</f>
        <v>0.57599999999999996</v>
      </c>
      <c r="L277" s="58" t="s">
        <v>65</v>
      </c>
      <c r="M277" s="93"/>
      <c r="N277" s="68"/>
    </row>
    <row r="278" spans="2:14" ht="25.5">
      <c r="B278" s="150"/>
      <c r="E278" s="76" t="s">
        <v>106</v>
      </c>
      <c r="F278" s="17" t="s">
        <v>107</v>
      </c>
      <c r="G278" s="17" t="s">
        <v>108</v>
      </c>
      <c r="H278" s="67" t="s">
        <v>47</v>
      </c>
      <c r="I278" s="221"/>
      <c r="J278" s="222"/>
      <c r="K278" s="183"/>
      <c r="M278" s="93"/>
      <c r="N278" s="68"/>
    </row>
    <row r="279" spans="2:14">
      <c r="B279" s="150"/>
      <c r="E279" s="111">
        <v>9.6</v>
      </c>
      <c r="F279" s="74">
        <v>0.2</v>
      </c>
      <c r="G279" s="74">
        <v>0.3</v>
      </c>
      <c r="H279" s="74">
        <v>1</v>
      </c>
      <c r="J279" s="102"/>
      <c r="K279" s="70">
        <f>E279*F279*G279*H279</f>
        <v>0.57599999999999996</v>
      </c>
      <c r="M279" s="93"/>
      <c r="N279" s="68"/>
    </row>
    <row r="280" spans="2:14">
      <c r="B280" s="150"/>
      <c r="E280" s="112"/>
      <c r="J280" s="102"/>
      <c r="K280" s="183"/>
      <c r="M280" s="93"/>
      <c r="N280" s="68"/>
    </row>
    <row r="281" spans="2:14">
      <c r="B281" s="150"/>
      <c r="E281" s="112"/>
      <c r="J281" s="102"/>
      <c r="K281" s="183"/>
      <c r="M281" s="93"/>
      <c r="N281" s="68"/>
    </row>
    <row r="282" spans="2:14" ht="15">
      <c r="B282" s="150"/>
      <c r="C282" s="26" t="s">
        <v>111</v>
      </c>
      <c r="D282" s="16" t="s">
        <v>8</v>
      </c>
      <c r="E282" s="447" t="str">
        <f>IFERROR(VLOOKUP($C282,'SINAPI JULHO 2018'!$1:$1048576,2,0),IFERROR(VLOOKUP($C282,'5-COMP. PROPRIA'!$B$13:$I$518,4,0),""))</f>
        <v>LANCAMENTO/APLICACAO MANUAL DE CONCRETO EM FUNDACOES</v>
      </c>
      <c r="F282" s="448"/>
      <c r="G282" s="448"/>
      <c r="H282" s="448"/>
      <c r="I282" s="448"/>
      <c r="J282" s="449"/>
      <c r="K282" s="184">
        <f>K277</f>
        <v>0.57599999999999996</v>
      </c>
      <c r="L282" s="58" t="s">
        <v>65</v>
      </c>
      <c r="M282" s="93"/>
      <c r="N282" s="68"/>
    </row>
    <row r="283" spans="2:14">
      <c r="B283" s="150"/>
      <c r="E283" s="118"/>
      <c r="J283" s="102"/>
      <c r="M283" s="93"/>
      <c r="N283" s="68"/>
    </row>
    <row r="284" spans="2:14" ht="15">
      <c r="B284" s="157" t="s">
        <v>91</v>
      </c>
      <c r="C284" s="26">
        <v>96543</v>
      </c>
      <c r="D284" s="16" t="s">
        <v>8</v>
      </c>
      <c r="E284" s="447" t="str">
        <f>IFERROR(VLOOKUP($C284,'SINAPI JULHO 2018'!$1:$1048576,2,0),IFERROR(VLOOKUP($C284,'5-COMP. PROPRIA'!$B$13:$I$518,4,0),""))</f>
        <v>ARMAÇÃO DE BLOCO, VIGA BALDRAME E SAPATA UTILIZANDO AÇO CA-60 DE 5 MM - MONTAGEM. AF_06/2017</v>
      </c>
      <c r="F284" s="448"/>
      <c r="G284" s="448"/>
      <c r="H284" s="448"/>
      <c r="I284" s="448"/>
      <c r="J284" s="449"/>
      <c r="K284" s="184">
        <f>SUM(K287:K287)</f>
        <v>6.3594420000000005</v>
      </c>
      <c r="L284" s="58" t="s">
        <v>92</v>
      </c>
      <c r="M284" s="52">
        <v>0</v>
      </c>
      <c r="N284" s="68" t="s">
        <v>92</v>
      </c>
    </row>
    <row r="285" spans="2:14">
      <c r="B285" s="150"/>
      <c r="E285" s="118"/>
      <c r="H285" s="70" t="s">
        <v>112</v>
      </c>
      <c r="I285" s="69">
        <f>K284/K277</f>
        <v>11.040697916666668</v>
      </c>
      <c r="J285" s="102"/>
      <c r="K285" s="70"/>
      <c r="M285" s="93"/>
      <c r="N285" s="68"/>
    </row>
    <row r="286" spans="2:14">
      <c r="B286" s="150"/>
      <c r="E286" s="79" t="s">
        <v>93</v>
      </c>
      <c r="F286" s="67" t="s">
        <v>27</v>
      </c>
      <c r="G286" s="67" t="s">
        <v>94</v>
      </c>
      <c r="H286" s="61" t="s">
        <v>95</v>
      </c>
      <c r="I286" s="17" t="s">
        <v>54</v>
      </c>
      <c r="J286" s="102"/>
      <c r="K286" s="70"/>
      <c r="M286" s="93"/>
      <c r="N286" s="68"/>
    </row>
    <row r="287" spans="2:14">
      <c r="B287" s="150"/>
      <c r="E287" s="101">
        <v>5</v>
      </c>
      <c r="F287" s="51">
        <f>(F279-0.06)*2+(G279-0.06)*2+0.1</f>
        <v>0.86</v>
      </c>
      <c r="G287" s="51">
        <f>E271/0.2</f>
        <v>47.999999999999993</v>
      </c>
      <c r="H287" s="51">
        <f>((E287/1000)*(E287/1000)*3.14*0.25)*7850</f>
        <v>0.15405625000000003</v>
      </c>
      <c r="I287" s="51">
        <f>$H$138</f>
        <v>1</v>
      </c>
      <c r="J287" s="102"/>
      <c r="K287" s="70">
        <f>G287*H287*F287*I287</f>
        <v>6.3594420000000005</v>
      </c>
      <c r="M287" s="93"/>
      <c r="N287" s="68"/>
    </row>
    <row r="288" spans="2:14">
      <c r="B288" s="150"/>
      <c r="E288" s="118"/>
      <c r="J288" s="102"/>
      <c r="M288" s="93"/>
      <c r="N288" s="68"/>
    </row>
    <row r="289" spans="2:14" ht="15">
      <c r="B289" s="150"/>
      <c r="C289" s="26">
        <v>96545</v>
      </c>
      <c r="D289" s="16" t="s">
        <v>8</v>
      </c>
      <c r="E289" s="447" t="str">
        <f>IFERROR(VLOOKUP($C289,'SINAPI JULHO 2018'!$1:$1048576,2,0),IFERROR(VLOOKUP($C289,'5-COMP. PROPRIA'!$B$13:$I$518,4,0),""))</f>
        <v>ARMAÇÃO DE BLOCO, VIGA BALDRAME OU SAPATA UTILIZANDO AÇO CA-50 DE 8 MM - MONTAGEM. AF_06/2017</v>
      </c>
      <c r="F289" s="448"/>
      <c r="G289" s="448"/>
      <c r="H289" s="448"/>
      <c r="I289" s="448"/>
      <c r="J289" s="449"/>
      <c r="K289" s="184">
        <f>SUM(K292:K292)</f>
        <v>15.144345599999999</v>
      </c>
      <c r="L289" s="58" t="s">
        <v>92</v>
      </c>
      <c r="M289" s="52">
        <v>0</v>
      </c>
      <c r="N289" s="68" t="s">
        <v>92</v>
      </c>
    </row>
    <row r="290" spans="2:14">
      <c r="B290" s="150"/>
      <c r="E290" s="118"/>
      <c r="H290" s="70" t="s">
        <v>112</v>
      </c>
      <c r="I290" s="69">
        <f>K289/K282</f>
        <v>26.292266666666666</v>
      </c>
      <c r="J290" s="102"/>
      <c r="K290" s="70"/>
      <c r="M290" s="93"/>
      <c r="N290" s="68"/>
    </row>
    <row r="291" spans="2:14">
      <c r="B291" s="150"/>
      <c r="E291" s="79" t="s">
        <v>93</v>
      </c>
      <c r="F291" s="67" t="s">
        <v>27</v>
      </c>
      <c r="G291" s="67" t="s">
        <v>28</v>
      </c>
      <c r="H291" s="61" t="s">
        <v>95</v>
      </c>
      <c r="I291" s="17" t="s">
        <v>54</v>
      </c>
      <c r="J291" s="102"/>
      <c r="K291" s="70"/>
      <c r="M291" s="93"/>
      <c r="N291" s="68"/>
    </row>
    <row r="292" spans="2:14">
      <c r="B292" s="150"/>
      <c r="E292" s="101">
        <v>8</v>
      </c>
      <c r="F292" s="51">
        <f>E279</f>
        <v>9.6</v>
      </c>
      <c r="G292" s="51">
        <v>1</v>
      </c>
      <c r="H292" s="51">
        <f>((E292/1000)*(E292/1000)*3.14*0.25)*7850</f>
        <v>0.39438400000000001</v>
      </c>
      <c r="I292" s="51">
        <v>4</v>
      </c>
      <c r="J292" s="102"/>
      <c r="K292" s="70">
        <f>G292*H292*F292*I292</f>
        <v>15.144345599999999</v>
      </c>
      <c r="M292" s="93"/>
      <c r="N292" s="68"/>
    </row>
    <row r="293" spans="2:14">
      <c r="B293" s="150"/>
      <c r="E293" s="118"/>
      <c r="J293" s="102"/>
      <c r="K293" s="183"/>
      <c r="M293" s="93"/>
      <c r="N293" s="68"/>
    </row>
    <row r="294" spans="2:14" ht="15">
      <c r="B294" s="150"/>
      <c r="C294" s="26">
        <v>96536</v>
      </c>
      <c r="D294" s="16" t="s">
        <v>8</v>
      </c>
      <c r="E294" s="447" t="str">
        <f>IFERROR(VLOOKUP($C294,'SINAPI JULHO 2018'!$1:$1048576,2,0),IFERROR(VLOOKUP($C294,'5-COMP. PROPRIA'!$B$13:$I$518,4,0),""))</f>
        <v>FABRICAÇÃO, MONTAGEM E DESMONTAGEM DE FÔRMA PARA VIGA BALDRAME, EM MADEIRA SERRADA, E=25 MM, 4 UTILIZAÇÕES. AF_06/2017</v>
      </c>
      <c r="F294" s="448"/>
      <c r="G294" s="448"/>
      <c r="H294" s="448"/>
      <c r="I294" s="448"/>
      <c r="J294" s="449"/>
      <c r="K294" s="184">
        <f>SUM(K296:K296)</f>
        <v>5.76</v>
      </c>
      <c r="L294" s="58" t="s">
        <v>25</v>
      </c>
      <c r="M294" s="93"/>
      <c r="N294" s="68"/>
    </row>
    <row r="295" spans="2:14" ht="25.5">
      <c r="B295" s="150"/>
      <c r="D295" s="51"/>
      <c r="E295" s="76" t="s">
        <v>106</v>
      </c>
      <c r="F295" s="17" t="s">
        <v>107</v>
      </c>
      <c r="G295" s="17" t="s">
        <v>108</v>
      </c>
      <c r="H295" s="67" t="s">
        <v>47</v>
      </c>
      <c r="I295" s="221"/>
      <c r="J295" s="222"/>
      <c r="K295" s="186"/>
      <c r="L295" s="100"/>
      <c r="M295" s="93"/>
      <c r="N295" s="68"/>
    </row>
    <row r="296" spans="2:14">
      <c r="B296" s="150"/>
      <c r="E296" s="118">
        <f>E279</f>
        <v>9.6</v>
      </c>
      <c r="F296" s="51">
        <f>F279</f>
        <v>0.2</v>
      </c>
      <c r="G296" s="51">
        <f>G279</f>
        <v>0.3</v>
      </c>
      <c r="H296" s="51">
        <f>H279</f>
        <v>1</v>
      </c>
      <c r="J296" s="102"/>
      <c r="K296" s="70">
        <f>E296*(G296*2)*H296</f>
        <v>5.76</v>
      </c>
      <c r="M296" s="93"/>
      <c r="N296" s="68"/>
    </row>
    <row r="297" spans="2:14">
      <c r="B297" s="150"/>
      <c r="E297" s="118"/>
      <c r="J297" s="102"/>
      <c r="M297" s="93"/>
      <c r="N297" s="68"/>
    </row>
    <row r="298" spans="2:14" ht="15">
      <c r="B298" s="150"/>
      <c r="C298" s="16">
        <v>93382</v>
      </c>
      <c r="D298" s="16" t="s">
        <v>8</v>
      </c>
      <c r="E298" s="447" t="str">
        <f>IFERROR(VLOOKUP($C298,'SINAPI JULHO 2018'!$1:$1048576,2,0),IFERROR(VLOOKUP($C298,'5-COMP. PROPRIA'!$B$13:$I$518,4,0),""))</f>
        <v>REATERRO MANUAL DE VALAS COM COMPACTAÇÃO MECANIZADA. AF_04/2016</v>
      </c>
      <c r="F298" s="448"/>
      <c r="G298" s="448"/>
      <c r="H298" s="448"/>
      <c r="I298" s="448"/>
      <c r="J298" s="449"/>
      <c r="K298" s="184">
        <f>SUM(K300)</f>
        <v>1.4831999999999996</v>
      </c>
      <c r="L298" s="58" t="s">
        <v>65</v>
      </c>
      <c r="M298" s="93"/>
      <c r="N298" s="68"/>
    </row>
    <row r="299" spans="2:14" ht="38.25">
      <c r="B299" s="150"/>
      <c r="E299" s="79" t="s">
        <v>115</v>
      </c>
      <c r="F299" s="67" t="s">
        <v>116</v>
      </c>
      <c r="J299" s="102"/>
      <c r="K299" s="184"/>
      <c r="M299" s="93"/>
      <c r="N299" s="68"/>
    </row>
    <row r="300" spans="2:14">
      <c r="B300" s="150"/>
      <c r="E300" s="112">
        <f>K269</f>
        <v>2.0591999999999997</v>
      </c>
      <c r="F300" s="51">
        <f>K277</f>
        <v>0.57599999999999996</v>
      </c>
      <c r="J300" s="102"/>
      <c r="K300" s="70">
        <f>E300-F300</f>
        <v>1.4831999999999996</v>
      </c>
      <c r="M300" s="93"/>
      <c r="N300" s="68"/>
    </row>
    <row r="301" spans="2:14">
      <c r="B301" s="150"/>
      <c r="E301" s="118"/>
      <c r="J301" s="102"/>
      <c r="M301" s="93"/>
      <c r="N301" s="68"/>
    </row>
    <row r="302" spans="2:14" ht="15">
      <c r="B302" s="150"/>
      <c r="C302" s="16" t="s">
        <v>117</v>
      </c>
      <c r="D302" s="16" t="s">
        <v>8</v>
      </c>
      <c r="E302" s="447" t="str">
        <f>IFERROR(VLOOKUP($C302,'SINAPI JULHO 2018'!$1:$1048576,2,0),IFERROR(VLOOKUP($C302,'5-COMP. PROPRIA'!$B$13:$I$518,4,0),""))</f>
        <v>IMPERMEABILIZACAO DE ESTRUTURAS ENTERRADAS, COM TINTA ASFALTICA, DUAS DEMAOS.</v>
      </c>
      <c r="F302" s="448"/>
      <c r="G302" s="448"/>
      <c r="H302" s="448"/>
      <c r="I302" s="448"/>
      <c r="J302" s="449"/>
      <c r="K302" s="184">
        <f>K294</f>
        <v>5.76</v>
      </c>
      <c r="L302" s="57" t="s">
        <v>25</v>
      </c>
      <c r="M302" s="52"/>
      <c r="N302" s="68"/>
    </row>
    <row r="303" spans="2:14">
      <c r="B303" s="150"/>
      <c r="E303" s="112"/>
      <c r="J303" s="102"/>
      <c r="K303" s="183"/>
      <c r="L303" s="57"/>
      <c r="M303" s="93"/>
      <c r="N303" s="68"/>
    </row>
    <row r="304" spans="2:14">
      <c r="B304" s="150"/>
      <c r="E304" s="112"/>
      <c r="J304" s="102"/>
      <c r="K304" s="183"/>
      <c r="L304" s="57"/>
      <c r="M304" s="93"/>
      <c r="N304" s="68"/>
    </row>
    <row r="305" spans="2:14" ht="15">
      <c r="B305" s="150"/>
      <c r="C305" s="26">
        <v>72897</v>
      </c>
      <c r="D305" s="16" t="s">
        <v>8</v>
      </c>
      <c r="E305" s="447" t="str">
        <f>IFERROR(VLOOKUP($C305,'SINAPI JULHO 2018'!$1:$1048576,2,0),IFERROR(VLOOKUP($C305,'5-COMP. PROPRIA'!$B$13:$I$518,4,0),""))</f>
        <v>CARGA MANUAL DE ENTULHO EM CAMINHAO BASCULANTE 6 M3</v>
      </c>
      <c r="F305" s="448"/>
      <c r="G305" s="448"/>
      <c r="H305" s="448"/>
      <c r="I305" s="448"/>
      <c r="J305" s="449"/>
      <c r="K305" s="184">
        <f>SUM(K307:K307)</f>
        <v>0.74880000000000002</v>
      </c>
      <c r="L305" s="58" t="s">
        <v>65</v>
      </c>
      <c r="M305" s="93"/>
      <c r="N305" s="68"/>
    </row>
    <row r="306" spans="2:14" ht="38.25">
      <c r="B306" s="150"/>
      <c r="E306" s="79"/>
      <c r="F306" s="67" t="s">
        <v>116</v>
      </c>
      <c r="G306" s="17"/>
      <c r="H306" s="67" t="s">
        <v>119</v>
      </c>
      <c r="J306" s="220"/>
      <c r="K306" s="70"/>
      <c r="M306" s="93"/>
      <c r="N306" s="68"/>
    </row>
    <row r="307" spans="2:14">
      <c r="B307" s="150"/>
      <c r="E307" s="118"/>
      <c r="F307" s="17">
        <f>K277</f>
        <v>0.57599999999999996</v>
      </c>
      <c r="G307" s="17"/>
      <c r="H307" s="126">
        <v>1.3</v>
      </c>
      <c r="J307" s="68"/>
      <c r="K307" s="70">
        <f>H307*F307</f>
        <v>0.74880000000000002</v>
      </c>
      <c r="M307" s="93"/>
      <c r="N307" s="68"/>
    </row>
    <row r="308" spans="2:14">
      <c r="B308" s="150"/>
      <c r="E308" s="118"/>
      <c r="F308" s="17"/>
      <c r="G308" s="17"/>
      <c r="I308" s="17"/>
      <c r="J308" s="68"/>
      <c r="K308" s="70"/>
      <c r="M308" s="93"/>
      <c r="N308" s="68"/>
    </row>
    <row r="309" spans="2:14" ht="15">
      <c r="B309" s="150"/>
      <c r="C309" s="16">
        <v>97914</v>
      </c>
      <c r="D309" s="16" t="s">
        <v>8</v>
      </c>
      <c r="E309" s="447" t="str">
        <f>IFERROR(VLOOKUP($C309,'SINAPI JULHO 2018'!$1:$1048576,2,0),IFERROR(VLOOKUP($C309,'5-COMP. PROPRIA'!$B$13:$I$518,4,0),""))</f>
        <v>TRANSPORTE COM CAMINHÃO BASCULANTE DE 6 M3, EM VIA URBANA PAVIMENTADA, DMT ATÉ 30 KM (UNIDADE: M3XKM). AF_01/2018</v>
      </c>
      <c r="F309" s="448"/>
      <c r="G309" s="448"/>
      <c r="H309" s="448"/>
      <c r="I309" s="448"/>
      <c r="J309" s="449"/>
      <c r="K309" s="184">
        <f>K311</f>
        <v>5.6160000000000005</v>
      </c>
      <c r="L309" s="57" t="s">
        <v>78</v>
      </c>
      <c r="M309" s="93"/>
      <c r="N309" s="68"/>
    </row>
    <row r="310" spans="2:14" ht="25.5">
      <c r="B310" s="150"/>
      <c r="E310" s="79" t="s">
        <v>80</v>
      </c>
      <c r="H310" s="67" t="s">
        <v>81</v>
      </c>
      <c r="J310" s="102"/>
      <c r="M310" s="93"/>
      <c r="N310" s="68"/>
    </row>
    <row r="311" spans="2:14">
      <c r="B311" s="150"/>
      <c r="E311" s="79">
        <f>K305</f>
        <v>0.74880000000000002</v>
      </c>
      <c r="H311" s="126">
        <v>7.5</v>
      </c>
      <c r="J311" s="102"/>
      <c r="K311" s="180">
        <f>E311*H311</f>
        <v>5.6160000000000005</v>
      </c>
      <c r="M311" s="93"/>
      <c r="N311" s="68"/>
    </row>
    <row r="312" spans="2:14" ht="13.5" thickBot="1">
      <c r="B312" s="150"/>
      <c r="E312" s="112"/>
      <c r="F312" s="57"/>
      <c r="G312" s="57"/>
      <c r="H312" s="57"/>
      <c r="J312" s="68"/>
      <c r="K312" s="70"/>
      <c r="M312" s="93"/>
      <c r="N312" s="68"/>
    </row>
    <row r="313" spans="2:14" ht="13.5" thickBot="1">
      <c r="B313" s="151"/>
      <c r="C313" s="91"/>
      <c r="D313" s="91"/>
      <c r="E313" s="444" t="s">
        <v>125</v>
      </c>
      <c r="F313" s="445"/>
      <c r="G313" s="445"/>
      <c r="H313" s="445"/>
      <c r="I313" s="445"/>
      <c r="J313" s="446"/>
      <c r="K313" s="183"/>
      <c r="L313" s="56"/>
      <c r="M313" s="93"/>
      <c r="N313" s="107"/>
    </row>
    <row r="314" spans="2:14">
      <c r="B314" s="150"/>
      <c r="E314" s="76"/>
      <c r="F314" s="17"/>
      <c r="G314" s="17"/>
      <c r="H314" s="67"/>
      <c r="I314" s="55"/>
      <c r="J314" s="121"/>
      <c r="K314" s="186"/>
      <c r="L314" s="100"/>
      <c r="M314" s="122"/>
      <c r="N314" s="104"/>
    </row>
    <row r="315" spans="2:14">
      <c r="B315" s="150"/>
      <c r="E315" s="76"/>
      <c r="F315" s="17"/>
      <c r="G315" s="17"/>
      <c r="H315" s="67"/>
      <c r="I315" s="55"/>
      <c r="J315" s="121"/>
      <c r="K315" s="186"/>
      <c r="L315" s="100"/>
      <c r="M315" s="122"/>
      <c r="N315" s="104"/>
    </row>
    <row r="316" spans="2:14" ht="15">
      <c r="B316" s="268"/>
      <c r="C316" s="269"/>
      <c r="D316" s="269"/>
      <c r="E316" s="462" t="s">
        <v>126</v>
      </c>
      <c r="F316" s="463"/>
      <c r="G316" s="463"/>
      <c r="H316" s="463"/>
      <c r="I316" s="463"/>
      <c r="J316" s="464"/>
      <c r="K316" s="270"/>
      <c r="L316" s="271"/>
      <c r="M316" s="272"/>
      <c r="N316" s="273"/>
    </row>
    <row r="317" spans="2:14">
      <c r="B317" s="150"/>
      <c r="E317" s="76"/>
      <c r="F317" s="17"/>
      <c r="G317" s="17"/>
      <c r="H317" s="67"/>
      <c r="I317" s="55"/>
      <c r="J317" s="121"/>
      <c r="K317" s="186"/>
      <c r="L317" s="100"/>
      <c r="M317" s="122"/>
      <c r="N317" s="104"/>
    </row>
    <row r="318" spans="2:14" ht="15">
      <c r="B318" s="151"/>
      <c r="C318" s="91"/>
      <c r="D318" s="91"/>
      <c r="E318" s="453" t="s">
        <v>127</v>
      </c>
      <c r="F318" s="454"/>
      <c r="G318" s="454"/>
      <c r="H318" s="454"/>
      <c r="I318" s="454"/>
      <c r="J318" s="455"/>
      <c r="K318" s="183"/>
      <c r="L318" s="56"/>
      <c r="M318" s="93"/>
      <c r="N318" s="107"/>
    </row>
    <row r="319" spans="2:14">
      <c r="B319" s="150"/>
      <c r="E319" s="76"/>
      <c r="F319" s="17"/>
      <c r="G319" s="17"/>
      <c r="H319" s="67"/>
      <c r="I319" s="55"/>
      <c r="J319" s="121"/>
      <c r="K319" s="186"/>
      <c r="L319" s="100"/>
      <c r="M319" s="122"/>
      <c r="N319" s="104"/>
    </row>
    <row r="320" spans="2:14" ht="29.25" customHeight="1">
      <c r="B320" s="150"/>
      <c r="C320" s="26">
        <v>94965</v>
      </c>
      <c r="D320" s="16" t="s">
        <v>8</v>
      </c>
      <c r="E320" s="447" t="str">
        <f>IFERROR(VLOOKUP($C320,'SINAPI JULHO 2018'!$1:$1048576,2,0),IFERROR(VLOOKUP($C320,'5-COMP. PROPRIA'!$B$13:$I$518,4,0),""))</f>
        <v>CONCRETO FCK = 25MPA, TRAÇO 1:2,3:2,7 (CIMENTO/ AREIA MÉDIA/ BRITA 1)  - PREPARO MECÂNICO COM BETONEIRA 400 L. AF_07/2016</v>
      </c>
      <c r="F320" s="448"/>
      <c r="G320" s="448"/>
      <c r="H320" s="448"/>
      <c r="I320" s="448"/>
      <c r="J320" s="449"/>
      <c r="K320" s="184">
        <f>SUM(K322:K324)</f>
        <v>1.1640000000000001</v>
      </c>
      <c r="L320" s="58" t="s">
        <v>65</v>
      </c>
      <c r="N320" s="104"/>
    </row>
    <row r="321" spans="2:14" ht="25.5">
      <c r="B321" s="150"/>
      <c r="E321" s="76" t="s">
        <v>68</v>
      </c>
      <c r="F321" s="17" t="s">
        <v>107</v>
      </c>
      <c r="G321" s="17" t="s">
        <v>108</v>
      </c>
      <c r="H321" s="67" t="s">
        <v>47</v>
      </c>
      <c r="I321" s="55" t="s">
        <v>128</v>
      </c>
      <c r="J321" s="121"/>
      <c r="K321" s="186"/>
      <c r="L321" s="100"/>
      <c r="M321" s="122"/>
      <c r="N321" s="104"/>
    </row>
    <row r="322" spans="2:14">
      <c r="B322" s="150" t="s">
        <v>129</v>
      </c>
      <c r="E322" s="101">
        <v>0.2</v>
      </c>
      <c r="F322" s="71">
        <v>0.2</v>
      </c>
      <c r="G322" s="126">
        <v>0.57999999999999996</v>
      </c>
      <c r="H322" s="71">
        <v>2</v>
      </c>
      <c r="I322" s="51">
        <f>H322*G322</f>
        <v>1.1599999999999999</v>
      </c>
      <c r="J322" s="102"/>
      <c r="K322" s="70">
        <f>H322*F322*G322*E322</f>
        <v>4.6399999999999997E-2</v>
      </c>
      <c r="N322" s="104"/>
    </row>
    <row r="323" spans="2:14">
      <c r="B323" s="150" t="s">
        <v>130</v>
      </c>
      <c r="E323" s="101">
        <v>0.2</v>
      </c>
      <c r="F323" s="71">
        <v>0.2</v>
      </c>
      <c r="G323" s="126">
        <v>1.46</v>
      </c>
      <c r="H323" s="71">
        <v>2</v>
      </c>
      <c r="I323" s="51">
        <f t="shared" ref="I323:I324" si="0">H323*G323</f>
        <v>2.92</v>
      </c>
      <c r="J323" s="102"/>
      <c r="K323" s="70">
        <f t="shared" ref="K323:K324" si="1">H323*F323*G323*E323</f>
        <v>0.1168</v>
      </c>
      <c r="N323" s="104"/>
    </row>
    <row r="324" spans="2:14">
      <c r="B324" s="150" t="s">
        <v>131</v>
      </c>
      <c r="E324" s="101">
        <v>0.2</v>
      </c>
      <c r="F324" s="71">
        <v>0.2</v>
      </c>
      <c r="G324" s="126">
        <v>4.17</v>
      </c>
      <c r="H324" s="71">
        <v>6</v>
      </c>
      <c r="I324" s="51">
        <f t="shared" si="0"/>
        <v>25.02</v>
      </c>
      <c r="J324" s="102"/>
      <c r="K324" s="70">
        <f t="shared" si="1"/>
        <v>1.0008000000000001</v>
      </c>
      <c r="N324" s="104"/>
    </row>
    <row r="325" spans="2:14">
      <c r="B325" s="150"/>
      <c r="D325" s="51"/>
      <c r="E325" s="118"/>
      <c r="I325" s="51">
        <f>SUM(I322:I324)</f>
        <v>29.1</v>
      </c>
      <c r="J325" s="102"/>
      <c r="N325" s="104"/>
    </row>
    <row r="326" spans="2:14">
      <c r="B326" s="150"/>
      <c r="D326" s="51"/>
      <c r="E326" s="118"/>
      <c r="J326" s="102"/>
      <c r="N326" s="104"/>
    </row>
    <row r="327" spans="2:14" ht="30" customHeight="1">
      <c r="B327" s="150"/>
      <c r="C327" s="26">
        <v>92873</v>
      </c>
      <c r="D327" s="16" t="s">
        <v>8</v>
      </c>
      <c r="E327" s="447" t="str">
        <f>IFERROR(VLOOKUP($C327,'SINAPI JULHO 2018'!$1:$1048576,2,0),IFERROR(VLOOKUP($C327,'5-COMP. PROPRIA'!$B$13:$I$518,4,0),""))</f>
        <v>LANÇAMENTO COM USO DE BALDES, ADENSAMENTO E ACABAMENTO DE CONCRETO EM ESTRUTURAS. AF_12/2015</v>
      </c>
      <c r="F327" s="448"/>
      <c r="G327" s="448"/>
      <c r="H327" s="448"/>
      <c r="I327" s="448"/>
      <c r="J327" s="449"/>
      <c r="K327" s="184">
        <f>K320</f>
        <v>1.1640000000000001</v>
      </c>
      <c r="L327" s="58" t="s">
        <v>65</v>
      </c>
      <c r="N327" s="104"/>
    </row>
    <row r="328" spans="2:14">
      <c r="B328" s="150"/>
      <c r="E328" s="118"/>
      <c r="J328" s="102"/>
      <c r="N328" s="104"/>
    </row>
    <row r="329" spans="2:14" ht="42.75" customHeight="1">
      <c r="B329" s="157" t="s">
        <v>132</v>
      </c>
      <c r="C329" s="26">
        <v>92775</v>
      </c>
      <c r="D329" s="16" t="s">
        <v>8</v>
      </c>
      <c r="E329" s="447" t="str">
        <f>IFERROR(VLOOKUP($C329,'SINAPI JULHO 2018'!$1:$1048576,2,0),IFERROR(VLOOKUP($C329,'5-COMP. PROPRIA'!$B$13:$I$518,4,0),""))</f>
        <v>ARMAÇÃO DE PILAR OU VIGA DE UMA ESTRUTURA CONVENCIONAL DE CONCRETO ARMADO EM UMA EDIFICAÇÃO TÉRREA OU SOBRADO UTILIZANDO AÇO CA-60 DE 5,0 MM - MONTAGEM. AF_12/2015</v>
      </c>
      <c r="F329" s="448"/>
      <c r="G329" s="448"/>
      <c r="H329" s="448"/>
      <c r="I329" s="448"/>
      <c r="J329" s="449"/>
      <c r="K329" s="184">
        <f>SUM(K332:K334)</f>
        <v>59.176086750000024</v>
      </c>
      <c r="L329" s="58" t="s">
        <v>92</v>
      </c>
      <c r="M329" s="52"/>
      <c r="N329" s="68"/>
    </row>
    <row r="330" spans="2:14">
      <c r="B330" s="150"/>
      <c r="E330" s="118"/>
      <c r="H330" s="70" t="s">
        <v>112</v>
      </c>
      <c r="I330" s="69">
        <f>K329/K320</f>
        <v>50.838562500000016</v>
      </c>
      <c r="J330" s="102"/>
      <c r="K330" s="70"/>
      <c r="M330" s="93"/>
      <c r="N330" s="68"/>
    </row>
    <row r="331" spans="2:14" ht="25.5">
      <c r="B331" s="150" t="s">
        <v>113</v>
      </c>
      <c r="E331" s="79" t="s">
        <v>93</v>
      </c>
      <c r="F331" s="67" t="s">
        <v>106</v>
      </c>
      <c r="G331" s="67" t="s">
        <v>94</v>
      </c>
      <c r="H331" s="61" t="s">
        <v>95</v>
      </c>
      <c r="I331" s="67" t="s">
        <v>54</v>
      </c>
      <c r="J331" s="102"/>
      <c r="K331" s="70"/>
      <c r="M331" s="93"/>
      <c r="N331" s="68"/>
    </row>
    <row r="332" spans="2:14">
      <c r="B332" s="150" t="str">
        <f>B322</f>
        <v xml:space="preserve">P1=P10 </v>
      </c>
      <c r="E332" s="101">
        <v>5</v>
      </c>
      <c r="F332" s="51">
        <f>($E$322-0.06)*2+($F$322-0.06)*2+0.1</f>
        <v>0.66</v>
      </c>
      <c r="G332" s="51">
        <f>$I$325/0.15</f>
        <v>194.00000000000003</v>
      </c>
      <c r="H332" s="51">
        <f>((E332/1000)*(E332/1000)*3.14*0.25)*7850</f>
        <v>0.15405625000000003</v>
      </c>
      <c r="I332" s="51">
        <v>1</v>
      </c>
      <c r="J332" s="102"/>
      <c r="K332" s="70">
        <f>G332*H332*F332*I332</f>
        <v>19.725362250000007</v>
      </c>
      <c r="M332" s="93"/>
      <c r="N332" s="68"/>
    </row>
    <row r="333" spans="2:14">
      <c r="B333" s="150" t="str">
        <f>B323</f>
        <v>P2=P9</v>
      </c>
      <c r="E333" s="101">
        <v>5</v>
      </c>
      <c r="F333" s="51">
        <f>($E$323-0.06)*2+($F$323-0.06)*2+0.1</f>
        <v>0.66</v>
      </c>
      <c r="G333" s="51">
        <f t="shared" ref="G333:G334" si="2">$I$325/0.15</f>
        <v>194.00000000000003</v>
      </c>
      <c r="H333" s="51">
        <f t="shared" ref="H333:H334" si="3">((E333/1000)*(E333/1000)*3.14*0.25)*7850</f>
        <v>0.15405625000000003</v>
      </c>
      <c r="I333" s="51">
        <v>1</v>
      </c>
      <c r="J333" s="102"/>
      <c r="K333" s="70">
        <f t="shared" ref="K333:K334" si="4">G333*H333*F333*I333</f>
        <v>19.725362250000007</v>
      </c>
      <c r="M333" s="93"/>
      <c r="N333" s="68"/>
    </row>
    <row r="334" spans="2:14">
      <c r="B334" s="150" t="str">
        <f>B324</f>
        <v>P3=P4=P5=P6=P7=P8</v>
      </c>
      <c r="E334" s="101">
        <v>5</v>
      </c>
      <c r="F334" s="51">
        <f>($E$324-0.06)*2+($F$324-0.06)*2+0.1</f>
        <v>0.66</v>
      </c>
      <c r="G334" s="51">
        <f t="shared" si="2"/>
        <v>194.00000000000003</v>
      </c>
      <c r="H334" s="51">
        <f t="shared" si="3"/>
        <v>0.15405625000000003</v>
      </c>
      <c r="I334" s="51">
        <v>1</v>
      </c>
      <c r="J334" s="102"/>
      <c r="K334" s="70">
        <f t="shared" si="4"/>
        <v>19.725362250000007</v>
      </c>
      <c r="M334" s="93"/>
      <c r="N334" s="68"/>
    </row>
    <row r="335" spans="2:14">
      <c r="B335" s="150"/>
      <c r="E335" s="118"/>
      <c r="J335" s="102"/>
      <c r="K335" s="70"/>
      <c r="M335" s="93"/>
      <c r="N335" s="68"/>
    </row>
    <row r="336" spans="2:14">
      <c r="B336" s="150"/>
      <c r="E336" s="118"/>
      <c r="J336" s="102"/>
      <c r="K336" s="70"/>
      <c r="M336" s="93"/>
      <c r="N336" s="68"/>
    </row>
    <row r="337" spans="2:14" ht="41.25" customHeight="1">
      <c r="B337" s="150"/>
      <c r="C337" s="26">
        <v>92778</v>
      </c>
      <c r="D337" s="16" t="s">
        <v>8</v>
      </c>
      <c r="E337" s="447" t="str">
        <f>IFERROR(VLOOKUP($C337,'SINAPI JULHO 2018'!$1:$1048576,2,0),IFERROR(VLOOKUP($C337,'5-COMP. PROPRIA'!$B$13:$I$518,4,0),""))</f>
        <v>ARMAÇÃO DE PILAR OU VIGA DE UMA ESTRUTURA CONVENCIONAL DE CONCRETO ARMADO EM UMA EDIFICAÇÃO TÉRREA OU SOBRADO UTILIZANDO AÇO CA-50 DE 10,0 MM - MONTAGEM. AF_12/2015</v>
      </c>
      <c r="F337" s="448"/>
      <c r="G337" s="448"/>
      <c r="H337" s="448"/>
      <c r="I337" s="448"/>
      <c r="J337" s="449"/>
      <c r="K337" s="184">
        <f>SUM(K340:K342)</f>
        <v>71.728590000000025</v>
      </c>
      <c r="L337" s="58" t="s">
        <v>92</v>
      </c>
      <c r="M337" s="52"/>
      <c r="N337" s="68"/>
    </row>
    <row r="338" spans="2:14">
      <c r="B338" s="150"/>
      <c r="E338" s="118"/>
      <c r="H338" s="70" t="s">
        <v>112</v>
      </c>
      <c r="I338" s="69">
        <f>K337/K320</f>
        <v>61.622500000000016</v>
      </c>
      <c r="J338" s="102"/>
      <c r="K338" s="70"/>
      <c r="M338" s="93"/>
      <c r="N338" s="104"/>
    </row>
    <row r="339" spans="2:14" ht="25.5">
      <c r="B339" s="150" t="s">
        <v>113</v>
      </c>
      <c r="E339" s="79" t="s">
        <v>93</v>
      </c>
      <c r="F339" s="67" t="s">
        <v>106</v>
      </c>
      <c r="G339" s="67" t="s">
        <v>94</v>
      </c>
      <c r="H339" s="61" t="s">
        <v>95</v>
      </c>
      <c r="I339" s="67" t="s">
        <v>54</v>
      </c>
      <c r="J339" s="102"/>
      <c r="K339" s="70"/>
      <c r="M339" s="93"/>
      <c r="N339" s="68"/>
    </row>
    <row r="340" spans="2:14">
      <c r="B340" s="150" t="str">
        <f>B332</f>
        <v xml:space="preserve">P1=P10 </v>
      </c>
      <c r="E340" s="101">
        <v>10</v>
      </c>
      <c r="F340" s="51">
        <f>G322</f>
        <v>0.57999999999999996</v>
      </c>
      <c r="G340" s="51">
        <v>4</v>
      </c>
      <c r="H340" s="51">
        <f>((E340/1000)*(E340/1000)*3.14*0.25)*7850</f>
        <v>0.61622500000000013</v>
      </c>
      <c r="I340" s="51">
        <f>H322</f>
        <v>2</v>
      </c>
      <c r="J340" s="102"/>
      <c r="K340" s="70">
        <f>G340*H340*F340*I340</f>
        <v>2.8592840000000006</v>
      </c>
      <c r="M340" s="93"/>
      <c r="N340" s="68"/>
    </row>
    <row r="341" spans="2:14">
      <c r="B341" s="150" t="str">
        <f>B333</f>
        <v>P2=P9</v>
      </c>
      <c r="E341" s="101">
        <v>10</v>
      </c>
      <c r="F341" s="51">
        <f>G323</f>
        <v>1.46</v>
      </c>
      <c r="G341" s="51">
        <v>4</v>
      </c>
      <c r="H341" s="51">
        <f t="shared" ref="H341:H342" si="5">((E341/1000)*(E341/1000)*3.14*0.25)*7850</f>
        <v>0.61622500000000013</v>
      </c>
      <c r="I341" s="51">
        <f>H323</f>
        <v>2</v>
      </c>
      <c r="J341" s="102"/>
      <c r="K341" s="70">
        <f t="shared" ref="K341:K342" si="6">G341*H341*F341*I341</f>
        <v>7.1975080000000018</v>
      </c>
      <c r="M341" s="93"/>
      <c r="N341" s="68"/>
    </row>
    <row r="342" spans="2:14">
      <c r="B342" s="150" t="str">
        <f>B334</f>
        <v>P3=P4=P5=P6=P7=P8</v>
      </c>
      <c r="E342" s="101">
        <v>10</v>
      </c>
      <c r="F342" s="51">
        <f>G324</f>
        <v>4.17</v>
      </c>
      <c r="G342" s="51">
        <v>4</v>
      </c>
      <c r="H342" s="51">
        <f t="shared" si="5"/>
        <v>0.61622500000000013</v>
      </c>
      <c r="I342" s="51">
        <f>H324</f>
        <v>6</v>
      </c>
      <c r="J342" s="102"/>
      <c r="K342" s="70">
        <f t="shared" si="6"/>
        <v>61.671798000000017</v>
      </c>
      <c r="M342" s="93"/>
      <c r="N342" s="68"/>
    </row>
    <row r="343" spans="2:14">
      <c r="B343" s="150"/>
      <c r="E343" s="118"/>
      <c r="J343" s="102"/>
      <c r="K343" s="70"/>
      <c r="M343" s="93"/>
      <c r="N343" s="104"/>
    </row>
    <row r="344" spans="2:14" ht="43.5" customHeight="1">
      <c r="B344" s="150"/>
      <c r="C344" s="26">
        <v>92412</v>
      </c>
      <c r="D344" s="16" t="s">
        <v>8</v>
      </c>
      <c r="E344" s="447" t="str">
        <f>IFERROR(VLOOKUP($C344,'SINAPI JULHO 2018'!$1:$1048576,2,0),IFERROR(VLOOKUP($C344,'5-COMP. PROPRIA'!$B$13:$I$518,4,0),""))</f>
        <v>MONTAGEM E DESMONTAGEM DE FÔRMA DE PILARES RETANGULARES E ESTRUTURAS SIMILARES COM ÁREA MÉDIA DAS SEÇÕES MENOR OU IGUAL A 0,25 M², PÉ-DIREITO SIMPLES, EM MADEIRA SERRADA, 4 UTILIZAÇÕES. AF_12/2015</v>
      </c>
      <c r="F344" s="448"/>
      <c r="G344" s="448"/>
      <c r="H344" s="448"/>
      <c r="I344" s="448"/>
      <c r="J344" s="449"/>
      <c r="K344" s="184">
        <f>SUM(K346:K348)/4</f>
        <v>5.82</v>
      </c>
      <c r="L344" s="58" t="s">
        <v>25</v>
      </c>
      <c r="N344" s="104"/>
    </row>
    <row r="345" spans="2:14" ht="25.5">
      <c r="B345" s="150"/>
      <c r="E345" s="76" t="s">
        <v>68</v>
      </c>
      <c r="F345" s="17" t="s">
        <v>107</v>
      </c>
      <c r="G345" s="17" t="s">
        <v>108</v>
      </c>
      <c r="H345" s="67" t="s">
        <v>47</v>
      </c>
      <c r="I345" s="55"/>
      <c r="J345" s="121"/>
      <c r="K345" s="186"/>
      <c r="N345" s="104"/>
    </row>
    <row r="346" spans="2:14">
      <c r="B346" s="150" t="str">
        <f>B340</f>
        <v xml:space="preserve">P1=P10 </v>
      </c>
      <c r="E346" s="118">
        <f t="shared" ref="E346:G348" si="7">E322</f>
        <v>0.2</v>
      </c>
      <c r="F346" s="58">
        <f t="shared" si="7"/>
        <v>0.2</v>
      </c>
      <c r="G346" s="58">
        <f t="shared" si="7"/>
        <v>0.57999999999999996</v>
      </c>
      <c r="H346" s="58">
        <f>I340</f>
        <v>2</v>
      </c>
      <c r="J346" s="102"/>
      <c r="K346" s="70">
        <f>(E346*2+F346*2)*G346*H346</f>
        <v>0.92799999999999994</v>
      </c>
      <c r="N346" s="104"/>
    </row>
    <row r="347" spans="2:14">
      <c r="B347" s="150" t="str">
        <f t="shared" ref="B347:B348" si="8">B341</f>
        <v>P2=P9</v>
      </c>
      <c r="E347" s="118">
        <f t="shared" si="7"/>
        <v>0.2</v>
      </c>
      <c r="F347" s="58">
        <f t="shared" si="7"/>
        <v>0.2</v>
      </c>
      <c r="G347" s="58">
        <f t="shared" si="7"/>
        <v>1.46</v>
      </c>
      <c r="H347" s="51">
        <f>I341</f>
        <v>2</v>
      </c>
      <c r="J347" s="102"/>
      <c r="K347" s="70">
        <f t="shared" ref="K347:K348" si="9">(E347*2+F347*2)*G347*H347</f>
        <v>2.3359999999999999</v>
      </c>
      <c r="N347" s="104"/>
    </row>
    <row r="348" spans="2:14">
      <c r="B348" s="150" t="str">
        <f t="shared" si="8"/>
        <v>P3=P4=P5=P6=P7=P8</v>
      </c>
      <c r="E348" s="118">
        <f t="shared" si="7"/>
        <v>0.2</v>
      </c>
      <c r="F348" s="58">
        <f t="shared" si="7"/>
        <v>0.2</v>
      </c>
      <c r="G348" s="58">
        <f t="shared" si="7"/>
        <v>4.17</v>
      </c>
      <c r="H348" s="51">
        <f>I342</f>
        <v>6</v>
      </c>
      <c r="J348" s="102"/>
      <c r="K348" s="70">
        <f t="shared" si="9"/>
        <v>20.016000000000002</v>
      </c>
      <c r="N348" s="104"/>
    </row>
    <row r="349" spans="2:14">
      <c r="B349" s="150"/>
      <c r="E349" s="118"/>
      <c r="F349" s="58"/>
      <c r="G349" s="58"/>
      <c r="J349" s="102"/>
      <c r="K349" s="70"/>
      <c r="N349" s="104"/>
    </row>
    <row r="350" spans="2:14" ht="15">
      <c r="B350" s="150"/>
      <c r="E350" s="453" t="s">
        <v>133</v>
      </c>
      <c r="F350" s="454"/>
      <c r="G350" s="454"/>
      <c r="H350" s="454"/>
      <c r="I350" s="454"/>
      <c r="J350" s="455"/>
      <c r="K350" s="70"/>
      <c r="N350" s="104"/>
    </row>
    <row r="351" spans="2:14">
      <c r="B351" s="150"/>
      <c r="E351" s="118"/>
      <c r="F351" s="58"/>
      <c r="G351" s="58"/>
      <c r="J351" s="102"/>
      <c r="K351" s="70"/>
      <c r="N351" s="104"/>
    </row>
    <row r="352" spans="2:14" ht="38.25" customHeight="1">
      <c r="B352" s="150"/>
      <c r="C352" s="26">
        <v>94965</v>
      </c>
      <c r="D352" s="16" t="s">
        <v>8</v>
      </c>
      <c r="E352" s="447" t="str">
        <f>IFERROR(VLOOKUP($C352,'SINAPI JULHO 2018'!$1:$1048576,2,0),IFERROR(VLOOKUP($C352,'5-COMP. PROPRIA'!$B$13:$I$518,4,0),""))</f>
        <v>CONCRETO FCK = 25MPA, TRAÇO 1:2,3:2,7 (CIMENTO/ AREIA MÉDIA/ BRITA 1)  - PREPARO MECÂNICO COM BETONEIRA 400 L. AF_07/2016</v>
      </c>
      <c r="F352" s="448"/>
      <c r="G352" s="448"/>
      <c r="H352" s="448"/>
      <c r="I352" s="448"/>
      <c r="J352" s="449"/>
      <c r="K352" s="184">
        <f>SUM(K354:K355)</f>
        <v>1.08</v>
      </c>
      <c r="L352" s="58" t="s">
        <v>65</v>
      </c>
      <c r="N352" s="104"/>
    </row>
    <row r="353" spans="2:14" ht="25.5">
      <c r="B353" s="150"/>
      <c r="E353" s="76" t="s">
        <v>106</v>
      </c>
      <c r="F353" s="17" t="s">
        <v>107</v>
      </c>
      <c r="G353" s="17" t="s">
        <v>108</v>
      </c>
      <c r="H353" s="67" t="s">
        <v>47</v>
      </c>
      <c r="I353" s="221"/>
      <c r="J353" s="222"/>
      <c r="K353" s="183"/>
      <c r="N353" s="104"/>
    </row>
    <row r="354" spans="2:14">
      <c r="B354" s="150" t="s">
        <v>134</v>
      </c>
      <c r="E354" s="111">
        <f>4.8*2</f>
        <v>9.6</v>
      </c>
      <c r="F354" s="74">
        <v>0.2</v>
      </c>
      <c r="G354" s="74">
        <v>0.25</v>
      </c>
      <c r="H354" s="74">
        <v>1</v>
      </c>
      <c r="J354" s="102"/>
      <c r="K354" s="70">
        <f>E354*F354*G354*H354</f>
        <v>0.48</v>
      </c>
      <c r="N354" s="104"/>
    </row>
    <row r="355" spans="2:14">
      <c r="B355" s="150" t="s">
        <v>135</v>
      </c>
      <c r="E355" s="111">
        <v>10</v>
      </c>
      <c r="F355" s="74">
        <v>0.2</v>
      </c>
      <c r="G355" s="74">
        <v>0.3</v>
      </c>
      <c r="H355" s="74">
        <v>1</v>
      </c>
      <c r="J355" s="102"/>
      <c r="K355" s="70">
        <f>E355*F355*G355*H355</f>
        <v>0.6</v>
      </c>
      <c r="N355" s="104"/>
    </row>
    <row r="356" spans="2:14">
      <c r="B356" s="150"/>
      <c r="E356" s="112"/>
      <c r="J356" s="102"/>
      <c r="K356" s="183"/>
      <c r="N356" s="104"/>
    </row>
    <row r="357" spans="2:14" ht="19.5" customHeight="1">
      <c r="B357" s="150"/>
      <c r="C357" s="26" t="s">
        <v>111</v>
      </c>
      <c r="D357" s="16" t="s">
        <v>8</v>
      </c>
      <c r="E357" s="447" t="str">
        <f>IFERROR(VLOOKUP($C357,'SINAPI JULHO 2018'!$1:$1048576,2,0),IFERROR(VLOOKUP($C357,'5-COMP. PROPRIA'!$B$13:$I$518,4,0),""))</f>
        <v>LANCAMENTO/APLICACAO MANUAL DE CONCRETO EM FUNDACOES</v>
      </c>
      <c r="F357" s="448"/>
      <c r="G357" s="448"/>
      <c r="H357" s="448"/>
      <c r="I357" s="448"/>
      <c r="J357" s="449"/>
      <c r="K357" s="184">
        <f>K352</f>
        <v>1.08</v>
      </c>
      <c r="L357" s="58" t="s">
        <v>65</v>
      </c>
      <c r="N357" s="104"/>
    </row>
    <row r="358" spans="2:14">
      <c r="B358" s="150"/>
      <c r="E358" s="118"/>
      <c r="F358" s="58"/>
      <c r="G358" s="58"/>
      <c r="J358" s="102"/>
      <c r="K358" s="70"/>
      <c r="N358" s="104"/>
    </row>
    <row r="359" spans="2:14" ht="36.75" customHeight="1">
      <c r="B359" s="157" t="s">
        <v>91</v>
      </c>
      <c r="C359" s="26">
        <v>92775</v>
      </c>
      <c r="D359" s="16" t="s">
        <v>8</v>
      </c>
      <c r="E359" s="447" t="str">
        <f>IFERROR(VLOOKUP($C359,'SINAPI JULHO 2018'!$1:$1048576,2,0),IFERROR(VLOOKUP($C359,'5-COMP. PROPRIA'!$B$13:$I$518,4,0),""))</f>
        <v>ARMAÇÃO DE PILAR OU VIGA DE UMA ESTRUTURA CONVENCIONAL DE CONCRETO ARMADO EM UMA EDIFICAÇÃO TÉRREA OU SOBRADO UTILIZANDO AÇO CA-60 DE 5,0 MM - MONTAGEM. AF_12/2015</v>
      </c>
      <c r="F359" s="448"/>
      <c r="G359" s="448"/>
      <c r="H359" s="448"/>
      <c r="I359" s="448"/>
      <c r="J359" s="449"/>
      <c r="K359" s="184">
        <f>SUM(K362:K363)</f>
        <v>12.244390750000003</v>
      </c>
      <c r="L359" s="58" t="s">
        <v>92</v>
      </c>
      <c r="M359" s="52">
        <v>0</v>
      </c>
      <c r="N359" s="68" t="s">
        <v>92</v>
      </c>
    </row>
    <row r="360" spans="2:14" ht="14.25" customHeight="1">
      <c r="B360" s="150"/>
      <c r="E360" s="118"/>
      <c r="H360" s="70" t="s">
        <v>112</v>
      </c>
      <c r="I360" s="69">
        <f>K359/K352</f>
        <v>11.337398842592595</v>
      </c>
      <c r="J360" s="102"/>
      <c r="K360" s="70"/>
      <c r="M360" s="93"/>
      <c r="N360" s="68"/>
    </row>
    <row r="361" spans="2:14">
      <c r="B361" s="150"/>
      <c r="E361" s="79" t="s">
        <v>93</v>
      </c>
      <c r="F361" s="67" t="s">
        <v>106</v>
      </c>
      <c r="G361" s="67" t="s">
        <v>94</v>
      </c>
      <c r="H361" s="61" t="s">
        <v>95</v>
      </c>
      <c r="I361" s="67" t="s">
        <v>54</v>
      </c>
      <c r="J361" s="102"/>
      <c r="K361" s="70"/>
      <c r="M361" s="93"/>
      <c r="N361" s="68"/>
    </row>
    <row r="362" spans="2:14">
      <c r="B362" s="150" t="str">
        <f>B354</f>
        <v>VIGA ARQUIBANCADA</v>
      </c>
      <c r="E362" s="101">
        <v>5</v>
      </c>
      <c r="F362" s="51">
        <f>(F354-0.06)*2+(G354-0.06)*2+0.1</f>
        <v>0.76</v>
      </c>
      <c r="G362" s="51">
        <f>E354/0.2</f>
        <v>47.999999999999993</v>
      </c>
      <c r="H362" s="51">
        <f>((E362/1000)*(E362/1000)*3.14*0.25)*7850</f>
        <v>0.15405625000000003</v>
      </c>
      <c r="I362" s="51">
        <v>1</v>
      </c>
      <c r="J362" s="102"/>
      <c r="K362" s="70">
        <f>G362*H362*F362*I362</f>
        <v>5.6199720000000006</v>
      </c>
      <c r="M362" s="93"/>
      <c r="N362" s="68"/>
    </row>
    <row r="363" spans="2:14">
      <c r="B363" s="150" t="str">
        <f>B355</f>
        <v>VIGA MURO</v>
      </c>
      <c r="E363" s="101">
        <v>5</v>
      </c>
      <c r="F363" s="51">
        <f>(F355-0.06)*2+(G355-0.06)*2+0.1</f>
        <v>0.86</v>
      </c>
      <c r="G363" s="51">
        <f>E355/0.2</f>
        <v>50</v>
      </c>
      <c r="H363" s="51">
        <f>((E363/1000)*(E363/1000)*3.14*0.25)*7850</f>
        <v>0.15405625000000003</v>
      </c>
      <c r="I363" s="51">
        <v>1</v>
      </c>
      <c r="J363" s="102"/>
      <c r="K363" s="70">
        <f>G363*H363*F363*I363</f>
        <v>6.624418750000002</v>
      </c>
      <c r="M363" s="93"/>
      <c r="N363" s="68"/>
    </row>
    <row r="364" spans="2:14">
      <c r="B364" s="150"/>
      <c r="E364" s="118"/>
      <c r="F364" s="58"/>
      <c r="G364" s="58"/>
      <c r="J364" s="102"/>
      <c r="K364" s="70"/>
      <c r="N364" s="104"/>
    </row>
    <row r="365" spans="2:14" ht="46.5" customHeight="1">
      <c r="B365" s="150"/>
      <c r="C365" s="26">
        <v>92761</v>
      </c>
      <c r="D365" s="16" t="s">
        <v>8</v>
      </c>
      <c r="E365" s="447" t="str">
        <f>IFERROR(VLOOKUP($C365,'SINAPI JULHO 2018'!$1:$1048576,2,0),IFERROR(VLOOKUP($C365,'5-COMP. PROPRIA'!$B$13:$I$518,4,0),""))</f>
        <v>ARMAÇÃO DE PILAR OU VIGA DE UMA ESTRUTURA CONVENCIONAL DE CONCRETO ARMADO EM UM EDIFÍCIO DE MÚLTIPLOS PAVIMENTOS UTILIZANDO AÇO CA-50 DE 8,0 MM - MONTAGEM. AF_12/2015</v>
      </c>
      <c r="F365" s="448"/>
      <c r="G365" s="448"/>
      <c r="H365" s="448"/>
      <c r="I365" s="448"/>
      <c r="J365" s="449"/>
      <c r="K365" s="184">
        <f>SUM(K368:K369)</f>
        <v>30.9197056</v>
      </c>
      <c r="L365" s="58" t="s">
        <v>92</v>
      </c>
      <c r="M365" s="52">
        <v>0</v>
      </c>
      <c r="N365" s="68" t="s">
        <v>92</v>
      </c>
    </row>
    <row r="366" spans="2:14">
      <c r="B366" s="150"/>
      <c r="E366" s="118"/>
      <c r="H366" s="70" t="s">
        <v>112</v>
      </c>
      <c r="I366" s="69">
        <f>K365/K354</f>
        <v>64.416053333333338</v>
      </c>
      <c r="J366" s="102"/>
      <c r="K366" s="70"/>
      <c r="M366" s="93"/>
      <c r="N366" s="68"/>
    </row>
    <row r="367" spans="2:14">
      <c r="B367" s="150"/>
      <c r="E367" s="79" t="s">
        <v>93</v>
      </c>
      <c r="F367" s="67" t="s">
        <v>106</v>
      </c>
      <c r="G367" s="67" t="s">
        <v>94</v>
      </c>
      <c r="H367" s="61" t="s">
        <v>95</v>
      </c>
      <c r="I367" s="67" t="s">
        <v>54</v>
      </c>
      <c r="J367" s="102"/>
      <c r="K367" s="70"/>
      <c r="M367" s="93"/>
      <c r="N367" s="68"/>
    </row>
    <row r="368" spans="2:14">
      <c r="B368" s="150" t="str">
        <f>B354</f>
        <v>VIGA ARQUIBANCADA</v>
      </c>
      <c r="E368" s="101">
        <v>8</v>
      </c>
      <c r="F368" s="51">
        <f>E354</f>
        <v>9.6</v>
      </c>
      <c r="G368" s="51">
        <v>1</v>
      </c>
      <c r="H368" s="51">
        <f>((E368/1000)*(E368/1000)*3.14*0.25)*7850</f>
        <v>0.39438400000000001</v>
      </c>
      <c r="I368" s="51">
        <v>4</v>
      </c>
      <c r="J368" s="102"/>
      <c r="K368" s="70">
        <f>G368*H368*F368*I368</f>
        <v>15.144345599999999</v>
      </c>
      <c r="M368" s="93"/>
      <c r="N368" s="68"/>
    </row>
    <row r="369" spans="2:14">
      <c r="B369" s="150" t="str">
        <f>B355</f>
        <v>VIGA MURO</v>
      </c>
      <c r="E369" s="101">
        <v>8</v>
      </c>
      <c r="F369" s="51">
        <f>E355</f>
        <v>10</v>
      </c>
      <c r="G369" s="51">
        <v>1</v>
      </c>
      <c r="H369" s="51">
        <f>((E369/1000)*(E369/1000)*3.14*0.25)*7850</f>
        <v>0.39438400000000001</v>
      </c>
      <c r="I369" s="51">
        <v>4</v>
      </c>
      <c r="J369" s="102"/>
      <c r="K369" s="70">
        <f>G369*H369*F369*I369</f>
        <v>15.775360000000001</v>
      </c>
      <c r="M369" s="93"/>
      <c r="N369" s="68"/>
    </row>
    <row r="370" spans="2:14">
      <c r="B370" s="150"/>
      <c r="E370" s="118"/>
      <c r="F370" s="58"/>
      <c r="G370" s="58"/>
      <c r="J370" s="102"/>
      <c r="K370" s="70"/>
      <c r="N370" s="104"/>
    </row>
    <row r="371" spans="2:14" ht="45" customHeight="1">
      <c r="B371" s="150"/>
      <c r="C371" s="26">
        <v>92412</v>
      </c>
      <c r="D371" s="16" t="s">
        <v>8</v>
      </c>
      <c r="E371" s="447" t="str">
        <f>IFERROR(VLOOKUP($C371,'SINAPI JULHO 2018'!$1:$1048576,2,0),IFERROR(VLOOKUP($C371,'5-COMP. PROPRIA'!$B$13:$I$518,4,0),""))</f>
        <v>MONTAGEM E DESMONTAGEM DE FÔRMA DE PILARES RETANGULARES E ESTRUTURAS SIMILARES COM ÁREA MÉDIA DAS SEÇÕES MENOR OU IGUAL A 0,25 M², PÉ-DIREITO SIMPLES, EM MADEIRA SERRADA, 4 UTILIZAÇÕES. AF_12/2015</v>
      </c>
      <c r="F371" s="448"/>
      <c r="G371" s="448"/>
      <c r="H371" s="448"/>
      <c r="I371" s="448"/>
      <c r="J371" s="449"/>
      <c r="K371" s="184">
        <f>K373+K374</f>
        <v>10.8</v>
      </c>
      <c r="L371" s="58" t="s">
        <v>25</v>
      </c>
      <c r="N371" s="104"/>
    </row>
    <row r="372" spans="2:14" ht="25.5">
      <c r="B372" s="150"/>
      <c r="E372" s="76" t="s">
        <v>68</v>
      </c>
      <c r="F372" s="17" t="s">
        <v>107</v>
      </c>
      <c r="G372" s="17" t="s">
        <v>108</v>
      </c>
      <c r="H372" s="67" t="s">
        <v>47</v>
      </c>
      <c r="I372" s="55"/>
      <c r="J372" s="121"/>
      <c r="K372" s="186"/>
      <c r="N372" s="104"/>
    </row>
    <row r="373" spans="2:14">
      <c r="B373" s="150" t="str">
        <f>B354</f>
        <v>VIGA ARQUIBANCADA</v>
      </c>
      <c r="E373" s="118">
        <f t="shared" ref="E373:G374" si="10">E354</f>
        <v>9.6</v>
      </c>
      <c r="F373" s="58">
        <f t="shared" si="10"/>
        <v>0.2</v>
      </c>
      <c r="G373" s="58">
        <f t="shared" si="10"/>
        <v>0.25</v>
      </c>
      <c r="H373" s="58">
        <v>2</v>
      </c>
      <c r="J373" s="102"/>
      <c r="K373" s="70">
        <f>E373*G373*H373</f>
        <v>4.8</v>
      </c>
      <c r="N373" s="104"/>
    </row>
    <row r="374" spans="2:14">
      <c r="B374" s="150" t="str">
        <f>B355</f>
        <v>VIGA MURO</v>
      </c>
      <c r="E374" s="118">
        <f t="shared" si="10"/>
        <v>10</v>
      </c>
      <c r="F374" s="58">
        <f t="shared" si="10"/>
        <v>0.2</v>
      </c>
      <c r="G374" s="58">
        <f t="shared" si="10"/>
        <v>0.3</v>
      </c>
      <c r="H374" s="58">
        <v>2</v>
      </c>
      <c r="J374" s="102"/>
      <c r="K374" s="70">
        <f>E374*G374*H374</f>
        <v>6</v>
      </c>
      <c r="N374" s="104"/>
    </row>
    <row r="375" spans="2:14">
      <c r="B375" s="150"/>
      <c r="E375" s="118"/>
      <c r="G375" s="58"/>
      <c r="J375" s="102"/>
      <c r="K375" s="183"/>
      <c r="N375" s="104"/>
    </row>
    <row r="376" spans="2:14" ht="15">
      <c r="B376" s="268"/>
      <c r="C376" s="269"/>
      <c r="D376" s="269"/>
      <c r="E376" s="462" t="s">
        <v>136</v>
      </c>
      <c r="F376" s="463"/>
      <c r="G376" s="463"/>
      <c r="H376" s="463"/>
      <c r="I376" s="463"/>
      <c r="J376" s="464"/>
      <c r="K376" s="270"/>
      <c r="L376" s="271"/>
      <c r="M376" s="272"/>
      <c r="N376" s="273"/>
    </row>
    <row r="377" spans="2:14">
      <c r="B377" s="150"/>
      <c r="E377" s="118"/>
      <c r="G377" s="58"/>
      <c r="J377" s="102"/>
      <c r="K377" s="183"/>
      <c r="N377" s="104"/>
    </row>
    <row r="378" spans="2:14" ht="15">
      <c r="B378" s="151"/>
      <c r="C378" s="91"/>
      <c r="D378" s="91"/>
      <c r="E378" s="465" t="s">
        <v>127</v>
      </c>
      <c r="F378" s="466"/>
      <c r="G378" s="466"/>
      <c r="H378" s="123" t="s">
        <v>104</v>
      </c>
      <c r="J378" s="117"/>
      <c r="K378" s="183"/>
      <c r="L378" s="56"/>
      <c r="M378" s="93"/>
      <c r="N378" s="107"/>
    </row>
    <row r="379" spans="2:14">
      <c r="B379" s="150"/>
      <c r="E379" s="76"/>
      <c r="F379" s="17"/>
      <c r="G379" s="17"/>
      <c r="H379" s="67"/>
      <c r="I379" s="55"/>
      <c r="J379" s="121"/>
      <c r="K379" s="186"/>
      <c r="L379" s="100"/>
      <c r="M379" s="122"/>
      <c r="N379" s="104"/>
    </row>
    <row r="380" spans="2:14" ht="34.5" customHeight="1">
      <c r="B380" s="150"/>
      <c r="C380" s="26">
        <v>94965</v>
      </c>
      <c r="D380" s="16" t="s">
        <v>8</v>
      </c>
      <c r="E380" s="447" t="str">
        <f>IFERROR(VLOOKUP($C380,'SINAPI JULHO 2018'!$1:$1048576,2,0),IFERROR(VLOOKUP($C380,'5-COMP. PROPRIA'!$B$13:$I$518,4,0),""))</f>
        <v>CONCRETO FCK = 25MPA, TRAÇO 1:2,3:2,7 (CIMENTO/ AREIA MÉDIA/ BRITA 1)  - PREPARO MECÂNICO COM BETONEIRA 400 L. AF_07/2016</v>
      </c>
      <c r="F380" s="448"/>
      <c r="G380" s="448"/>
      <c r="H380" s="448"/>
      <c r="I380" s="448"/>
      <c r="J380" s="449"/>
      <c r="K380" s="184">
        <f>SUM(K382:K383)</f>
        <v>2.5599999999999996</v>
      </c>
      <c r="L380" s="58" t="s">
        <v>65</v>
      </c>
      <c r="N380" s="104"/>
    </row>
    <row r="381" spans="2:14" ht="25.5">
      <c r="B381" s="150"/>
      <c r="E381" s="76" t="s">
        <v>68</v>
      </c>
      <c r="F381" s="17" t="s">
        <v>107</v>
      </c>
      <c r="G381" s="17" t="s">
        <v>108</v>
      </c>
      <c r="H381" s="67" t="s">
        <v>47</v>
      </c>
      <c r="I381" s="55" t="s">
        <v>128</v>
      </c>
      <c r="J381" s="121"/>
      <c r="K381" s="186"/>
      <c r="L381" s="100"/>
      <c r="M381" s="122"/>
      <c r="N381" s="104"/>
    </row>
    <row r="382" spans="2:14">
      <c r="B382" s="150" t="s">
        <v>137</v>
      </c>
      <c r="E382" s="101">
        <v>0.2</v>
      </c>
      <c r="F382" s="71">
        <v>0.2</v>
      </c>
      <c r="G382" s="126">
        <v>0.7</v>
      </c>
      <c r="H382" s="71">
        <f>40+40</f>
        <v>80</v>
      </c>
      <c r="I382" s="51">
        <f>H382*G382</f>
        <v>56</v>
      </c>
      <c r="J382" s="102"/>
      <c r="K382" s="70">
        <f>H382*F382*G382*E382</f>
        <v>2.2399999999999998</v>
      </c>
      <c r="N382" s="104"/>
    </row>
    <row r="383" spans="2:14">
      <c r="B383" s="150" t="s">
        <v>138</v>
      </c>
      <c r="E383" s="101">
        <v>0.2</v>
      </c>
      <c r="F383" s="71">
        <v>0.2</v>
      </c>
      <c r="G383" s="126">
        <v>2</v>
      </c>
      <c r="H383" s="71">
        <v>4</v>
      </c>
      <c r="I383" s="51">
        <f t="shared" ref="I383" si="11">H383*G383</f>
        <v>8</v>
      </c>
      <c r="J383" s="102"/>
      <c r="K383" s="70">
        <f t="shared" ref="K383" si="12">H383*F383*G383*E383</f>
        <v>0.32000000000000006</v>
      </c>
      <c r="N383" s="104"/>
    </row>
    <row r="384" spans="2:14">
      <c r="B384" s="150"/>
      <c r="D384" s="51"/>
      <c r="E384" s="118"/>
      <c r="I384" s="51">
        <f>SUM(I382:I383)</f>
        <v>64</v>
      </c>
      <c r="J384" s="102"/>
      <c r="N384" s="104"/>
    </row>
    <row r="385" spans="2:14">
      <c r="B385" s="150"/>
      <c r="D385" s="51"/>
      <c r="E385" s="118"/>
      <c r="J385" s="102"/>
      <c r="N385" s="104"/>
    </row>
    <row r="386" spans="2:14" ht="15">
      <c r="B386" s="150"/>
      <c r="C386" s="26">
        <v>92873</v>
      </c>
      <c r="D386" s="16" t="s">
        <v>8</v>
      </c>
      <c r="E386" s="447" t="str">
        <f>IFERROR(VLOOKUP($C386,'SINAPI JULHO 2018'!$1:$1048576,2,0),IFERROR(VLOOKUP($C386,'5-COMP. PROPRIA'!$B$13:$I$518,4,0),""))</f>
        <v>LANÇAMENTO COM USO DE BALDES, ADENSAMENTO E ACABAMENTO DE CONCRETO EM ESTRUTURAS. AF_12/2015</v>
      </c>
      <c r="F386" s="448"/>
      <c r="G386" s="448"/>
      <c r="H386" s="448"/>
      <c r="I386" s="448"/>
      <c r="J386" s="449"/>
      <c r="K386" s="184">
        <f>K380</f>
        <v>2.5599999999999996</v>
      </c>
      <c r="L386" s="58" t="s">
        <v>65</v>
      </c>
      <c r="N386" s="104"/>
    </row>
    <row r="387" spans="2:14">
      <c r="B387" s="150"/>
      <c r="E387" s="118"/>
      <c r="J387" s="102"/>
      <c r="N387" s="104"/>
    </row>
    <row r="388" spans="2:14" ht="51" customHeight="1">
      <c r="B388" s="157" t="s">
        <v>132</v>
      </c>
      <c r="C388" s="26">
        <v>92775</v>
      </c>
      <c r="D388" s="16" t="s">
        <v>8</v>
      </c>
      <c r="E388" s="447" t="str">
        <f>IFERROR(VLOOKUP($C388,'SINAPI JULHO 2018'!$1:$1048576,2,0),IFERROR(VLOOKUP($C388,'5-COMP. PROPRIA'!$B$13:$I$518,4,0),""))</f>
        <v>ARMAÇÃO DE PILAR OU VIGA DE UMA ESTRUTURA CONVENCIONAL DE CONCRETO ARMADO EM UMA EDIFICAÇÃO TÉRREA OU SOBRADO UTILIZANDO AÇO CA-60 DE 5,0 MM - MONTAGEM. AF_12/2015</v>
      </c>
      <c r="F388" s="448"/>
      <c r="G388" s="448"/>
      <c r="H388" s="448"/>
      <c r="I388" s="448"/>
      <c r="J388" s="449"/>
      <c r="K388" s="184">
        <f>SUM(K391:K392)</f>
        <v>43.382240000000017</v>
      </c>
      <c r="L388" s="58" t="s">
        <v>92</v>
      </c>
      <c r="M388" s="52"/>
      <c r="N388" s="68"/>
    </row>
    <row r="389" spans="2:14">
      <c r="B389" s="150"/>
      <c r="E389" s="118"/>
      <c r="H389" s="70" t="s">
        <v>112</v>
      </c>
      <c r="I389" s="69">
        <f>K388/K380</f>
        <v>16.946187500000008</v>
      </c>
      <c r="J389" s="102"/>
      <c r="K389" s="70"/>
      <c r="M389" s="93"/>
      <c r="N389" s="68"/>
    </row>
    <row r="390" spans="2:14" ht="25.5">
      <c r="B390" s="150" t="s">
        <v>113</v>
      </c>
      <c r="E390" s="79" t="s">
        <v>93</v>
      </c>
      <c r="F390" s="67" t="s">
        <v>106</v>
      </c>
      <c r="G390" s="67" t="s">
        <v>94</v>
      </c>
      <c r="H390" s="61" t="s">
        <v>95</v>
      </c>
      <c r="I390" s="67" t="s">
        <v>54</v>
      </c>
      <c r="J390" s="102"/>
      <c r="K390" s="70"/>
      <c r="M390" s="93"/>
      <c r="N390" s="68"/>
    </row>
    <row r="391" spans="2:14">
      <c r="B391" s="150" t="str">
        <f>B382</f>
        <v>PILAR TIPO 01</v>
      </c>
      <c r="E391" s="101">
        <v>5</v>
      </c>
      <c r="F391" s="51">
        <f>($E$322-0.06)*2+($F$322-0.06)*2+0.1</f>
        <v>0.66</v>
      </c>
      <c r="G391" s="51">
        <f>$I$382/0.15</f>
        <v>373.33333333333337</v>
      </c>
      <c r="H391" s="51">
        <f>((E391/1000)*(E391/1000)*3.14*0.25)*7850</f>
        <v>0.15405625000000003</v>
      </c>
      <c r="I391" s="51">
        <v>1</v>
      </c>
      <c r="J391" s="102"/>
      <c r="K391" s="70">
        <f>G391*H391*F391*I391</f>
        <v>37.959460000000014</v>
      </c>
      <c r="M391" s="93"/>
      <c r="N391" s="68"/>
    </row>
    <row r="392" spans="2:14">
      <c r="B392" s="150" t="str">
        <f>B383</f>
        <v>PILAR TIPO 02</v>
      </c>
      <c r="E392" s="101">
        <v>5</v>
      </c>
      <c r="F392" s="51">
        <f>($E$323-0.06)*2+($F$323-0.06)*2+0.1</f>
        <v>0.66</v>
      </c>
      <c r="G392" s="51">
        <f>$I$383/0.15</f>
        <v>53.333333333333336</v>
      </c>
      <c r="H392" s="51">
        <f t="shared" ref="H392" si="13">((E392/1000)*(E392/1000)*3.14*0.25)*7850</f>
        <v>0.15405625000000003</v>
      </c>
      <c r="I392" s="51">
        <v>1</v>
      </c>
      <c r="J392" s="102"/>
      <c r="K392" s="70">
        <f t="shared" ref="K392" si="14">G392*H392*F392*I392</f>
        <v>5.4227800000000013</v>
      </c>
      <c r="M392" s="93"/>
      <c r="N392" s="68"/>
    </row>
    <row r="393" spans="2:14">
      <c r="B393" s="150"/>
      <c r="E393" s="118"/>
      <c r="J393" s="102"/>
      <c r="K393" s="70"/>
      <c r="M393" s="93"/>
      <c r="N393" s="68"/>
    </row>
    <row r="394" spans="2:14">
      <c r="B394" s="150"/>
      <c r="E394" s="118"/>
      <c r="J394" s="102"/>
      <c r="K394" s="70"/>
      <c r="M394" s="93"/>
      <c r="N394" s="68"/>
    </row>
    <row r="395" spans="2:14" ht="43.5" customHeight="1">
      <c r="B395" s="150"/>
      <c r="C395" s="26">
        <v>92778</v>
      </c>
      <c r="D395" s="16" t="s">
        <v>8</v>
      </c>
      <c r="E395" s="447" t="str">
        <f>IFERROR(VLOOKUP($C395,'SINAPI JULHO 2018'!$1:$1048576,2,0),IFERROR(VLOOKUP($C395,'5-COMP. PROPRIA'!$B$13:$I$518,4,0),""))</f>
        <v>ARMAÇÃO DE PILAR OU VIGA DE UMA ESTRUTURA CONVENCIONAL DE CONCRETO ARMADO EM UMA EDIFICAÇÃO TÉRREA OU SOBRADO UTILIZANDO AÇO CA-50 DE 10,0 MM - MONTAGEM. AF_12/2015</v>
      </c>
      <c r="F395" s="448"/>
      <c r="G395" s="448"/>
      <c r="H395" s="448"/>
      <c r="I395" s="448"/>
      <c r="J395" s="449"/>
      <c r="K395" s="184">
        <f>SUM(K398:K399)</f>
        <v>157.75360000000001</v>
      </c>
      <c r="L395" s="58" t="s">
        <v>92</v>
      </c>
      <c r="M395" s="52"/>
      <c r="N395" s="68"/>
    </row>
    <row r="396" spans="2:14">
      <c r="B396" s="150"/>
      <c r="E396" s="118"/>
      <c r="H396" s="70" t="s">
        <v>112</v>
      </c>
      <c r="I396" s="69">
        <f>K395/K380</f>
        <v>61.622500000000009</v>
      </c>
      <c r="J396" s="102"/>
      <c r="K396" s="70"/>
      <c r="M396" s="93"/>
      <c r="N396" s="104"/>
    </row>
    <row r="397" spans="2:14" ht="25.5">
      <c r="B397" s="150" t="s">
        <v>113</v>
      </c>
      <c r="E397" s="79" t="s">
        <v>93</v>
      </c>
      <c r="F397" s="67" t="s">
        <v>106</v>
      </c>
      <c r="G397" s="67" t="s">
        <v>94</v>
      </c>
      <c r="H397" s="61" t="s">
        <v>95</v>
      </c>
      <c r="I397" s="67" t="s">
        <v>54</v>
      </c>
      <c r="J397" s="102"/>
      <c r="K397" s="70"/>
      <c r="M397" s="93"/>
      <c r="N397" s="68"/>
    </row>
    <row r="398" spans="2:14">
      <c r="B398" s="150" t="str">
        <f>B391</f>
        <v>PILAR TIPO 01</v>
      </c>
      <c r="E398" s="101">
        <v>10</v>
      </c>
      <c r="F398" s="51">
        <f>G382</f>
        <v>0.7</v>
      </c>
      <c r="G398" s="51">
        <v>4</v>
      </c>
      <c r="H398" s="51">
        <f>((E398/1000)*(E398/1000)*3.14*0.25)*7850</f>
        <v>0.61622500000000013</v>
      </c>
      <c r="I398" s="51">
        <f>H382</f>
        <v>80</v>
      </c>
      <c r="J398" s="102"/>
      <c r="K398" s="70">
        <f>G398*H398*F398*I398</f>
        <v>138.03440000000001</v>
      </c>
      <c r="M398" s="93"/>
      <c r="N398" s="68"/>
    </row>
    <row r="399" spans="2:14">
      <c r="B399" s="150" t="str">
        <f>B392</f>
        <v>PILAR TIPO 02</v>
      </c>
      <c r="E399" s="101">
        <v>10</v>
      </c>
      <c r="F399" s="51">
        <f>G383</f>
        <v>2</v>
      </c>
      <c r="G399" s="51">
        <v>4</v>
      </c>
      <c r="H399" s="51">
        <f t="shared" ref="H399" si="15">((E399/1000)*(E399/1000)*3.14*0.25)*7850</f>
        <v>0.61622500000000013</v>
      </c>
      <c r="I399" s="51">
        <f>H383</f>
        <v>4</v>
      </c>
      <c r="J399" s="102"/>
      <c r="K399" s="70">
        <f t="shared" ref="K399" si="16">G399*H399*F399*I399</f>
        <v>19.719200000000004</v>
      </c>
      <c r="M399" s="93"/>
      <c r="N399" s="68"/>
    </row>
    <row r="400" spans="2:14">
      <c r="B400" s="150"/>
      <c r="E400" s="118"/>
      <c r="J400" s="102"/>
      <c r="K400" s="70"/>
      <c r="M400" s="93"/>
      <c r="N400" s="104"/>
    </row>
    <row r="401" spans="2:14" ht="15">
      <c r="B401" s="150"/>
      <c r="C401" s="26">
        <v>92412</v>
      </c>
      <c r="D401" s="16" t="s">
        <v>8</v>
      </c>
      <c r="E401" s="447" t="str">
        <f>IFERROR(VLOOKUP($C401,'SINAPI JULHO 2018'!$1:$1048576,2,0),IFERROR(VLOOKUP($C401,'5-COMP. PROPRIA'!$B$13:$I$518,4,0),""))</f>
        <v>MONTAGEM E DESMONTAGEM DE FÔRMA DE PILARES RETANGULARES E ESTRUTURAS SIMILARES COM ÁREA MÉDIA DAS SEÇÕES MENOR OU IGUAL A 0,25 M², PÉ-DIREITO SIMPLES, EM MADEIRA SERRADA, 4 UTILIZAÇÕES. AF_12/2015</v>
      </c>
      <c r="F401" s="448"/>
      <c r="G401" s="448"/>
      <c r="H401" s="448"/>
      <c r="I401" s="448"/>
      <c r="J401" s="449"/>
      <c r="K401" s="184">
        <f>SUM(K403:K404)/4</f>
        <v>12.799999999999999</v>
      </c>
      <c r="L401" s="58" t="s">
        <v>25</v>
      </c>
      <c r="N401" s="104"/>
    </row>
    <row r="402" spans="2:14" ht="25.5">
      <c r="B402" s="150"/>
      <c r="E402" s="76" t="s">
        <v>68</v>
      </c>
      <c r="F402" s="17" t="s">
        <v>107</v>
      </c>
      <c r="G402" s="17" t="s">
        <v>108</v>
      </c>
      <c r="H402" s="67" t="s">
        <v>47</v>
      </c>
      <c r="I402" s="55"/>
      <c r="J402" s="121"/>
      <c r="K402" s="186"/>
      <c r="N402" s="104"/>
    </row>
    <row r="403" spans="2:14">
      <c r="B403" s="150" t="str">
        <f>B398</f>
        <v>PILAR TIPO 01</v>
      </c>
      <c r="E403" s="118">
        <f t="shared" ref="E403:G403" si="17">E382</f>
        <v>0.2</v>
      </c>
      <c r="F403" s="58">
        <f t="shared" si="17"/>
        <v>0.2</v>
      </c>
      <c r="G403" s="58">
        <f t="shared" si="17"/>
        <v>0.7</v>
      </c>
      <c r="H403" s="58">
        <f>I398</f>
        <v>80</v>
      </c>
      <c r="J403" s="102"/>
      <c r="K403" s="70">
        <f>(E403*2+F403*2)*G403*H403</f>
        <v>44.8</v>
      </c>
      <c r="N403" s="104"/>
    </row>
    <row r="404" spans="2:14">
      <c r="B404" s="150" t="str">
        <f>B399</f>
        <v>PILAR TIPO 02</v>
      </c>
      <c r="E404" s="118">
        <f t="shared" ref="E404:G404" si="18">E383</f>
        <v>0.2</v>
      </c>
      <c r="F404" s="58">
        <f t="shared" si="18"/>
        <v>0.2</v>
      </c>
      <c r="G404" s="58">
        <f t="shared" si="18"/>
        <v>2</v>
      </c>
      <c r="H404" s="51">
        <f>I399</f>
        <v>4</v>
      </c>
      <c r="J404" s="102"/>
      <c r="K404" s="70">
        <f t="shared" ref="K404" si="19">(E404*2+F404*2)*G404*H404</f>
        <v>6.4</v>
      </c>
      <c r="N404" s="104"/>
    </row>
    <row r="405" spans="2:14" ht="13.5" thickBot="1">
      <c r="B405" s="150"/>
      <c r="E405" s="118"/>
      <c r="J405" s="102"/>
      <c r="K405" s="183"/>
      <c r="N405" s="104"/>
    </row>
    <row r="406" spans="2:14" ht="13.5" thickBot="1">
      <c r="B406" s="151"/>
      <c r="C406" s="91"/>
      <c r="D406" s="91"/>
      <c r="E406" s="444" t="s">
        <v>139</v>
      </c>
      <c r="F406" s="445"/>
      <c r="G406" s="445"/>
      <c r="H406" s="445"/>
      <c r="I406" s="445"/>
      <c r="J406" s="446"/>
      <c r="K406" s="183"/>
      <c r="L406" s="56"/>
      <c r="M406" s="93"/>
      <c r="N406" s="107"/>
    </row>
    <row r="407" spans="2:14">
      <c r="B407" s="151"/>
      <c r="C407" s="91"/>
      <c r="D407" s="91"/>
      <c r="E407" s="113"/>
      <c r="F407" s="56"/>
      <c r="G407" s="56"/>
      <c r="H407" s="56"/>
      <c r="I407" s="56"/>
      <c r="J407" s="240"/>
      <c r="K407" s="183"/>
      <c r="L407" s="56"/>
      <c r="M407" s="93"/>
      <c r="N407" s="107"/>
    </row>
    <row r="408" spans="2:14" ht="15">
      <c r="B408" s="151" t="s">
        <v>140</v>
      </c>
      <c r="C408" s="94" t="str">
        <f>'5-COMP. PROPRIA'!B59</f>
        <v>CP-ALA-01</v>
      </c>
      <c r="D408" s="16" t="s">
        <v>35</v>
      </c>
      <c r="E408" s="447" t="str">
        <f>IFERROR(VLOOKUP($C408,'SINAPI JULHO 2018'!$1:$1048576,2,0),IFERROR(VLOOKUP($C408,'5-COMP. PROPRIA'!$B$13:$I$518,4,0),""))</f>
        <v>ALAMBRADO EM TUBOS DE ACO GALVANIZADO, COM COSTURA, DIN 2440, DIAMETRO 2", ALTURA 1,3 M, FIXADOS A CADA 2,5 M, COM TELA DE ARAME GALVANIZADO REVESTIDO COM PVC, FIO 12 BWG E MALHA 7,5X7,5CM</v>
      </c>
      <c r="F408" s="448"/>
      <c r="G408" s="448"/>
      <c r="H408" s="448"/>
      <c r="I408" s="448"/>
      <c r="J408" s="449"/>
      <c r="K408" s="184">
        <f>201.2*1.35</f>
        <v>271.62</v>
      </c>
      <c r="L408" s="58" t="s">
        <v>25</v>
      </c>
      <c r="M408" s="93"/>
      <c r="N408" s="107"/>
    </row>
    <row r="409" spans="2:14">
      <c r="B409" s="151"/>
      <c r="C409" s="91"/>
      <c r="D409" s="91"/>
      <c r="E409" s="113"/>
      <c r="F409" s="56"/>
      <c r="G409" s="56"/>
      <c r="H409" s="56"/>
      <c r="I409" s="56"/>
      <c r="J409" s="240"/>
      <c r="K409" s="183"/>
      <c r="L409" s="56"/>
      <c r="M409" s="93"/>
      <c r="N409" s="107"/>
    </row>
    <row r="410" spans="2:14" ht="15">
      <c r="B410" s="151"/>
      <c r="C410" s="94" t="s">
        <v>141</v>
      </c>
      <c r="D410" s="16" t="s">
        <v>35</v>
      </c>
      <c r="E410" s="447" t="str">
        <f>IFERROR(VLOOKUP($C410,'SINAPI JULHO 2018'!$1:$1048576,2,0),IFERROR(VLOOKUP($C410,'5-COMP. PROPRIA'!$B$13:$I$518,4,0),""))</f>
        <v xml:space="preserve">LIXAMENTO DE SUPERFICIE METÁLICA </v>
      </c>
      <c r="F410" s="448"/>
      <c r="G410" s="448"/>
      <c r="H410" s="448"/>
      <c r="I410" s="448"/>
      <c r="J410" s="449"/>
      <c r="K410" s="184">
        <f>K412</f>
        <v>543.24</v>
      </c>
      <c r="L410" s="58" t="s">
        <v>25</v>
      </c>
      <c r="M410" s="93"/>
      <c r="N410" s="107"/>
    </row>
    <row r="411" spans="2:14">
      <c r="B411" s="151"/>
      <c r="C411" s="91"/>
      <c r="D411" s="91"/>
      <c r="E411" s="113"/>
      <c r="F411" s="56"/>
      <c r="G411" s="56"/>
      <c r="H411" s="56"/>
      <c r="I411" s="56"/>
      <c r="J411" s="240"/>
      <c r="K411" s="183"/>
      <c r="L411" s="56"/>
      <c r="M411" s="93"/>
      <c r="N411" s="107"/>
    </row>
    <row r="412" spans="2:14" ht="15">
      <c r="B412" s="151"/>
      <c r="C412" s="94" t="s">
        <v>142</v>
      </c>
      <c r="D412" s="16" t="s">
        <v>8</v>
      </c>
      <c r="E412" s="447" t="str">
        <f>IFERROR(VLOOKUP($C412,'SINAPI JULHO 2018'!$1:$1048576,2,0),IFERROR(VLOOKUP($C412,'5-COMP. PROPRIA'!$B$13:$I$518,4,0),""))</f>
        <v>PINTURA ESMALTE ALTO BRILHO, DUAS DEMAOS, SOBRE SUPERFICIE METALICA</v>
      </c>
      <c r="F412" s="448"/>
      <c r="G412" s="448"/>
      <c r="H412" s="448"/>
      <c r="I412" s="448"/>
      <c r="J412" s="449"/>
      <c r="K412" s="184">
        <f>K408*2</f>
        <v>543.24</v>
      </c>
      <c r="L412" s="58" t="s">
        <v>25</v>
      </c>
      <c r="M412" s="93"/>
      <c r="N412" s="107"/>
    </row>
    <row r="413" spans="2:14" ht="13.5" thickBot="1">
      <c r="B413" s="151"/>
      <c r="C413" s="91"/>
      <c r="D413" s="91"/>
      <c r="E413" s="113"/>
      <c r="F413" s="56"/>
      <c r="G413" s="56"/>
      <c r="H413" s="56"/>
      <c r="I413" s="56"/>
      <c r="J413" s="240"/>
      <c r="K413" s="183"/>
      <c r="L413" s="56"/>
      <c r="M413" s="93"/>
      <c r="N413" s="107"/>
    </row>
    <row r="414" spans="2:14" ht="13.5" thickBot="1">
      <c r="B414" s="151"/>
      <c r="C414" s="91"/>
      <c r="D414" s="91"/>
      <c r="E414" s="444" t="s">
        <v>143</v>
      </c>
      <c r="F414" s="445"/>
      <c r="G414" s="445"/>
      <c r="H414" s="445"/>
      <c r="I414" s="445"/>
      <c r="J414" s="446"/>
      <c r="K414" s="183"/>
      <c r="L414" s="56"/>
      <c r="M414" s="93"/>
      <c r="N414" s="107"/>
    </row>
    <row r="415" spans="2:14">
      <c r="B415" s="151"/>
      <c r="C415" s="91"/>
      <c r="D415" s="91"/>
      <c r="E415" s="113"/>
      <c r="F415" s="56"/>
      <c r="G415" s="56"/>
      <c r="H415" s="56"/>
      <c r="I415" s="56"/>
      <c r="J415" s="240"/>
      <c r="K415" s="183"/>
      <c r="L415" s="56"/>
      <c r="M415" s="93"/>
      <c r="N415" s="107"/>
    </row>
    <row r="416" spans="2:14" ht="43.5" customHeight="1">
      <c r="B416" s="150" t="s">
        <v>144</v>
      </c>
      <c r="C416" s="26">
        <v>89978</v>
      </c>
      <c r="D416" s="16" t="s">
        <v>8</v>
      </c>
      <c r="E416" s="447" t="str">
        <f>IFERROR(VLOOKUP($C416,'SINAPI JULHO 2018'!$1:$1048576,2,0),IFERROR(VLOOKUP($C416,'5-COMP. PROPRIA'!$B$13:$I$518,4,0),""))</f>
        <v>(COMPOSIÇÃO REPRESENTATIVA) DO SERVIÇO DE ALVENARIA DE VEDAÇÃO DE BLOCOS VAZADOS DE CONCRETO DE 14X19X39CM (ESPESSURA 14CM), PARA EDIFICAÇÃO HABITACIONAL UNIFAMILIAR (CASA) E EDIFICAÇÃO PÚBLICA PADRÃO. AF_12/2014</v>
      </c>
      <c r="F416" s="448"/>
      <c r="G416" s="448"/>
      <c r="H416" s="448"/>
      <c r="I416" s="448"/>
      <c r="J416" s="449"/>
      <c r="K416" s="184">
        <f>(201.2*0.7)-(84*0.2)</f>
        <v>124.03999999999998</v>
      </c>
      <c r="L416" s="57" t="s">
        <v>145</v>
      </c>
      <c r="N416" s="104"/>
    </row>
    <row r="417" spans="2:17">
      <c r="B417" s="150"/>
      <c r="E417" s="112"/>
      <c r="F417" s="17"/>
      <c r="G417" s="17"/>
      <c r="H417" s="17"/>
      <c r="I417" s="17"/>
      <c r="J417" s="89"/>
      <c r="K417" s="70"/>
      <c r="N417" s="104"/>
    </row>
    <row r="418" spans="2:17" ht="30" customHeight="1">
      <c r="B418" s="150" t="str">
        <f>B420</f>
        <v>PINTURA ATE 0,7 M DE TODA A MURETA INCLUSIVE PILARES</v>
      </c>
      <c r="C418" s="26">
        <v>88485</v>
      </c>
      <c r="D418" s="16" t="s">
        <v>8</v>
      </c>
      <c r="E418" s="447" t="str">
        <f>IFERROR(VLOOKUP($C418,'SINAPI JULHO 2018'!$1:$1048576,2,0),IFERROR(VLOOKUP($C418,'5-COMP. PROPRIA'!$B$13:$I$518,4,0),""))</f>
        <v>APLICAÇÃO DE FUNDO SELADOR ACRÍLICO EM PAREDES, UMA DEMÃO. AF_06/2014</v>
      </c>
      <c r="F418" s="448"/>
      <c r="G418" s="448"/>
      <c r="H418" s="448"/>
      <c r="I418" s="448"/>
      <c r="J418" s="449"/>
      <c r="K418" s="184">
        <f>K420</f>
        <v>281.67999999999995</v>
      </c>
      <c r="L418" s="57" t="s">
        <v>145</v>
      </c>
      <c r="N418" s="104"/>
    </row>
    <row r="419" spans="2:17">
      <c r="B419" s="150"/>
      <c r="E419" s="112"/>
      <c r="F419" s="17"/>
      <c r="G419" s="17"/>
      <c r="H419" s="17"/>
      <c r="I419" s="17"/>
      <c r="J419" s="89"/>
      <c r="K419" s="70"/>
      <c r="N419" s="104"/>
    </row>
    <row r="420" spans="2:17" ht="33" customHeight="1">
      <c r="B420" s="150" t="s">
        <v>146</v>
      </c>
      <c r="C420" s="26">
        <v>88489</v>
      </c>
      <c r="D420" s="26" t="s">
        <v>8</v>
      </c>
      <c r="E420" s="447" t="str">
        <f>IFERROR(VLOOKUP($C420,'SINAPI JULHO 2018'!$1:$1048576,2,0),IFERROR(VLOOKUP($C420,'5-COMP. PROPRIA'!$B$13:$I$518,4,0),""))</f>
        <v>APLICAÇÃO MANUAL DE PINTURA COM TINTA LÁTEX ACRÍLICA EM PAREDES, DUAS DEMÃOS. AF_06/2014</v>
      </c>
      <c r="F420" s="448"/>
      <c r="G420" s="448"/>
      <c r="H420" s="448"/>
      <c r="I420" s="448"/>
      <c r="J420" s="449"/>
      <c r="K420" s="184">
        <f>201.2*0.7*2</f>
        <v>281.67999999999995</v>
      </c>
      <c r="L420" s="58" t="s">
        <v>145</v>
      </c>
      <c r="M420" s="93"/>
      <c r="N420" s="68"/>
      <c r="O420" s="115"/>
      <c r="Q420" s="127"/>
    </row>
    <row r="421" spans="2:17" ht="15.75" thickBot="1">
      <c r="B421" s="150"/>
      <c r="E421" s="276"/>
      <c r="F421" s="221"/>
      <c r="G421" s="221"/>
      <c r="H421" s="221"/>
      <c r="I421" s="221"/>
      <c r="J421" s="222"/>
      <c r="K421" s="184"/>
      <c r="M421" s="93"/>
      <c r="N421" s="68"/>
      <c r="O421" s="115"/>
      <c r="Q421" s="127"/>
    </row>
    <row r="422" spans="2:17" ht="13.5" thickBot="1">
      <c r="B422" s="150"/>
      <c r="C422" s="91"/>
      <c r="D422" s="91"/>
      <c r="E422" s="444" t="s">
        <v>147</v>
      </c>
      <c r="F422" s="445"/>
      <c r="G422" s="445"/>
      <c r="H422" s="445"/>
      <c r="I422" s="445"/>
      <c r="J422" s="446"/>
      <c r="K422" s="183"/>
      <c r="M422" s="93"/>
      <c r="N422" s="68"/>
      <c r="O422" s="115"/>
      <c r="Q422" s="127"/>
    </row>
    <row r="423" spans="2:17">
      <c r="B423" s="150"/>
      <c r="E423" s="113"/>
      <c r="F423" s="54"/>
      <c r="G423" s="54"/>
      <c r="H423" s="54"/>
      <c r="I423" s="54"/>
      <c r="J423" s="117"/>
      <c r="K423" s="183"/>
      <c r="L423" s="56"/>
      <c r="M423" s="93"/>
      <c r="N423" s="104"/>
    </row>
    <row r="424" spans="2:17" ht="15">
      <c r="B424" s="268"/>
      <c r="C424" s="269"/>
      <c r="D424" s="269"/>
      <c r="E424" s="462" t="s">
        <v>148</v>
      </c>
      <c r="F424" s="463"/>
      <c r="G424" s="463"/>
      <c r="H424" s="463"/>
      <c r="I424" s="463"/>
      <c r="J424" s="464"/>
      <c r="K424" s="270"/>
      <c r="L424" s="271"/>
      <c r="M424" s="272"/>
      <c r="N424" s="273"/>
    </row>
    <row r="425" spans="2:17">
      <c r="B425" s="150"/>
      <c r="E425" s="113"/>
      <c r="F425" s="54"/>
      <c r="G425" s="54"/>
      <c r="H425" s="54"/>
      <c r="I425" s="54"/>
      <c r="J425" s="117"/>
      <c r="K425" s="183"/>
      <c r="L425" s="56"/>
      <c r="M425" s="93"/>
      <c r="N425" s="104"/>
    </row>
    <row r="426" spans="2:17" s="346" customFormat="1" ht="25.5">
      <c r="B426" s="150" t="s">
        <v>149</v>
      </c>
      <c r="C426" s="136">
        <v>97647</v>
      </c>
      <c r="D426" s="16" t="s">
        <v>8</v>
      </c>
      <c r="E426" s="447" t="str">
        <f>IFERROR(VLOOKUP($C426,'SINAPI JULHO 2018'!$1:$1048576,2,0),IFERROR(VLOOKUP($C426,'5-COMP. PROPRIA'!$B$13:$I$518,4,0),""))</f>
        <v>REMOÇÃO DE TELHAS, DE FIBROCIMENTO, METÁLICA E CERÂMICA, DE FORMA MANUAL, SEM REAPROVEITAMENTO. AF_12/2017</v>
      </c>
      <c r="F426" s="448"/>
      <c r="G426" s="448"/>
      <c r="H426" s="448"/>
      <c r="I426" s="448"/>
      <c r="J426" s="449"/>
      <c r="K426" s="184">
        <f>SUM(K428:K428)</f>
        <v>206.8</v>
      </c>
      <c r="L426" s="57" t="s">
        <v>25</v>
      </c>
      <c r="M426" s="116">
        <f>K426*0.03</f>
        <v>6.2039999999999997</v>
      </c>
      <c r="N426" s="68" t="s">
        <v>65</v>
      </c>
    </row>
    <row r="427" spans="2:17" s="346" customFormat="1" ht="25.5">
      <c r="B427" s="150"/>
      <c r="C427" s="16"/>
      <c r="D427" s="16"/>
      <c r="E427" s="79" t="s">
        <v>66</v>
      </c>
      <c r="F427" s="67" t="s">
        <v>67</v>
      </c>
      <c r="G427" s="67" t="s">
        <v>69</v>
      </c>
      <c r="H427" s="67" t="s">
        <v>150</v>
      </c>
      <c r="I427" s="17"/>
      <c r="J427" s="89"/>
      <c r="K427" s="183"/>
      <c r="L427" s="57"/>
      <c r="M427" s="116"/>
      <c r="N427" s="68"/>
    </row>
    <row r="428" spans="2:17" s="346" customFormat="1">
      <c r="B428" s="150"/>
      <c r="C428" s="16"/>
      <c r="D428" s="16"/>
      <c r="E428" s="111">
        <v>206.8</v>
      </c>
      <c r="F428" s="74">
        <v>1</v>
      </c>
      <c r="G428" s="74">
        <v>1</v>
      </c>
      <c r="H428" s="74">
        <v>1</v>
      </c>
      <c r="I428" s="17"/>
      <c r="J428" s="89"/>
      <c r="K428" s="70">
        <f>E428*F428*G428*H428</f>
        <v>206.8</v>
      </c>
      <c r="L428" s="57"/>
      <c r="M428" s="93"/>
      <c r="N428" s="109"/>
    </row>
    <row r="429" spans="2:17" s="346" customFormat="1">
      <c r="B429" s="150"/>
      <c r="C429" s="16"/>
      <c r="D429" s="16"/>
      <c r="E429" s="113"/>
      <c r="F429" s="54"/>
      <c r="G429" s="54"/>
      <c r="H429" s="54"/>
      <c r="I429" s="54"/>
      <c r="J429" s="117"/>
      <c r="K429" s="183"/>
      <c r="L429" s="56"/>
      <c r="M429" s="93"/>
      <c r="N429" s="109"/>
    </row>
    <row r="430" spans="2:17" s="346" customFormat="1" ht="42" customHeight="1">
      <c r="B430" s="150" t="s">
        <v>151</v>
      </c>
      <c r="C430" s="16">
        <v>97650</v>
      </c>
      <c r="D430" s="16" t="s">
        <v>8</v>
      </c>
      <c r="E430" s="447" t="str">
        <f>IFERROR(VLOOKUP($C430,'SINAPI JULHO 2018'!$1:$1048576,2,0),IFERROR(VLOOKUP($C430,'5-COMP. PROPRIA'!$B$13:$I$518,4,0),""))</f>
        <v>REMOÇÃO DE TRAMA DE MADEIRA PARA COBERTURA, DE FORMA MANUAL, SEM REAPROVEITAMENTO. AF_12/2017</v>
      </c>
      <c r="F430" s="448"/>
      <c r="G430" s="448"/>
      <c r="H430" s="448"/>
      <c r="I430" s="448"/>
      <c r="J430" s="449"/>
      <c r="K430" s="184">
        <f>SUM(K432:K432)</f>
        <v>206.8</v>
      </c>
      <c r="L430" s="57" t="s">
        <v>25</v>
      </c>
      <c r="M430" s="116">
        <f>K430*0.03</f>
        <v>6.2039999999999997</v>
      </c>
      <c r="N430" s="68" t="s">
        <v>65</v>
      </c>
    </row>
    <row r="431" spans="2:17" s="346" customFormat="1" ht="25.5">
      <c r="B431" s="150"/>
      <c r="C431" s="16"/>
      <c r="D431" s="16"/>
      <c r="E431" s="79" t="s">
        <v>66</v>
      </c>
      <c r="F431" s="67" t="s">
        <v>67</v>
      </c>
      <c r="G431" s="67" t="s">
        <v>69</v>
      </c>
      <c r="H431" s="17"/>
      <c r="I431" s="17"/>
      <c r="J431" s="89"/>
      <c r="K431" s="184"/>
      <c r="L431" s="57"/>
      <c r="M431" s="116"/>
      <c r="N431" s="68"/>
    </row>
    <row r="432" spans="2:17" s="346" customFormat="1">
      <c r="B432" s="155"/>
      <c r="C432" s="16"/>
      <c r="D432" s="16"/>
      <c r="E432" s="111">
        <f>E428</f>
        <v>206.8</v>
      </c>
      <c r="F432" s="74">
        <v>1</v>
      </c>
      <c r="G432" s="74">
        <v>1</v>
      </c>
      <c r="H432" s="17"/>
      <c r="I432" s="17"/>
      <c r="J432" s="89"/>
      <c r="K432" s="70">
        <f>E432*F432</f>
        <v>206.8</v>
      </c>
      <c r="L432" s="57"/>
      <c r="M432" s="116"/>
      <c r="N432" s="68"/>
    </row>
    <row r="433" spans="2:17" s="346" customFormat="1">
      <c r="B433" s="150"/>
      <c r="C433" s="16"/>
      <c r="D433" s="16"/>
      <c r="E433" s="112"/>
      <c r="F433" s="17"/>
      <c r="G433" s="17"/>
      <c r="H433" s="17"/>
      <c r="I433" s="17"/>
      <c r="J433" s="89"/>
      <c r="K433" s="70"/>
      <c r="L433" s="56"/>
      <c r="M433" s="93"/>
      <c r="N433" s="68"/>
    </row>
    <row r="434" spans="2:17" s="346" customFormat="1" ht="36.75" customHeight="1">
      <c r="B434" s="150"/>
      <c r="C434" s="16">
        <v>97651</v>
      </c>
      <c r="D434" s="16" t="s">
        <v>8</v>
      </c>
      <c r="E434" s="447" t="str">
        <f>IFERROR(VLOOKUP($C434,'SINAPI JULHO 2018'!$1:$1048576,2,0),IFERROR(VLOOKUP($C434,'5-COMP. PROPRIA'!$B$13:$I$518,4,0),""))</f>
        <v>REMOÇÃO DE TESOURAS DE MADEIRA, COM VÃO MENOR QUE 8M, DE FORMA MANUAL, SEM REAPROVEITAMENTO. AF_12/2017</v>
      </c>
      <c r="F434" s="448"/>
      <c r="G434" s="448"/>
      <c r="H434" s="448"/>
      <c r="I434" s="448"/>
      <c r="J434" s="449"/>
      <c r="K434" s="184">
        <f>SUM(K436:K436)</f>
        <v>30</v>
      </c>
      <c r="L434" s="57" t="s">
        <v>5</v>
      </c>
      <c r="M434" s="116">
        <f>K434*0.05</f>
        <v>1.5</v>
      </c>
      <c r="N434" s="68" t="s">
        <v>65</v>
      </c>
    </row>
    <row r="435" spans="2:17" s="346" customFormat="1" ht="25.5">
      <c r="B435" s="150"/>
      <c r="C435" s="16"/>
      <c r="D435" s="16"/>
      <c r="E435" s="79" t="s">
        <v>66</v>
      </c>
      <c r="F435" s="67" t="s">
        <v>67</v>
      </c>
      <c r="G435" s="67" t="s">
        <v>150</v>
      </c>
      <c r="H435" s="67" t="s">
        <v>69</v>
      </c>
      <c r="I435" s="17"/>
      <c r="J435" s="275"/>
      <c r="K435" s="183"/>
      <c r="L435" s="57"/>
      <c r="M435" s="93"/>
      <c r="N435" s="68"/>
    </row>
    <row r="436" spans="2:17" s="346" customFormat="1">
      <c r="B436" s="150" t="s">
        <v>152</v>
      </c>
      <c r="C436" s="16"/>
      <c r="D436" s="16"/>
      <c r="E436" s="111">
        <v>30</v>
      </c>
      <c r="F436" s="74">
        <v>1</v>
      </c>
      <c r="G436" s="74">
        <v>1</v>
      </c>
      <c r="H436" s="74">
        <v>1</v>
      </c>
      <c r="I436" s="17"/>
      <c r="J436" s="275"/>
      <c r="K436" s="70">
        <f>E436*F436*G436*H436</f>
        <v>30</v>
      </c>
      <c r="L436" s="57"/>
      <c r="M436" s="93"/>
      <c r="N436" s="68"/>
    </row>
    <row r="437" spans="2:17" s="346" customFormat="1">
      <c r="B437" s="150"/>
      <c r="C437" s="16"/>
      <c r="D437" s="16"/>
      <c r="E437" s="113"/>
      <c r="F437" s="54"/>
      <c r="G437" s="54"/>
      <c r="H437" s="54"/>
      <c r="I437" s="54"/>
      <c r="J437" s="117"/>
      <c r="K437" s="183"/>
      <c r="L437" s="56"/>
      <c r="M437" s="93"/>
      <c r="N437" s="109"/>
    </row>
    <row r="438" spans="2:17" s="346" customFormat="1" ht="15">
      <c r="B438" s="150"/>
      <c r="C438" s="16">
        <v>97645</v>
      </c>
      <c r="D438" s="16" t="s">
        <v>8</v>
      </c>
      <c r="E438" s="447" t="str">
        <f>IFERROR(VLOOKUP($C438,'SINAPI JULHO 2018'!$1:$1048576,2,0),IFERROR(VLOOKUP($C438,'5-COMP. PROPRIA'!$B$13:$I$518,4,0),""))</f>
        <v>REMOÇÃO DE JANELAS, DE FORMA MANUAL, SEM REAPROVEITAMENTO. AF_12/2017</v>
      </c>
      <c r="F438" s="448"/>
      <c r="G438" s="448"/>
      <c r="H438" s="448"/>
      <c r="I438" s="448"/>
      <c r="J438" s="449"/>
      <c r="K438" s="184">
        <f>SUM(K440:K440)</f>
        <v>12.200000000000001</v>
      </c>
      <c r="L438" s="57" t="s">
        <v>25</v>
      </c>
      <c r="M438" s="52">
        <f>K438*0.15</f>
        <v>1.83</v>
      </c>
      <c r="N438" s="68" t="s">
        <v>65</v>
      </c>
    </row>
    <row r="439" spans="2:17" s="346" customFormat="1">
      <c r="B439" s="150"/>
      <c r="C439" s="16"/>
      <c r="D439" s="16"/>
      <c r="E439" s="76" t="s">
        <v>153</v>
      </c>
      <c r="F439" s="17" t="s">
        <v>106</v>
      </c>
      <c r="G439" s="17"/>
      <c r="H439" s="17" t="s">
        <v>38</v>
      </c>
      <c r="I439" s="17"/>
      <c r="J439" s="89"/>
      <c r="K439" s="183"/>
      <c r="L439" s="57"/>
      <c r="M439" s="116"/>
      <c r="N439" s="68"/>
    </row>
    <row r="440" spans="2:17" s="346" customFormat="1">
      <c r="B440" s="150" t="s">
        <v>154</v>
      </c>
      <c r="C440" s="16"/>
      <c r="D440" s="16"/>
      <c r="E440" s="111">
        <f>K506+K508</f>
        <v>12.200000000000001</v>
      </c>
      <c r="F440" s="74">
        <v>1</v>
      </c>
      <c r="G440" s="17"/>
      <c r="H440" s="74">
        <v>1</v>
      </c>
      <c r="I440" s="17"/>
      <c r="J440" s="89"/>
      <c r="K440" s="70">
        <f>E440*F440*H440</f>
        <v>12.200000000000001</v>
      </c>
      <c r="L440" s="57"/>
      <c r="M440" s="93"/>
      <c r="N440" s="68"/>
    </row>
    <row r="441" spans="2:17" s="346" customFormat="1">
      <c r="B441" s="150"/>
      <c r="C441" s="16"/>
      <c r="D441" s="16"/>
      <c r="E441" s="112"/>
      <c r="F441" s="17"/>
      <c r="G441" s="17"/>
      <c r="H441" s="17"/>
      <c r="I441" s="17"/>
      <c r="J441" s="89"/>
      <c r="K441" s="183"/>
      <c r="L441" s="57"/>
      <c r="M441" s="93"/>
      <c r="N441" s="68"/>
    </row>
    <row r="442" spans="2:17" s="346" customFormat="1" ht="15">
      <c r="B442" s="150"/>
      <c r="C442" s="16">
        <v>97644</v>
      </c>
      <c r="D442" s="16" t="s">
        <v>8</v>
      </c>
      <c r="E442" s="447" t="str">
        <f>IFERROR(VLOOKUP($C442,'SINAPI JULHO 2018'!$1:$1048576,2,0),IFERROR(VLOOKUP($C442,'5-COMP. PROPRIA'!$B$13:$I$518,4,0),""))</f>
        <v>REMOÇÃO DE PORTAS, DE FORMA MANUAL, SEM REAPROVEITAMENTO. AF_12/2017</v>
      </c>
      <c r="F442" s="448"/>
      <c r="G442" s="448"/>
      <c r="H442" s="448"/>
      <c r="I442" s="448"/>
      <c r="J442" s="449"/>
      <c r="K442" s="184">
        <f>SUM(K444)</f>
        <v>22.92</v>
      </c>
      <c r="L442" s="57" t="s">
        <v>25</v>
      </c>
      <c r="M442" s="52">
        <f>K442*0.15</f>
        <v>3.4380000000000002</v>
      </c>
      <c r="N442" s="68" t="s">
        <v>65</v>
      </c>
    </row>
    <row r="443" spans="2:17" s="346" customFormat="1">
      <c r="B443" s="150"/>
      <c r="C443" s="16"/>
      <c r="D443" s="16"/>
      <c r="E443" s="76" t="s">
        <v>153</v>
      </c>
      <c r="F443" s="17" t="s">
        <v>106</v>
      </c>
      <c r="G443" s="17"/>
      <c r="H443" s="17" t="s">
        <v>38</v>
      </c>
      <c r="I443" s="17"/>
      <c r="J443" s="275"/>
      <c r="K443" s="183"/>
      <c r="L443" s="57"/>
      <c r="M443" s="116"/>
      <c r="N443" s="68"/>
    </row>
    <row r="444" spans="2:17" s="346" customFormat="1">
      <c r="B444" s="150" t="s">
        <v>155</v>
      </c>
      <c r="C444" s="16"/>
      <c r="D444" s="16"/>
      <c r="E444" s="111">
        <f>K504</f>
        <v>22.92</v>
      </c>
      <c r="F444" s="74">
        <v>1</v>
      </c>
      <c r="G444" s="17"/>
      <c r="H444" s="74">
        <v>1</v>
      </c>
      <c r="I444" s="17"/>
      <c r="J444" s="275"/>
      <c r="K444" s="70">
        <f>E444*F444*H444</f>
        <v>22.92</v>
      </c>
      <c r="L444" s="57"/>
      <c r="M444" s="119"/>
      <c r="N444" s="68"/>
    </row>
    <row r="445" spans="2:17">
      <c r="B445" s="150"/>
      <c r="C445" s="16"/>
      <c r="D445" s="16"/>
      <c r="E445" s="112"/>
      <c r="F445" s="17"/>
      <c r="G445" s="17"/>
      <c r="H445" s="17"/>
      <c r="I445" s="17"/>
      <c r="J445" s="275"/>
      <c r="K445" s="183"/>
      <c r="L445" s="57"/>
      <c r="M445" s="119"/>
      <c r="N445" s="68"/>
    </row>
    <row r="446" spans="2:17" s="128" customFormat="1" ht="15">
      <c r="B446" s="150" t="s">
        <v>156</v>
      </c>
      <c r="C446" s="136" t="s">
        <v>157</v>
      </c>
      <c r="D446" s="16" t="s">
        <v>35</v>
      </c>
      <c r="E446" s="447" t="str">
        <f>IFERROR(VLOOKUP($C446,'SINAPI JULHO 2018'!$1:$1048576,2,0),IFERROR(VLOOKUP($C446,'5-COMP. PROPRIA'!$B$13:$I$518,4,0),""))</f>
        <v xml:space="preserve">REMOÇÃO DE PEÇAS DE SANITÁRIAS </v>
      </c>
      <c r="F446" s="448"/>
      <c r="G446" s="448"/>
      <c r="H446" s="448"/>
      <c r="I446" s="448"/>
      <c r="J446" s="449"/>
      <c r="K446" s="184">
        <f>SUM(H448:H448)</f>
        <v>15</v>
      </c>
      <c r="L446" s="57" t="s">
        <v>44</v>
      </c>
      <c r="M446" s="52">
        <f>K446*0.4*0.4*0.4</f>
        <v>0.96000000000000019</v>
      </c>
      <c r="N446" s="68" t="s">
        <v>65</v>
      </c>
    </row>
    <row r="447" spans="2:17">
      <c r="B447" s="150"/>
      <c r="C447" s="16"/>
      <c r="D447" s="16"/>
      <c r="E447" s="113"/>
      <c r="F447" s="17"/>
      <c r="G447" s="17"/>
      <c r="H447" s="67" t="s">
        <v>158</v>
      </c>
      <c r="I447" s="17"/>
      <c r="J447" s="275"/>
      <c r="K447" s="183"/>
      <c r="L447" s="57"/>
      <c r="M447" s="116"/>
      <c r="N447" s="68"/>
      <c r="O447" s="115"/>
      <c r="Q447" s="127"/>
    </row>
    <row r="448" spans="2:17">
      <c r="B448" s="150" t="s">
        <v>159</v>
      </c>
      <c r="C448" s="16"/>
      <c r="D448" s="16"/>
      <c r="E448" s="112"/>
      <c r="F448" s="17"/>
      <c r="G448" s="17"/>
      <c r="H448" s="74">
        <v>15</v>
      </c>
      <c r="I448" s="17"/>
      <c r="J448" s="275"/>
      <c r="K448" s="183"/>
      <c r="L448" s="57"/>
      <c r="M448" s="119"/>
      <c r="N448" s="68"/>
      <c r="O448" s="115"/>
      <c r="Q448" s="127"/>
    </row>
    <row r="449" spans="2:17" ht="15">
      <c r="B449" s="150"/>
      <c r="C449" s="16"/>
      <c r="D449" s="16"/>
      <c r="E449" s="276"/>
      <c r="F449" s="221"/>
      <c r="G449" s="221"/>
      <c r="H449" s="221"/>
      <c r="I449" s="221"/>
      <c r="J449" s="222"/>
      <c r="K449" s="184"/>
      <c r="L449" s="57"/>
      <c r="M449" s="93"/>
      <c r="N449" s="68"/>
      <c r="O449" s="115"/>
      <c r="Q449" s="127"/>
    </row>
    <row r="450" spans="2:17" ht="15">
      <c r="B450" s="150"/>
      <c r="C450" s="16">
        <v>72897</v>
      </c>
      <c r="D450" s="16" t="s">
        <v>8</v>
      </c>
      <c r="E450" s="447" t="str">
        <f>IFERROR(VLOOKUP($C450,'SINAPI JULHO 2018'!$1:$1048576,2,0),IFERROR(VLOOKUP($C450,'5-COMP. PROPRIA'!$B$13:$I$518,4,0),""))</f>
        <v>CARGA MANUAL DE ENTULHO EM CAMINHAO BASCULANTE 6 M3</v>
      </c>
      <c r="F450" s="448"/>
      <c r="G450" s="448"/>
      <c r="H450" s="448"/>
      <c r="I450" s="448"/>
      <c r="J450" s="449"/>
      <c r="K450" s="184">
        <f>K452</f>
        <v>26.1768</v>
      </c>
      <c r="L450" s="58" t="s">
        <v>65</v>
      </c>
      <c r="M450" s="93"/>
      <c r="N450" s="68"/>
      <c r="O450" s="115"/>
      <c r="Q450" s="127"/>
    </row>
    <row r="451" spans="2:17" ht="51">
      <c r="B451" s="152" t="s">
        <v>74</v>
      </c>
      <c r="E451" s="79" t="s">
        <v>75</v>
      </c>
      <c r="H451" s="67" t="s">
        <v>76</v>
      </c>
      <c r="J451" s="102"/>
      <c r="K451" s="70"/>
      <c r="N451" s="68"/>
      <c r="O451" s="115"/>
      <c r="Q451" s="127"/>
    </row>
    <row r="452" spans="2:17" ht="25.5">
      <c r="B452" s="150" t="s">
        <v>77</v>
      </c>
      <c r="E452" s="111">
        <f>M426+M430+M434+M438+M442+M446</f>
        <v>20.135999999999999</v>
      </c>
      <c r="H452" s="71">
        <v>1.3</v>
      </c>
      <c r="J452" s="102"/>
      <c r="K452" s="70">
        <f>E452*H452</f>
        <v>26.1768</v>
      </c>
      <c r="N452" s="68"/>
      <c r="O452" s="115"/>
      <c r="Q452" s="127"/>
    </row>
    <row r="453" spans="2:17">
      <c r="B453" s="150"/>
      <c r="E453" s="118"/>
      <c r="J453" s="102"/>
      <c r="K453" s="70"/>
      <c r="N453" s="68"/>
      <c r="O453" s="115"/>
      <c r="Q453" s="127"/>
    </row>
    <row r="454" spans="2:17" ht="35.25" customHeight="1">
      <c r="B454" s="150"/>
      <c r="C454" s="16">
        <v>97914</v>
      </c>
      <c r="D454" s="16" t="s">
        <v>8</v>
      </c>
      <c r="E454" s="447" t="str">
        <f>IFERROR(VLOOKUP($C454,'SINAPI JULHO 2018'!$1:$1048576,2,0),IFERROR(VLOOKUP($C454,'5-COMP. PROPRIA'!$B$13:$I$518,4,0),""))</f>
        <v>TRANSPORTE COM CAMINHÃO BASCULANTE DE 6 M3, EM VIA URBANA PAVIMENTADA, DMT ATÉ 30 KM (UNIDADE: M3XKM). AF_01/2018</v>
      </c>
      <c r="F454" s="448"/>
      <c r="G454" s="448"/>
      <c r="H454" s="448"/>
      <c r="I454" s="448"/>
      <c r="J454" s="449"/>
      <c r="K454" s="184">
        <f>SUM(K456:K456)</f>
        <v>196.32599999999999</v>
      </c>
      <c r="L454" s="57" t="s">
        <v>78</v>
      </c>
      <c r="M454" s="93"/>
      <c r="N454" s="68"/>
      <c r="O454" s="115"/>
      <c r="Q454" s="127"/>
    </row>
    <row r="455" spans="2:17" ht="25.5">
      <c r="B455" s="150" t="s">
        <v>79</v>
      </c>
      <c r="E455" s="79" t="s">
        <v>80</v>
      </c>
      <c r="H455" s="67" t="s">
        <v>81</v>
      </c>
      <c r="J455" s="102"/>
      <c r="N455" s="68"/>
      <c r="O455" s="115"/>
      <c r="Q455" s="127"/>
    </row>
    <row r="456" spans="2:17">
      <c r="B456" s="150"/>
      <c r="E456" s="112">
        <f>K450</f>
        <v>26.1768</v>
      </c>
      <c r="F456" s="57"/>
      <c r="G456" s="57"/>
      <c r="H456" s="105">
        <f>(5+10)/2</f>
        <v>7.5</v>
      </c>
      <c r="J456" s="68"/>
      <c r="K456" s="70">
        <f>H456*E456</f>
        <v>196.32599999999999</v>
      </c>
      <c r="N456" s="68"/>
      <c r="O456" s="115"/>
      <c r="Q456" s="127"/>
    </row>
    <row r="457" spans="2:17" ht="15">
      <c r="B457" s="150"/>
      <c r="E457" s="276"/>
      <c r="F457" s="221"/>
      <c r="G457" s="221"/>
      <c r="H457" s="221"/>
      <c r="I457" s="221"/>
      <c r="J457" s="222"/>
      <c r="K457" s="184"/>
      <c r="M457" s="93"/>
      <c r="N457" s="68"/>
      <c r="O457" s="115"/>
      <c r="Q457" s="127"/>
    </row>
    <row r="458" spans="2:17" ht="15">
      <c r="B458" s="268"/>
      <c r="C458" s="269"/>
      <c r="D458" s="269"/>
      <c r="E458" s="462" t="s">
        <v>160</v>
      </c>
      <c r="F458" s="463"/>
      <c r="G458" s="463"/>
      <c r="H458" s="463"/>
      <c r="I458" s="463"/>
      <c r="J458" s="464"/>
      <c r="K458" s="270"/>
      <c r="L458" s="271"/>
      <c r="M458" s="272"/>
      <c r="N458" s="273"/>
      <c r="O458" s="115"/>
      <c r="Q458" s="127"/>
    </row>
    <row r="459" spans="2:17" ht="15">
      <c r="B459" s="150"/>
      <c r="E459" s="276"/>
      <c r="F459" s="221"/>
      <c r="G459" s="221"/>
      <c r="H459" s="221"/>
      <c r="I459" s="221"/>
      <c r="J459" s="222"/>
      <c r="K459" s="184"/>
      <c r="M459" s="93"/>
      <c r="N459" s="68"/>
      <c r="O459" s="115"/>
      <c r="Q459" s="127"/>
    </row>
    <row r="460" spans="2:17" ht="15">
      <c r="B460" s="150" t="s">
        <v>161</v>
      </c>
      <c r="C460" s="26">
        <v>84084</v>
      </c>
      <c r="D460" s="16" t="s">
        <v>8</v>
      </c>
      <c r="E460" s="447" t="str">
        <f>IFERROR(VLOOKUP($C460,'SINAPI JULHO 2018'!$1:$1048576,2,0),IFERROR(VLOOKUP($C460,'5-COMP. PROPRIA'!$B$13:$I$518,4,0),""))</f>
        <v>APICOAMENTO MANUAL DE SUPERFICIE DE CONCRETO</v>
      </c>
      <c r="F460" s="448"/>
      <c r="G460" s="448"/>
      <c r="H460" s="448"/>
      <c r="I460" s="448"/>
      <c r="J460" s="449"/>
      <c r="K460" s="184">
        <f>687.3*0.2</f>
        <v>137.46</v>
      </c>
      <c r="L460" s="57" t="s">
        <v>145</v>
      </c>
      <c r="M460" s="93"/>
      <c r="N460" s="68"/>
      <c r="O460" s="115"/>
      <c r="Q460" s="127"/>
    </row>
    <row r="461" spans="2:17" ht="15">
      <c r="B461" s="150"/>
      <c r="E461" s="276"/>
      <c r="F461" s="221"/>
      <c r="G461" s="221"/>
      <c r="H461" s="221"/>
      <c r="I461" s="221"/>
      <c r="J461" s="222"/>
      <c r="K461" s="184"/>
      <c r="M461" s="93"/>
      <c r="N461" s="68"/>
      <c r="O461" s="115"/>
      <c r="Q461" s="127"/>
    </row>
    <row r="462" spans="2:17" ht="45.75" customHeight="1">
      <c r="B462" s="150" t="s">
        <v>161</v>
      </c>
      <c r="C462" s="26">
        <v>87529</v>
      </c>
      <c r="D462" s="16" t="s">
        <v>8</v>
      </c>
      <c r="E462" s="447" t="str">
        <f>IFERROR(VLOOKUP($C462,'SINAPI JULHO 2018'!$1:$1048576,2,0),IFERROR(VLOOKUP($C462,'5-COMP. PROPRIA'!$B$13:$I$518,4,0),""))</f>
        <v>MASSA ÚNICA, PARA RECEBIMENTO DE PINTURA, EM ARGAMASSA TRAÇO 1:2:8, PREPARO MECÂNICO COM BETONEIRA 400L, APLICADA MANUALMENTE EM FACES INTERNAS DE PAREDES, ESPESSURA DE 20MM, COM EXECUÇÃO DE TALISCAS. AF_06/2014</v>
      </c>
      <c r="F462" s="448"/>
      <c r="G462" s="448"/>
      <c r="H462" s="448"/>
      <c r="I462" s="448"/>
      <c r="J462" s="449"/>
      <c r="K462" s="184">
        <f>K460</f>
        <v>137.46</v>
      </c>
      <c r="L462" s="57" t="s">
        <v>145</v>
      </c>
      <c r="M462" s="93"/>
      <c r="N462" s="68"/>
      <c r="O462" s="115"/>
      <c r="Q462" s="127"/>
    </row>
    <row r="463" spans="2:17" ht="15">
      <c r="B463" s="150"/>
      <c r="E463" s="276"/>
      <c r="F463" s="221"/>
      <c r="G463" s="221"/>
      <c r="H463" s="221"/>
      <c r="I463" s="221"/>
      <c r="J463" s="222"/>
      <c r="K463" s="184"/>
      <c r="M463" s="93"/>
      <c r="N463" s="68"/>
      <c r="O463" s="115"/>
      <c r="Q463" s="127"/>
    </row>
    <row r="464" spans="2:17" ht="15">
      <c r="B464" s="150" t="s">
        <v>162</v>
      </c>
      <c r="C464" s="94" t="str">
        <f>'5-COMP. PROPRIA'!B211</f>
        <v>CP-LIX-01</v>
      </c>
      <c r="D464" s="16" t="s">
        <v>35</v>
      </c>
      <c r="E464" s="447" t="str">
        <f>IFERROR(VLOOKUP($C464,'SINAPI JULHO 2018'!$1:$1048576,2,0),IFERROR(VLOOKUP($C464,'5-COMP. PROPRIA'!$B$13:$I$518,4,0),""))</f>
        <v>LIXAMENTO MANUAL DE CONCRETO APARENTE</v>
      </c>
      <c r="F464" s="448"/>
      <c r="G464" s="448"/>
      <c r="H464" s="448"/>
      <c r="I464" s="448"/>
      <c r="J464" s="449"/>
      <c r="K464" s="184">
        <v>687.30000000000018</v>
      </c>
      <c r="L464" s="57" t="s">
        <v>145</v>
      </c>
      <c r="M464" s="93"/>
      <c r="N464" s="68"/>
      <c r="O464" s="115"/>
      <c r="Q464" s="127"/>
    </row>
    <row r="465" spans="2:17" ht="15">
      <c r="B465" s="150"/>
      <c r="E465" s="276"/>
      <c r="F465" s="221"/>
      <c r="G465" s="221"/>
      <c r="H465" s="221"/>
      <c r="I465" s="221"/>
      <c r="J465" s="222"/>
      <c r="K465" s="184"/>
      <c r="M465" s="93"/>
      <c r="N465" s="68"/>
      <c r="O465" s="115"/>
      <c r="Q465" s="127"/>
    </row>
    <row r="466" spans="2:17" ht="15">
      <c r="B466" s="150" t="s">
        <v>162</v>
      </c>
      <c r="C466" s="26">
        <v>88495</v>
      </c>
      <c r="D466" s="16" t="s">
        <v>8</v>
      </c>
      <c r="E466" s="447" t="str">
        <f>IFERROR(VLOOKUP($C466,'SINAPI JULHO 2018'!$1:$1048576,2,0),IFERROR(VLOOKUP($C466,'5-COMP. PROPRIA'!$B$13:$I$518,4,0),""))</f>
        <v>APLICAÇÃO E LIXAMENTO DE MASSA LÁTEX EM PAREDES, UMA DEMÃO. AF_06/2014</v>
      </c>
      <c r="F466" s="448"/>
      <c r="G466" s="448"/>
      <c r="H466" s="448"/>
      <c r="I466" s="448"/>
      <c r="J466" s="449"/>
      <c r="K466" s="184">
        <f>K464</f>
        <v>687.30000000000018</v>
      </c>
      <c r="L466" s="57" t="s">
        <v>145</v>
      </c>
      <c r="M466" s="93"/>
      <c r="N466" s="68"/>
      <c r="O466" s="115"/>
      <c r="Q466" s="127"/>
    </row>
    <row r="467" spans="2:17" ht="15">
      <c r="B467" s="150"/>
      <c r="E467" s="276"/>
      <c r="F467" s="221"/>
      <c r="G467" s="221"/>
      <c r="H467" s="221"/>
      <c r="I467" s="221"/>
      <c r="J467" s="222"/>
      <c r="K467" s="184"/>
      <c r="M467" s="93"/>
      <c r="N467" s="68"/>
      <c r="O467" s="115"/>
      <c r="Q467" s="127"/>
    </row>
    <row r="468" spans="2:17" ht="15">
      <c r="B468" s="150" t="s">
        <v>163</v>
      </c>
      <c r="C468" s="26">
        <v>88487</v>
      </c>
      <c r="D468" s="16" t="s">
        <v>8</v>
      </c>
      <c r="E468" s="447" t="str">
        <f>IFERROR(VLOOKUP($C468,'SINAPI JULHO 2018'!$1:$1048576,2,0),IFERROR(VLOOKUP($C468,'5-COMP. PROPRIA'!$B$13:$I$518,4,0),""))</f>
        <v>APLICAÇÃO MANUAL DE PINTURA COM TINTA LÁTEX PVA EM PAREDES, DUAS DEMÃOS. AF_06/2014</v>
      </c>
      <c r="F468" s="448"/>
      <c r="G468" s="448"/>
      <c r="H468" s="448"/>
      <c r="I468" s="448"/>
      <c r="J468" s="449"/>
      <c r="K468" s="184">
        <f>((K466)/3)*2</f>
        <v>458.2000000000001</v>
      </c>
      <c r="L468" s="57" t="s">
        <v>145</v>
      </c>
      <c r="M468" s="93"/>
      <c r="N468" s="68"/>
      <c r="O468" s="115"/>
      <c r="Q468" s="127"/>
    </row>
    <row r="469" spans="2:17" ht="15">
      <c r="B469" s="150"/>
      <c r="E469" s="276"/>
      <c r="F469" s="221"/>
      <c r="G469" s="221"/>
      <c r="H469" s="221"/>
      <c r="I469" s="221"/>
      <c r="J469" s="222"/>
      <c r="K469" s="184"/>
      <c r="M469" s="93"/>
      <c r="N469" s="68"/>
      <c r="O469" s="115"/>
      <c r="Q469" s="127"/>
    </row>
    <row r="470" spans="2:17" ht="15">
      <c r="B470" s="150" t="s">
        <v>164</v>
      </c>
      <c r="C470" s="94" t="str">
        <f>'5-COMP. PROPRIA'!B228</f>
        <v>CP-PIN-02</v>
      </c>
      <c r="D470" s="16" t="s">
        <v>35</v>
      </c>
      <c r="E470" s="447" t="str">
        <f>IFERROR(VLOOKUP($C470,'SINAPI JULHO 2018'!$1:$1048576,2,0),IFERROR(VLOOKUP($C470,'5-COMP. PROPRIA'!$B$13:$I$518,4,0),""))</f>
        <v xml:space="preserve">PINTURA COM TINTA ESMALTE SINTÉTICO </v>
      </c>
      <c r="F470" s="448"/>
      <c r="G470" s="448"/>
      <c r="H470" s="448"/>
      <c r="I470" s="448"/>
      <c r="J470" s="449"/>
      <c r="K470" s="184">
        <f>((K464)/3)*1.2</f>
        <v>274.92000000000007</v>
      </c>
      <c r="L470" s="57" t="s">
        <v>145</v>
      </c>
      <c r="M470" s="93"/>
      <c r="N470" s="68"/>
      <c r="O470" s="115"/>
      <c r="Q470" s="127"/>
    </row>
    <row r="471" spans="2:17" ht="15">
      <c r="B471" s="150"/>
      <c r="E471" s="276"/>
      <c r="F471" s="221"/>
      <c r="G471" s="221"/>
      <c r="H471" s="221"/>
      <c r="I471" s="221"/>
      <c r="J471" s="222"/>
      <c r="K471" s="184"/>
      <c r="M471" s="93"/>
      <c r="N471" s="68"/>
      <c r="O471" s="115"/>
      <c r="Q471" s="127"/>
    </row>
    <row r="472" spans="2:17" ht="15">
      <c r="B472" s="268"/>
      <c r="C472" s="269"/>
      <c r="D472" s="269"/>
      <c r="E472" s="462" t="s">
        <v>165</v>
      </c>
      <c r="F472" s="463"/>
      <c r="G472" s="463"/>
      <c r="H472" s="463"/>
      <c r="I472" s="463"/>
      <c r="J472" s="464"/>
      <c r="K472" s="270"/>
      <c r="L472" s="271"/>
      <c r="M472" s="272"/>
      <c r="N472" s="273"/>
      <c r="O472" s="115"/>
      <c r="Q472" s="127"/>
    </row>
    <row r="473" spans="2:17" ht="15">
      <c r="B473" s="150"/>
      <c r="E473" s="276"/>
      <c r="F473" s="221"/>
      <c r="G473" s="221"/>
      <c r="H473" s="221"/>
      <c r="I473" s="221"/>
      <c r="J473" s="222"/>
      <c r="K473" s="184"/>
      <c r="M473" s="93"/>
      <c r="N473" s="68"/>
      <c r="O473" s="115"/>
      <c r="Q473" s="127"/>
    </row>
    <row r="474" spans="2:17" ht="15">
      <c r="B474" s="150" t="s">
        <v>166</v>
      </c>
      <c r="C474" s="26">
        <v>84084</v>
      </c>
      <c r="D474" s="16" t="s">
        <v>8</v>
      </c>
      <c r="E474" s="447" t="str">
        <f>IFERROR(VLOOKUP($C474,'SINAPI JULHO 2018'!$1:$1048576,2,0),IFERROR(VLOOKUP($C474,'5-COMP. PROPRIA'!$B$13:$I$518,4,0),""))</f>
        <v>APICOAMENTO MANUAL DE SUPERFICIE DE CONCRETO</v>
      </c>
      <c r="F474" s="448"/>
      <c r="G474" s="448"/>
      <c r="H474" s="448"/>
      <c r="I474" s="448"/>
      <c r="J474" s="449"/>
      <c r="K474" s="184">
        <f>246.45*0.7</f>
        <v>172.51499999999999</v>
      </c>
      <c r="L474" s="57" t="s">
        <v>145</v>
      </c>
      <c r="M474" s="93"/>
      <c r="N474" s="68"/>
      <c r="O474" s="115"/>
      <c r="Q474" s="127"/>
    </row>
    <row r="475" spans="2:17" ht="15">
      <c r="B475" s="150"/>
      <c r="E475" s="276"/>
      <c r="F475" s="221"/>
      <c r="G475" s="221"/>
      <c r="H475" s="221"/>
      <c r="I475" s="221"/>
      <c r="J475" s="222"/>
      <c r="K475" s="184"/>
      <c r="M475" s="93"/>
      <c r="N475" s="68"/>
      <c r="O475" s="115"/>
      <c r="Q475" s="127"/>
    </row>
    <row r="476" spans="2:17" ht="42" customHeight="1">
      <c r="B476" s="150" t="s">
        <v>166</v>
      </c>
      <c r="C476" s="26">
        <v>87529</v>
      </c>
      <c r="D476" s="16" t="s">
        <v>8</v>
      </c>
      <c r="E476" s="447" t="str">
        <f>IFERROR(VLOOKUP($C476,'SINAPI JULHO 2018'!$1:$1048576,2,0),IFERROR(VLOOKUP($C476,'5-COMP. PROPRIA'!$B$13:$I$518,4,0),""))</f>
        <v>MASSA ÚNICA, PARA RECEBIMENTO DE PINTURA, EM ARGAMASSA TRAÇO 1:2:8, PREPARO MECÂNICO COM BETONEIRA 400L, APLICADA MANUALMENTE EM FACES INTERNAS DE PAREDES, ESPESSURA DE 20MM, COM EXECUÇÃO DE TALISCAS. AF_06/2014</v>
      </c>
      <c r="F476" s="448"/>
      <c r="G476" s="448"/>
      <c r="H476" s="448"/>
      <c r="I476" s="448"/>
      <c r="J476" s="449"/>
      <c r="K476" s="184">
        <f>K474</f>
        <v>172.51499999999999</v>
      </c>
      <c r="L476" s="57" t="s">
        <v>145</v>
      </c>
      <c r="M476" s="93"/>
      <c r="N476" s="68"/>
      <c r="O476" s="115"/>
      <c r="Q476" s="127"/>
    </row>
    <row r="477" spans="2:17" ht="15">
      <c r="B477" s="150"/>
      <c r="D477" s="16"/>
      <c r="E477" s="276"/>
      <c r="F477" s="221"/>
      <c r="G477" s="221"/>
      <c r="H477" s="221"/>
      <c r="I477" s="221"/>
      <c r="J477" s="222"/>
      <c r="K477" s="184"/>
      <c r="L477" s="57"/>
      <c r="M477" s="93"/>
      <c r="N477" s="68"/>
      <c r="O477" s="115"/>
      <c r="Q477" s="127"/>
    </row>
    <row r="478" spans="2:17" ht="15">
      <c r="B478" s="150" t="s">
        <v>162</v>
      </c>
      <c r="C478" s="94" t="s">
        <v>167</v>
      </c>
      <c r="D478" s="16" t="s">
        <v>35</v>
      </c>
      <c r="E478" s="447" t="str">
        <f>IFERROR(VLOOKUP($C478,'SINAPI JULHO 2018'!$1:$1048576,2,0),IFERROR(VLOOKUP($C478,'5-COMP. PROPRIA'!$B$13:$I$518,4,0),""))</f>
        <v>LIXAMENTO MANUAL DE CONCRETO APARENTE</v>
      </c>
      <c r="F478" s="448"/>
      <c r="G478" s="448"/>
      <c r="H478" s="448"/>
      <c r="I478" s="448"/>
      <c r="J478" s="449"/>
      <c r="K478" s="184">
        <v>246.44999999999996</v>
      </c>
      <c r="L478" s="57" t="s">
        <v>145</v>
      </c>
      <c r="M478" s="93"/>
      <c r="N478" s="68"/>
      <c r="O478" s="115"/>
      <c r="Q478" s="127"/>
    </row>
    <row r="479" spans="2:17" ht="15">
      <c r="B479" s="150"/>
      <c r="E479" s="276"/>
      <c r="F479" s="221"/>
      <c r="G479" s="221"/>
      <c r="H479" s="221"/>
      <c r="I479" s="221"/>
      <c r="J479" s="222"/>
      <c r="K479" s="184"/>
      <c r="M479" s="93"/>
      <c r="N479" s="68"/>
      <c r="O479" s="115"/>
      <c r="Q479" s="127"/>
    </row>
    <row r="480" spans="2:17" ht="15">
      <c r="B480" s="150" t="str">
        <f>B478</f>
        <v>TODA AREA</v>
      </c>
      <c r="C480" s="26">
        <v>96130</v>
      </c>
      <c r="D480" s="16" t="s">
        <v>8</v>
      </c>
      <c r="E480" s="447" t="str">
        <f>IFERROR(VLOOKUP($C480,'SINAPI JULHO 2018'!$1:$1048576,2,0),IFERROR(VLOOKUP($C480,'5-COMP. PROPRIA'!$B$13:$I$518,4,0),""))</f>
        <v>APLICAÇÃO MANUAL DE MASSA ACRÍLICA EM PAREDES EXTERNAS DE CASAS, UMA DEMÃO. AF_05/2017</v>
      </c>
      <c r="F480" s="448"/>
      <c r="G480" s="448"/>
      <c r="H480" s="448"/>
      <c r="I480" s="448"/>
      <c r="J480" s="449"/>
      <c r="K480" s="184">
        <v>246.44999999999996</v>
      </c>
      <c r="L480" s="57" t="s">
        <v>145</v>
      </c>
      <c r="M480" s="93"/>
      <c r="N480" s="68"/>
      <c r="O480" s="115"/>
      <c r="Q480" s="127"/>
    </row>
    <row r="481" spans="2:17" ht="15">
      <c r="B481" s="150"/>
      <c r="E481" s="276"/>
      <c r="F481" s="221"/>
      <c r="G481" s="221"/>
      <c r="H481" s="221"/>
      <c r="I481" s="221"/>
      <c r="J481" s="222"/>
      <c r="K481" s="184"/>
      <c r="M481" s="93"/>
      <c r="N481" s="68"/>
      <c r="O481" s="115"/>
      <c r="Q481" s="127"/>
    </row>
    <row r="482" spans="2:17" ht="15">
      <c r="B482" s="150" t="s">
        <v>163</v>
      </c>
      <c r="C482" s="26">
        <v>88489</v>
      </c>
      <c r="D482" s="16" t="s">
        <v>8</v>
      </c>
      <c r="E482" s="447" t="str">
        <f>IFERROR(VLOOKUP($C482,'SINAPI JULHO 2018'!$1:$1048576,2,0),IFERROR(VLOOKUP($C482,'5-COMP. PROPRIA'!$B$13:$I$518,4,0),""))</f>
        <v>APLICAÇÃO MANUAL DE PINTURA COM TINTA LÁTEX ACRÍLICA EM PAREDES, DUAS DEMÃOS. AF_06/2014</v>
      </c>
      <c r="F482" s="448"/>
      <c r="G482" s="448"/>
      <c r="H482" s="448"/>
      <c r="I482" s="448"/>
      <c r="J482" s="449"/>
      <c r="K482" s="184">
        <f>((K480)/3)*2</f>
        <v>164.29999999999998</v>
      </c>
      <c r="L482" s="57" t="s">
        <v>145</v>
      </c>
      <c r="M482" s="93"/>
      <c r="N482" s="68"/>
      <c r="O482" s="115"/>
      <c r="Q482" s="127"/>
    </row>
    <row r="483" spans="2:17" ht="15">
      <c r="B483" s="150"/>
      <c r="E483" s="276"/>
      <c r="F483" s="221"/>
      <c r="G483" s="221"/>
      <c r="H483" s="221"/>
      <c r="I483" s="221"/>
      <c r="J483" s="222"/>
      <c r="K483" s="184"/>
      <c r="M483" s="93"/>
      <c r="N483" s="68"/>
      <c r="O483" s="115"/>
      <c r="Q483" s="127"/>
    </row>
    <row r="484" spans="2:17" ht="15">
      <c r="B484" s="150" t="s">
        <v>164</v>
      </c>
      <c r="C484" s="94" t="s">
        <v>168</v>
      </c>
      <c r="D484" s="16" t="s">
        <v>35</v>
      </c>
      <c r="E484" s="447" t="str">
        <f>IFERROR(VLOOKUP($C484,'SINAPI JULHO 2018'!$1:$1048576,2,0),IFERROR(VLOOKUP($C484,'5-COMP. PROPRIA'!$B$13:$I$518,4,0),""))</f>
        <v xml:space="preserve">PINTURA COM TINTA ESMALTE SINTÉTICO </v>
      </c>
      <c r="F484" s="448"/>
      <c r="G484" s="448"/>
      <c r="H484" s="448"/>
      <c r="I484" s="448"/>
      <c r="J484" s="449"/>
      <c r="K484" s="184">
        <f>((K478)/3)*1.2</f>
        <v>98.579999999999984</v>
      </c>
      <c r="L484" s="57" t="s">
        <v>145</v>
      </c>
      <c r="M484" s="93"/>
      <c r="N484" s="68"/>
      <c r="O484" s="115"/>
      <c r="Q484" s="127"/>
    </row>
    <row r="485" spans="2:17" ht="15">
      <c r="B485" s="150"/>
      <c r="E485" s="276"/>
      <c r="F485" s="221"/>
      <c r="G485" s="221"/>
      <c r="H485" s="221"/>
      <c r="I485" s="221"/>
      <c r="J485" s="222"/>
      <c r="K485" s="184"/>
      <c r="M485" s="93"/>
      <c r="N485" s="68"/>
      <c r="O485" s="115"/>
      <c r="Q485" s="127"/>
    </row>
    <row r="486" spans="2:17" ht="15">
      <c r="B486" s="268"/>
      <c r="C486" s="269"/>
      <c r="D486" s="269"/>
      <c r="E486" s="462" t="s">
        <v>169</v>
      </c>
      <c r="F486" s="463"/>
      <c r="G486" s="463"/>
      <c r="H486" s="463"/>
      <c r="I486" s="463"/>
      <c r="J486" s="464"/>
      <c r="K486" s="270"/>
      <c r="L486" s="271"/>
      <c r="M486" s="272"/>
      <c r="N486" s="273"/>
      <c r="O486" s="115"/>
      <c r="Q486" s="127"/>
    </row>
    <row r="487" spans="2:17" ht="15">
      <c r="B487" s="150"/>
      <c r="E487" s="276"/>
      <c r="F487" s="221"/>
      <c r="G487" s="221"/>
      <c r="H487" s="221"/>
      <c r="I487" s="221"/>
      <c r="J487" s="222"/>
      <c r="K487" s="184"/>
      <c r="M487" s="93"/>
      <c r="N487" s="68"/>
      <c r="O487" s="115"/>
      <c r="Q487" s="127"/>
    </row>
    <row r="488" spans="2:17" ht="57" customHeight="1">
      <c r="B488" s="150" t="s">
        <v>170</v>
      </c>
      <c r="C488" s="26">
        <v>72110</v>
      </c>
      <c r="D488" s="26" t="s">
        <v>8</v>
      </c>
      <c r="E488" s="447" t="str">
        <f>IFERROR(VLOOKUP($C488,'SINAPI JULHO 2018'!$1:$1048576,2,0),IFERROR(VLOOKUP($C488,'5-COMP. PROPRIA'!$B$13:$I$518,4,0),""))</f>
        <v>ESTRUTURA METALICA EM TESOURAS OU TRELICAS, VAO LIVRE DE 12M, FORNECIMENTO E MONTAGEM, NAO SENDO CONSIDERADOS OS FECHAMENTOS METALICOS, AS COLUNAS, OS SERVICOS GERAIS EM ALVENARIA E CONCRETO, AS TELHAS DE COBERTURA E A PINTURA DE ACABAMENTO</v>
      </c>
      <c r="F488" s="448"/>
      <c r="G488" s="448"/>
      <c r="H488" s="448"/>
      <c r="I488" s="448"/>
      <c r="J488" s="449"/>
      <c r="K488" s="184">
        <v>206.8</v>
      </c>
      <c r="L488" s="57" t="s">
        <v>25</v>
      </c>
      <c r="M488" s="93"/>
      <c r="N488" s="68"/>
      <c r="O488" s="115"/>
      <c r="Q488" s="127"/>
    </row>
    <row r="489" spans="2:17">
      <c r="B489" s="150"/>
      <c r="E489" s="118"/>
      <c r="G489" s="231"/>
      <c r="J489" s="102"/>
      <c r="M489" s="93"/>
      <c r="N489" s="68"/>
      <c r="O489" s="115"/>
      <c r="Q489" s="127"/>
    </row>
    <row r="490" spans="2:17" ht="45.75" customHeight="1">
      <c r="B490" s="150" t="str">
        <f>B488</f>
        <v>BILHETERIA + VESTIARIOS A E B INCLUSO BEIRAIS</v>
      </c>
      <c r="C490" s="26">
        <v>92569</v>
      </c>
      <c r="D490" s="26" t="s">
        <v>8</v>
      </c>
      <c r="E490" s="447" t="str">
        <f>IFERROR(VLOOKUP($C490,'SINAPI JULHO 2018'!$1:$1048576,2,0),IFERROR(VLOOKUP($C490,'5-COMP. PROPRIA'!$B$13:$I$518,4,0),""))</f>
        <v>TRAMA DE AÇO COMPOSTA POR RIPAS E CAIBROS PARA TELHADOS DE ATÉ 2 ÁGUAS PARA TELHA DE ENCAIXE DE CERÂMICA OU DE CONCRETO, INCLUSO TRANSPORTE VERTICAL. AF_12/2015</v>
      </c>
      <c r="F490" s="448"/>
      <c r="G490" s="448"/>
      <c r="H490" s="448"/>
      <c r="I490" s="448"/>
      <c r="J490" s="449"/>
      <c r="K490" s="184">
        <f>K488</f>
        <v>206.8</v>
      </c>
      <c r="L490" s="57" t="s">
        <v>25</v>
      </c>
      <c r="M490" s="93"/>
      <c r="N490" s="68"/>
      <c r="O490" s="115"/>
      <c r="Q490" s="127"/>
    </row>
    <row r="491" spans="2:17" ht="15">
      <c r="B491" s="150"/>
      <c r="E491" s="276"/>
      <c r="F491" s="221"/>
      <c r="G491" s="221"/>
      <c r="H491" s="221"/>
      <c r="I491" s="221"/>
      <c r="J491" s="222"/>
      <c r="K491" s="184"/>
      <c r="L491" s="57"/>
      <c r="M491" s="93"/>
      <c r="N491" s="68"/>
      <c r="O491" s="115"/>
      <c r="Q491" s="127"/>
    </row>
    <row r="492" spans="2:17" ht="25.5">
      <c r="B492" s="150" t="str">
        <f>B490</f>
        <v>BILHETERIA + VESTIARIOS A E B INCLUSO BEIRAIS</v>
      </c>
      <c r="C492" s="94" t="str">
        <f>'5-COMP. PROPRIA'!B216</f>
        <v>CP-LIX-02</v>
      </c>
      <c r="D492" s="16" t="s">
        <v>35</v>
      </c>
      <c r="E492" s="447" t="str">
        <f>IFERROR(VLOOKUP($C492,'SINAPI JULHO 2018'!$1:$1048576,2,0),IFERROR(VLOOKUP($C492,'5-COMP. PROPRIA'!$B$13:$I$518,4,0),""))</f>
        <v xml:space="preserve">LIXAMENTO DE SUPERFICIE METÁLICA </v>
      </c>
      <c r="F492" s="448"/>
      <c r="G492" s="448"/>
      <c r="H492" s="448"/>
      <c r="I492" s="448"/>
      <c r="J492" s="449"/>
      <c r="K492" s="184">
        <f>K488*2</f>
        <v>413.6</v>
      </c>
      <c r="L492" s="57" t="s">
        <v>25</v>
      </c>
      <c r="M492" s="93"/>
      <c r="N492" s="68"/>
      <c r="O492" s="115"/>
      <c r="Q492" s="127"/>
    </row>
    <row r="493" spans="2:17" ht="15">
      <c r="B493" s="150"/>
      <c r="E493" s="276"/>
      <c r="F493" s="221"/>
      <c r="G493" s="221"/>
      <c r="H493" s="221"/>
      <c r="I493" s="221"/>
      <c r="J493" s="222"/>
      <c r="K493" s="184"/>
      <c r="L493" s="57"/>
      <c r="M493" s="93"/>
      <c r="N493" s="68"/>
      <c r="O493" s="115"/>
      <c r="Q493" s="127"/>
    </row>
    <row r="494" spans="2:17" ht="25.5">
      <c r="B494" s="150" t="str">
        <f>B492</f>
        <v>BILHETERIA + VESTIARIOS A E B INCLUSO BEIRAIS</v>
      </c>
      <c r="C494" s="94" t="s">
        <v>142</v>
      </c>
      <c r="D494" s="26" t="s">
        <v>8</v>
      </c>
      <c r="E494" s="447" t="str">
        <f>IFERROR(VLOOKUP($C494,'SINAPI JULHO 2018'!$1:$1048576,2,0),IFERROR(VLOOKUP($C494,'5-COMP. PROPRIA'!$B$13:$I$518,4,0),""))</f>
        <v>PINTURA ESMALTE ALTO BRILHO, DUAS DEMAOS, SOBRE SUPERFICIE METALICA</v>
      </c>
      <c r="F494" s="448"/>
      <c r="G494" s="448"/>
      <c r="H494" s="448"/>
      <c r="I494" s="448"/>
      <c r="J494" s="449"/>
      <c r="K494" s="184">
        <f>K492</f>
        <v>413.6</v>
      </c>
      <c r="L494" s="57" t="s">
        <v>25</v>
      </c>
      <c r="M494" s="93"/>
      <c r="N494" s="68"/>
      <c r="O494" s="115"/>
      <c r="Q494" s="127"/>
    </row>
    <row r="495" spans="2:17" ht="15">
      <c r="B495" s="150"/>
      <c r="E495" s="276"/>
      <c r="F495" s="221"/>
      <c r="G495" s="221"/>
      <c r="H495" s="221"/>
      <c r="I495" s="221"/>
      <c r="J495" s="222"/>
      <c r="K495" s="184"/>
      <c r="L495" s="57"/>
      <c r="M495" s="93"/>
      <c r="N495" s="68"/>
      <c r="O495" s="115"/>
      <c r="Q495" s="127"/>
    </row>
    <row r="496" spans="2:17" ht="42.75" customHeight="1">
      <c r="B496" s="150" t="str">
        <f>B494</f>
        <v>BILHETERIA + VESTIARIOS A E B INCLUSO BEIRAIS</v>
      </c>
      <c r="C496" s="26">
        <v>94210</v>
      </c>
      <c r="D496" s="26" t="s">
        <v>8</v>
      </c>
      <c r="E496" s="447" t="str">
        <f>IFERROR(VLOOKUP($C496,'SINAPI JULHO 2018'!$1:$1048576,2,0),IFERROR(VLOOKUP($C496,'5-COMP. PROPRIA'!$B$13:$I$518,4,0),""))</f>
        <v>TELHAMENTO COM TELHA ONDULADA DE FIBROCIMENTO E = 6 MM, COM RECOBRIMENTO LATERAL DE 1 1/4 DE ONDA PARA TELHADO COM INCLINAÇÃO MÁXIMA DE 10°, COM ATÉ 2 ÁGUAS, INCLUSO IÇAMENTO. AF_06/2016</v>
      </c>
      <c r="F496" s="448"/>
      <c r="G496" s="448"/>
      <c r="H496" s="448"/>
      <c r="I496" s="448"/>
      <c r="J496" s="449"/>
      <c r="K496" s="184">
        <f>K490</f>
        <v>206.8</v>
      </c>
      <c r="L496" s="57" t="s">
        <v>25</v>
      </c>
      <c r="M496" s="93"/>
      <c r="N496" s="68"/>
      <c r="O496" s="115"/>
      <c r="Q496" s="127"/>
    </row>
    <row r="497" spans="2:17">
      <c r="B497" s="150"/>
      <c r="E497" s="118"/>
      <c r="G497" s="231"/>
      <c r="J497" s="102"/>
      <c r="M497" s="93"/>
      <c r="N497" s="68"/>
      <c r="O497" s="115"/>
      <c r="Q497" s="127"/>
    </row>
    <row r="498" spans="2:17" ht="36.75" customHeight="1">
      <c r="B498" s="150" t="s">
        <v>171</v>
      </c>
      <c r="C498" s="26">
        <v>94231</v>
      </c>
      <c r="D498" s="26" t="s">
        <v>8</v>
      </c>
      <c r="E498" s="447" t="str">
        <f>IFERROR(VLOOKUP($C498,'SINAPI JULHO 2018'!$1:$1048576,2,0),IFERROR(VLOOKUP($C498,'5-COMP. PROPRIA'!$B$13:$I$518,4,0),""))</f>
        <v>RUFO EM CHAPA DE AÇO GALVANIZADO NÚMERO 24, CORTE DE 25 CM, INCLUSO TRANSPORTE VERTICAL. AF_06/2016</v>
      </c>
      <c r="F498" s="448"/>
      <c r="G498" s="448"/>
      <c r="H498" s="448"/>
      <c r="I498" s="448"/>
      <c r="J498" s="449"/>
      <c r="K498" s="184">
        <v>54</v>
      </c>
      <c r="L498" s="57" t="s">
        <v>172</v>
      </c>
      <c r="M498" s="93"/>
      <c r="N498" s="68"/>
      <c r="O498" s="115"/>
      <c r="Q498" s="127"/>
    </row>
    <row r="499" spans="2:17" ht="15">
      <c r="B499" s="150"/>
      <c r="E499" s="276"/>
      <c r="F499" s="221"/>
      <c r="G499" s="221"/>
      <c r="H499" s="221"/>
      <c r="I499" s="221"/>
      <c r="J499" s="222"/>
      <c r="K499" s="184"/>
      <c r="L499" s="57"/>
      <c r="M499" s="93"/>
      <c r="N499" s="68"/>
      <c r="O499" s="115"/>
      <c r="Q499" s="127"/>
    </row>
    <row r="500" spans="2:17" s="128" customFormat="1" ht="45.75" customHeight="1">
      <c r="B500" s="150" t="str">
        <f>B498</f>
        <v xml:space="preserve">BILHETERIA + VESTIARIOS A E B </v>
      </c>
      <c r="C500" s="16">
        <v>96116</v>
      </c>
      <c r="D500" s="16" t="s">
        <v>8</v>
      </c>
      <c r="E500" s="447" t="str">
        <f>IFERROR(VLOOKUP($C500,'SINAPI JULHO 2018'!$1:$1048576,2,0),IFERROR(VLOOKUP($C500,'5-COMP. PROPRIA'!$B$13:$I$518,4,0),""))</f>
        <v>FORRO EM RÉGUAS DE PVC, FRISADO, PARA AMBIENTES COMERCIAIS, INCLUSIVE ESTRUTURA DE FIXAÇÃO. AF_05/2017_P</v>
      </c>
      <c r="F500" s="448"/>
      <c r="G500" s="448"/>
      <c r="H500" s="448"/>
      <c r="I500" s="448"/>
      <c r="J500" s="449"/>
      <c r="K500" s="184">
        <v>180.65</v>
      </c>
      <c r="L500" s="57" t="s">
        <v>25</v>
      </c>
      <c r="M500" s="93"/>
      <c r="N500" s="68"/>
      <c r="O500" s="115"/>
      <c r="Q500" s="348"/>
    </row>
    <row r="501" spans="2:17" ht="15">
      <c r="B501" s="150"/>
      <c r="E501" s="276"/>
      <c r="F501" s="221"/>
      <c r="G501" s="221"/>
      <c r="H501" s="221"/>
      <c r="I501" s="221"/>
      <c r="J501" s="222"/>
      <c r="K501" s="184"/>
      <c r="M501" s="93"/>
      <c r="N501" s="68"/>
      <c r="O501" s="115"/>
      <c r="Q501" s="127"/>
    </row>
    <row r="502" spans="2:17" ht="15">
      <c r="B502" s="268"/>
      <c r="C502" s="269"/>
      <c r="D502" s="269"/>
      <c r="E502" s="462" t="s">
        <v>173</v>
      </c>
      <c r="F502" s="463"/>
      <c r="G502" s="463"/>
      <c r="H502" s="463"/>
      <c r="I502" s="463"/>
      <c r="J502" s="464"/>
      <c r="K502" s="270"/>
      <c r="L502" s="271"/>
      <c r="M502" s="272"/>
      <c r="N502" s="273"/>
      <c r="O502" s="115"/>
      <c r="Q502" s="127"/>
    </row>
    <row r="503" spans="2:17" ht="15">
      <c r="B503" s="150"/>
      <c r="E503" s="276"/>
      <c r="F503" s="221"/>
      <c r="G503" s="221"/>
      <c r="H503" s="221"/>
      <c r="I503" s="221"/>
      <c r="J503" s="222"/>
      <c r="K503" s="184"/>
      <c r="M503" s="93"/>
      <c r="N503" s="68"/>
      <c r="O503" s="115"/>
      <c r="Q503" s="127"/>
    </row>
    <row r="504" spans="2:17" ht="33" customHeight="1">
      <c r="B504" s="150"/>
      <c r="C504" s="94">
        <v>91341</v>
      </c>
      <c r="D504" s="26" t="s">
        <v>8</v>
      </c>
      <c r="E504" s="447" t="str">
        <f>IFERROR(VLOOKUP($C504,'SINAPI JULHO 2018'!$1:$1048576,2,0),IFERROR(VLOOKUP($C504,'5-COMP. PROPRIA'!$B$13:$I$518,4,0),""))</f>
        <v>PORTA EM ALUMÍNIO DE ABRIR TIPO VENEZIANA COM GUARNIÇÃO, FIXAÇÃO COM PARAFUSOS - FORNECIMENTO E INSTALAÇÃO. AF_08/2015</v>
      </c>
      <c r="F504" s="448"/>
      <c r="G504" s="448"/>
      <c r="H504" s="448"/>
      <c r="I504" s="448"/>
      <c r="J504" s="449"/>
      <c r="K504" s="184">
        <f>(0.6*2.1*4)+(0.8*2.1*10)+(0.6*1.8*1)</f>
        <v>22.92</v>
      </c>
      <c r="L504" s="57" t="s">
        <v>25</v>
      </c>
      <c r="M504" s="345"/>
      <c r="N504" s="68"/>
      <c r="O504" s="115"/>
      <c r="Q504" s="127"/>
    </row>
    <row r="505" spans="2:17">
      <c r="B505" s="150"/>
      <c r="C505" s="91"/>
      <c r="D505" s="91"/>
      <c r="E505" s="113"/>
      <c r="F505" s="56"/>
      <c r="G505" s="56"/>
      <c r="H505" s="56"/>
      <c r="I505" s="56"/>
      <c r="J505" s="240"/>
      <c r="K505" s="183"/>
      <c r="L505" s="56"/>
      <c r="M505" s="93"/>
      <c r="N505" s="68"/>
      <c r="O505" s="115"/>
      <c r="Q505" s="127"/>
    </row>
    <row r="506" spans="2:17" ht="33.75" customHeight="1">
      <c r="B506" s="150"/>
      <c r="C506" s="26">
        <v>94575</v>
      </c>
      <c r="D506" s="26" t="s">
        <v>8</v>
      </c>
      <c r="E506" s="447" t="str">
        <f>IFERROR(VLOOKUP($C506,'SINAPI JULHO 2018'!$1:$1048576,2,0),IFERROR(VLOOKUP($C506,'5-COMP. PROPRIA'!$B$13:$I$518,4,0),""))</f>
        <v>JANELA DE ALUMÍNIO MAXIM-AR, FIXAÇÃO COM PARAFUSO, VEDAÇÃO COM ESPUMA EXPANSIVA PU, COM VIDROS, PADRONIZADA. AF_07/2016</v>
      </c>
      <c r="F506" s="448"/>
      <c r="G506" s="448"/>
      <c r="H506" s="448"/>
      <c r="I506" s="448"/>
      <c r="J506" s="449"/>
      <c r="K506" s="184">
        <f>(0.6*0.6*6)+(0.6*0.8*3)</f>
        <v>3.6</v>
      </c>
      <c r="L506" s="57" t="s">
        <v>25</v>
      </c>
      <c r="M506" s="345"/>
      <c r="N506" s="68"/>
      <c r="O506" s="115"/>
      <c r="Q506" s="127"/>
    </row>
    <row r="507" spans="2:17">
      <c r="B507" s="150"/>
      <c r="C507" s="91"/>
      <c r="D507" s="91"/>
      <c r="E507" s="113"/>
      <c r="F507" s="56"/>
      <c r="G507" s="56"/>
      <c r="H507" s="56"/>
      <c r="I507" s="56"/>
      <c r="J507" s="240"/>
      <c r="K507" s="183"/>
      <c r="L507" s="56"/>
      <c r="M507" s="345"/>
      <c r="N507" s="68"/>
      <c r="O507" s="115"/>
    </row>
    <row r="508" spans="2:17" ht="30.75" customHeight="1">
      <c r="B508" s="150"/>
      <c r="C508" s="26">
        <v>94576</v>
      </c>
      <c r="D508" s="26" t="s">
        <v>8</v>
      </c>
      <c r="E508" s="447" t="str">
        <f>IFERROR(VLOOKUP($C508,'SINAPI JULHO 2018'!$1:$1048576,2,0),IFERROR(VLOOKUP($C508,'5-COMP. PROPRIA'!$B$13:$I$518,4,0),""))</f>
        <v>JANELA DE ALUMÍNIO DE CORRER, 2 FOLHAS, FIXAÇÃO COM PARAFUSO, VEDAÇÃO COM ESPUMA EXPANSIVA PU, COM VIDROS, PADRONIZADA. AF_07/2016</v>
      </c>
      <c r="F508" s="448"/>
      <c r="G508" s="448"/>
      <c r="H508" s="448"/>
      <c r="I508" s="448"/>
      <c r="J508" s="449"/>
      <c r="K508" s="184">
        <f>(1.1*2*3)+(1*1*2)</f>
        <v>8.6000000000000014</v>
      </c>
      <c r="L508" s="57" t="s">
        <v>25</v>
      </c>
      <c r="M508" s="345"/>
      <c r="N508" s="68"/>
      <c r="O508" s="115"/>
    </row>
    <row r="509" spans="2:17">
      <c r="B509" s="150"/>
      <c r="C509" s="91"/>
      <c r="D509" s="91"/>
      <c r="E509" s="113"/>
      <c r="F509" s="56"/>
      <c r="G509" s="56"/>
      <c r="H509" s="56"/>
      <c r="I509" s="56"/>
      <c r="J509" s="240"/>
      <c r="K509" s="183"/>
      <c r="L509" s="56"/>
      <c r="M509" s="345"/>
      <c r="N509" s="68"/>
      <c r="O509" s="115"/>
    </row>
    <row r="510" spans="2:17" ht="15">
      <c r="B510" s="150"/>
      <c r="C510" s="94" t="str">
        <f>'5-COMP. PROPRIA'!B216</f>
        <v>CP-LIX-02</v>
      </c>
      <c r="D510" s="16" t="s">
        <v>35</v>
      </c>
      <c r="E510" s="447" t="str">
        <f>IFERROR(VLOOKUP($C510,'SINAPI JULHO 2018'!$1:$1048576,2,0),IFERROR(VLOOKUP($C510,'5-COMP. PROPRIA'!$B$13:$I$518,4,0),""))</f>
        <v xml:space="preserve">LIXAMENTO DE SUPERFICIE METÁLICA </v>
      </c>
      <c r="F510" s="448"/>
      <c r="G510" s="448"/>
      <c r="H510" s="448"/>
      <c r="I510" s="448"/>
      <c r="J510" s="449"/>
      <c r="K510" s="184">
        <f>K512</f>
        <v>70.240000000000009</v>
      </c>
      <c r="L510" s="57" t="s">
        <v>25</v>
      </c>
      <c r="M510" s="345"/>
      <c r="N510" s="68"/>
      <c r="O510" s="115"/>
    </row>
    <row r="511" spans="2:17">
      <c r="B511" s="150"/>
      <c r="C511" s="91"/>
      <c r="D511" s="91"/>
      <c r="E511" s="113"/>
      <c r="F511" s="56"/>
      <c r="G511" s="56"/>
      <c r="H511" s="56"/>
      <c r="I511" s="56"/>
      <c r="J511" s="240"/>
      <c r="K511" s="183"/>
      <c r="L511" s="56"/>
      <c r="M511" s="345"/>
      <c r="N511" s="68"/>
      <c r="O511" s="115"/>
    </row>
    <row r="512" spans="2:17" ht="15">
      <c r="B512" s="150"/>
      <c r="C512" s="94" t="s">
        <v>142</v>
      </c>
      <c r="D512" s="26" t="s">
        <v>8</v>
      </c>
      <c r="E512" s="447" t="str">
        <f>IFERROR(VLOOKUP($C512,'SINAPI JULHO 2018'!$1:$1048576,2,0),IFERROR(VLOOKUP($C512,'5-COMP. PROPRIA'!$B$13:$I$518,4,0),""))</f>
        <v>PINTURA ESMALTE ALTO BRILHO, DUAS DEMAOS, SOBRE SUPERFICIE METALICA</v>
      </c>
      <c r="F512" s="448"/>
      <c r="G512" s="448"/>
      <c r="H512" s="448"/>
      <c r="I512" s="448"/>
      <c r="J512" s="449"/>
      <c r="K512" s="184">
        <f>(K508+K506+K504)*2</f>
        <v>70.240000000000009</v>
      </c>
      <c r="L512" s="58" t="s">
        <v>25</v>
      </c>
      <c r="M512" s="345"/>
      <c r="N512" s="68"/>
      <c r="O512" s="115"/>
    </row>
    <row r="513" spans="2:17" ht="15">
      <c r="B513" s="150"/>
      <c r="E513" s="276"/>
      <c r="F513" s="221"/>
      <c r="G513" s="221"/>
      <c r="H513" s="221"/>
      <c r="I513" s="221"/>
      <c r="J513" s="222"/>
      <c r="K513" s="184"/>
      <c r="M513" s="93"/>
      <c r="N513" s="68"/>
      <c r="O513" s="115"/>
    </row>
    <row r="514" spans="2:17" ht="15">
      <c r="B514" s="268"/>
      <c r="C514" s="269"/>
      <c r="D514" s="269"/>
      <c r="E514" s="473" t="s">
        <v>174</v>
      </c>
      <c r="F514" s="474" t="s">
        <v>174</v>
      </c>
      <c r="G514" s="474" t="s">
        <v>174</v>
      </c>
      <c r="H514" s="474" t="s">
        <v>174</v>
      </c>
      <c r="I514" s="474" t="s">
        <v>174</v>
      </c>
      <c r="J514" s="475" t="s">
        <v>174</v>
      </c>
      <c r="K514" s="270"/>
      <c r="L514" s="271"/>
      <c r="M514" s="272"/>
      <c r="N514" s="273"/>
      <c r="O514" s="115"/>
    </row>
    <row r="515" spans="2:17" s="128" customFormat="1" ht="15">
      <c r="B515" s="150"/>
      <c r="C515" s="16"/>
      <c r="D515" s="16"/>
      <c r="E515" s="276"/>
      <c r="F515" s="221"/>
      <c r="G515" s="221"/>
      <c r="H515" s="221"/>
      <c r="I515" s="221"/>
      <c r="J515" s="222"/>
      <c r="K515" s="184"/>
      <c r="L515" s="57"/>
      <c r="M515" s="93"/>
      <c r="N515" s="68"/>
      <c r="O515" s="115"/>
    </row>
    <row r="516" spans="2:17" s="128" customFormat="1" ht="28.5" customHeight="1">
      <c r="B516" s="150"/>
      <c r="C516" s="136" t="str">
        <f>'5-COMP. PROPRIA'!B147</f>
        <v>CP-HID-05</v>
      </c>
      <c r="D516" s="16" t="s">
        <v>35</v>
      </c>
      <c r="E516" s="447" t="str">
        <f>IFERROR(VLOOKUP($C516,'SINAPI JULHO 2018'!$1:$1048576,2,0),IFERROR(VLOOKUP($C516,'5-COMP. PROPRIA'!$B$13:$I$518,4,0),""))</f>
        <v xml:space="preserve">VASO SANITÁRIO CONVENCIONAL COM CONEXÕES DE INSTALAÇÃO E ASSENTO PLÁSTICO - FORNECIMENTO E INSTALAÇÃO </v>
      </c>
      <c r="F516" s="448"/>
      <c r="G516" s="448"/>
      <c r="H516" s="448"/>
      <c r="I516" s="448"/>
      <c r="J516" s="449"/>
      <c r="K516" s="184">
        <v>8</v>
      </c>
      <c r="L516" s="57" t="s">
        <v>5</v>
      </c>
      <c r="M516" s="93"/>
      <c r="N516" s="68"/>
      <c r="O516" s="115"/>
      <c r="Q516" s="348"/>
    </row>
    <row r="517" spans="2:17" s="128" customFormat="1" ht="15">
      <c r="B517" s="150"/>
      <c r="C517" s="16"/>
      <c r="D517" s="16"/>
      <c r="E517" s="276"/>
      <c r="F517" s="221"/>
      <c r="G517" s="221"/>
      <c r="H517" s="221"/>
      <c r="I517" s="221"/>
      <c r="J517" s="222"/>
      <c r="K517" s="184"/>
      <c r="L517" s="57"/>
      <c r="M517" s="93"/>
      <c r="N517" s="68"/>
      <c r="O517" s="115"/>
      <c r="Q517" s="348"/>
    </row>
    <row r="518" spans="2:17" s="128" customFormat="1" ht="39" customHeight="1">
      <c r="B518" s="150"/>
      <c r="C518" s="16">
        <v>86942</v>
      </c>
      <c r="D518" s="16" t="s">
        <v>8</v>
      </c>
      <c r="E518" s="447" t="str">
        <f>IFERROR(VLOOKUP($C518,'SINAPI JULHO 2018'!$1:$1048576,2,0),IFERROR(VLOOKUP($C518,'5-COMP. PROPRIA'!$B$13:$I$518,4,0),""))</f>
        <v>LAVATÓRIO LOUÇA BRANCA SUSPENSO, 29,5 X 39CM OU EQUIVALENTE, PADRÃO POPULAR, INCLUSO SIFÃO TIPO GARRAFA EM PVC, VÁLVULA E ENGATE FLEXÍVEL 30CM EM PLÁSTICO E TORNEIRA CROMADA DE MESA, PADRÃO POPULAR - FORNECIMENTO E INSTALAÇÃO. AF_12/2013</v>
      </c>
      <c r="F518" s="448"/>
      <c r="G518" s="448"/>
      <c r="H518" s="448"/>
      <c r="I518" s="448"/>
      <c r="J518" s="449"/>
      <c r="K518" s="184">
        <v>8</v>
      </c>
      <c r="L518" s="57" t="s">
        <v>5</v>
      </c>
      <c r="M518" s="93"/>
      <c r="N518" s="68"/>
      <c r="O518" s="115"/>
      <c r="Q518" s="348"/>
    </row>
    <row r="519" spans="2:17" s="128" customFormat="1" ht="15">
      <c r="B519" s="150"/>
      <c r="C519" s="16"/>
      <c r="D519" s="16"/>
      <c r="E519" s="276"/>
      <c r="F519" s="221"/>
      <c r="G519" s="221"/>
      <c r="H519" s="221"/>
      <c r="I519" s="221"/>
      <c r="J519" s="222"/>
      <c r="K519" s="184"/>
      <c r="L519" s="57"/>
      <c r="M519" s="93"/>
      <c r="N519" s="68"/>
      <c r="O519" s="115"/>
      <c r="Q519" s="348"/>
    </row>
    <row r="520" spans="2:17" s="128" customFormat="1" ht="29.25" customHeight="1">
      <c r="B520" s="383"/>
      <c r="C520" s="16">
        <v>86906</v>
      </c>
      <c r="D520" s="16" t="s">
        <v>8</v>
      </c>
      <c r="E520" s="447" t="str">
        <f>IFERROR(VLOOKUP($C520,'SINAPI JULHO 2018'!$1:$1048576,2,0),IFERROR(VLOOKUP($C520,'5-COMP. PROPRIA'!$B$13:$I$518,4,0),""))</f>
        <v>TORNEIRA CROMADA DE MESA, 1/2" OU 3/4", PARA LAVATÓRIO, PADRÃO POPULAR - FORNECIMENTO E INSTALAÇÃO. AF_12/2013</v>
      </c>
      <c r="F520" s="448"/>
      <c r="G520" s="448"/>
      <c r="H520" s="448"/>
      <c r="I520" s="448"/>
      <c r="J520" s="449"/>
      <c r="K520" s="184">
        <v>8</v>
      </c>
      <c r="L520" s="57" t="s">
        <v>5</v>
      </c>
      <c r="M520" s="93"/>
      <c r="N520" s="68"/>
      <c r="O520" s="115"/>
      <c r="Q520" s="348"/>
    </row>
    <row r="521" spans="2:17" s="128" customFormat="1" ht="15">
      <c r="B521" s="150"/>
      <c r="C521" s="16"/>
      <c r="D521" s="16"/>
      <c r="E521" s="276"/>
      <c r="F521" s="221"/>
      <c r="G521" s="221"/>
      <c r="H521" s="221"/>
      <c r="I521" s="221"/>
      <c r="J521" s="222"/>
      <c r="K521" s="184"/>
      <c r="L521" s="57"/>
      <c r="M521" s="93"/>
      <c r="N521" s="68"/>
      <c r="O521" s="115"/>
      <c r="Q521" s="348"/>
    </row>
    <row r="522" spans="2:17" s="128" customFormat="1" ht="32.25" customHeight="1">
      <c r="B522" s="150"/>
      <c r="C522" s="16">
        <v>86910</v>
      </c>
      <c r="D522" s="16" t="s">
        <v>8</v>
      </c>
      <c r="E522" s="447" t="str">
        <f>IFERROR(VLOOKUP($C522,'SINAPI JULHO 2018'!$1:$1048576,2,0),IFERROR(VLOOKUP($C522,'5-COMP. PROPRIA'!$B$13:$I$518,4,0),""))</f>
        <v>TORNEIRA CROMADA TUBO MÓVEL, DE PAREDE, 1/2" OU 3/4", PARA PIA DE COZINHA, PADRÃO MÉDIO - FORNECIMENTO E INSTALAÇÃO. AF_12/2013</v>
      </c>
      <c r="F522" s="448"/>
      <c r="G522" s="448"/>
      <c r="H522" s="448"/>
      <c r="I522" s="448"/>
      <c r="J522" s="449"/>
      <c r="K522" s="184">
        <v>1</v>
      </c>
      <c r="L522" s="57" t="s">
        <v>5</v>
      </c>
      <c r="M522" s="93"/>
      <c r="N522" s="68"/>
      <c r="O522" s="115"/>
      <c r="Q522" s="348"/>
    </row>
    <row r="523" spans="2:17" s="128" customFormat="1" ht="15">
      <c r="B523" s="150"/>
      <c r="C523" s="16"/>
      <c r="D523" s="16"/>
      <c r="E523" s="276"/>
      <c r="F523" s="221"/>
      <c r="G523" s="221"/>
      <c r="H523" s="221"/>
      <c r="I523" s="221"/>
      <c r="J523" s="222"/>
      <c r="K523" s="184"/>
      <c r="L523" s="57"/>
      <c r="M523" s="93"/>
      <c r="N523" s="68"/>
      <c r="O523" s="115"/>
      <c r="Q523" s="348"/>
    </row>
    <row r="524" spans="2:17" s="128" customFormat="1" ht="46.5" customHeight="1">
      <c r="B524" s="150"/>
      <c r="C524" s="16">
        <v>86933</v>
      </c>
      <c r="D524" s="16" t="s">
        <v>8</v>
      </c>
      <c r="E524" s="447" t="str">
        <f>IFERROR(VLOOKUP($C524,'SINAPI JULHO 2018'!$1:$1048576,2,0),IFERROR(VLOOKUP($C524,'5-COMP. PROPRIA'!$B$13:$I$518,4,0),""))</f>
        <v>BANCADA DE MÁRMORE SINTÉTICO 120 X 60CM, COM CUBA INTEGRADA, INCLUSO SIFÃO TIPO GARRAFA EM PVC, VÁLVULA EM PLÁSTICO CROMADO TIPO AMERICANA E TORNEIRA CROMADA LONGA, DE PAREDE, PADRÃO POPULAR - FORNECIMENTO E INSTALAÇÃO. AF_12/2013</v>
      </c>
      <c r="F524" s="448"/>
      <c r="G524" s="448"/>
      <c r="H524" s="448"/>
      <c r="I524" s="448"/>
      <c r="J524" s="449"/>
      <c r="K524" s="184">
        <v>1</v>
      </c>
      <c r="L524" s="57" t="s">
        <v>5</v>
      </c>
      <c r="M524" s="93"/>
      <c r="N524" s="68"/>
      <c r="O524" s="115"/>
      <c r="Q524" s="348"/>
    </row>
    <row r="525" spans="2:17" s="128" customFormat="1" ht="15">
      <c r="B525" s="150"/>
      <c r="C525" s="16"/>
      <c r="D525" s="16"/>
      <c r="E525" s="276"/>
      <c r="F525" s="221"/>
      <c r="G525" s="221"/>
      <c r="H525" s="221"/>
      <c r="I525" s="221"/>
      <c r="J525" s="222"/>
      <c r="K525" s="184"/>
      <c r="L525" s="57"/>
      <c r="M525" s="93"/>
      <c r="N525" s="68"/>
      <c r="O525" s="115"/>
      <c r="Q525" s="348"/>
    </row>
    <row r="526" spans="2:17" s="128" customFormat="1" ht="15">
      <c r="B526" s="150"/>
      <c r="C526" s="16">
        <v>9535</v>
      </c>
      <c r="D526" s="16" t="s">
        <v>8</v>
      </c>
      <c r="E526" s="447" t="str">
        <f>IFERROR(VLOOKUP($C526,'SINAPI JULHO 2018'!$1:$1048576,2,0),IFERROR(VLOOKUP($C526,'5-COMP. PROPRIA'!$B$13:$I$518,4,0),""))</f>
        <v>CHUVEIRO ELETRICO COMUM CORPO PLASTICO TIPO DUCHA, FORNECIMENTO E INSTALACAO</v>
      </c>
      <c r="F526" s="448"/>
      <c r="G526" s="448"/>
      <c r="H526" s="448"/>
      <c r="I526" s="448"/>
      <c r="J526" s="449"/>
      <c r="K526" s="184">
        <v>9</v>
      </c>
      <c r="L526" s="57" t="s">
        <v>5</v>
      </c>
      <c r="M526" s="93"/>
      <c r="N526" s="68"/>
      <c r="O526" s="115"/>
      <c r="Q526" s="348"/>
    </row>
    <row r="527" spans="2:17" s="128" customFormat="1" ht="15">
      <c r="B527" s="150"/>
      <c r="C527" s="16"/>
      <c r="D527" s="16"/>
      <c r="E527" s="276"/>
      <c r="F527" s="221"/>
      <c r="G527" s="221"/>
      <c r="H527" s="221"/>
      <c r="I527" s="221"/>
      <c r="J527" s="222"/>
      <c r="K527" s="184"/>
      <c r="L527" s="57"/>
      <c r="M527" s="93"/>
      <c r="N527" s="68"/>
      <c r="O527" s="115"/>
      <c r="Q527" s="348"/>
    </row>
    <row r="528" spans="2:17" s="128" customFormat="1" ht="47.25" customHeight="1">
      <c r="B528" s="150"/>
      <c r="C528" s="136" t="str">
        <f>'5-COMP. PROPRIA'!B271</f>
        <v>CP-MIC-01</v>
      </c>
      <c r="D528" s="16" t="s">
        <v>35</v>
      </c>
      <c r="E528" s="447" t="str">
        <f>IFERROR(VLOOKUP($C528,'SINAPI JULHO 2018'!$1:$1048576,2,0),IFERROR(VLOOKUP($C528,'5-COMP. PROPRIA'!$B$13:$I$518,4,0),""))</f>
        <v>MICTORIO SIFONADO DE LOUCA BRANCA COM PERTENCES, COM REGISTRO DE PRESSAO 1/2" COM CANOPLA CROMADA ACABAMENTO SIMPLES E CONJUNTO PARA FIXACAO  - FORNECIMENTO E INSTALACAO</v>
      </c>
      <c r="F528" s="448"/>
      <c r="G528" s="448"/>
      <c r="H528" s="448"/>
      <c r="I528" s="448"/>
      <c r="J528" s="449"/>
      <c r="K528" s="184">
        <v>2</v>
      </c>
      <c r="L528" s="57" t="s">
        <v>5</v>
      </c>
      <c r="M528" s="93"/>
      <c r="N528" s="68"/>
      <c r="O528" s="115"/>
      <c r="Q528" s="348"/>
    </row>
    <row r="529" spans="2:17" s="128" customFormat="1" ht="15">
      <c r="B529" s="150"/>
      <c r="C529" s="136"/>
      <c r="D529" s="16"/>
      <c r="E529" s="276"/>
      <c r="F529" s="221"/>
      <c r="G529" s="221"/>
      <c r="H529" s="221"/>
      <c r="I529" s="221"/>
      <c r="J529" s="222"/>
      <c r="K529" s="184"/>
      <c r="L529" s="57"/>
      <c r="M529" s="93"/>
      <c r="N529" s="68"/>
      <c r="O529" s="115"/>
      <c r="Q529" s="348"/>
    </row>
    <row r="530" spans="2:17" s="128" customFormat="1" ht="47.25" customHeight="1">
      <c r="B530" s="150"/>
      <c r="C530" s="136" t="s">
        <v>175</v>
      </c>
      <c r="D530" s="16" t="s">
        <v>8</v>
      </c>
      <c r="E530" s="447" t="str">
        <f>IFERROR(VLOOKUP($C530,'SINAPI JULHO 2018'!$1:$1048576,2,0),IFERROR(VLOOKUP($C530,'5-COMP. PROPRIA'!$B$13:$I$518,4,0),""))</f>
        <v>DIVISORIA EM MARMORITE ESPESSURA 35MM, CHUMBAMENTO NO PISO E PAREDE COM ARGAMASSA DE CIMENTO E AREIA, POLIMENTO MANUAL, EXCLUSIVE FERRAGENS</v>
      </c>
      <c r="F530" s="448"/>
      <c r="G530" s="448"/>
      <c r="H530" s="448"/>
      <c r="I530" s="448"/>
      <c r="J530" s="449"/>
      <c r="K530" s="184">
        <f>(1.5+0.9)*2.1</f>
        <v>5.04</v>
      </c>
      <c r="L530" s="57" t="s">
        <v>145</v>
      </c>
      <c r="M530" s="93"/>
      <c r="N530" s="68"/>
      <c r="O530" s="115"/>
      <c r="Q530" s="348"/>
    </row>
    <row r="531" spans="2:17" ht="15">
      <c r="B531" s="150"/>
      <c r="E531" s="276"/>
      <c r="F531" s="221"/>
      <c r="G531" s="221"/>
      <c r="H531" s="221"/>
      <c r="I531" s="221"/>
      <c r="J531" s="222"/>
      <c r="K531" s="184"/>
      <c r="M531" s="93"/>
      <c r="N531" s="68"/>
      <c r="O531" s="115"/>
      <c r="Q531" s="127"/>
    </row>
    <row r="532" spans="2:17" ht="15">
      <c r="B532" s="268"/>
      <c r="C532" s="269"/>
      <c r="D532" s="269"/>
      <c r="E532" s="462" t="s">
        <v>176</v>
      </c>
      <c r="F532" s="463"/>
      <c r="G532" s="463"/>
      <c r="H532" s="463"/>
      <c r="I532" s="463"/>
      <c r="J532" s="464"/>
      <c r="K532" s="270"/>
      <c r="L532" s="271"/>
      <c r="M532" s="272"/>
      <c r="N532" s="273"/>
      <c r="O532" s="115"/>
      <c r="Q532" s="127"/>
    </row>
    <row r="533" spans="2:17" s="128" customFormat="1" ht="15">
      <c r="B533" s="150"/>
      <c r="C533" s="16"/>
      <c r="D533" s="16"/>
      <c r="E533" s="276"/>
      <c r="F533" s="221"/>
      <c r="G533" s="221"/>
      <c r="H533" s="221"/>
      <c r="I533" s="221"/>
      <c r="J533" s="222"/>
      <c r="K533" s="184"/>
      <c r="L533" s="57"/>
      <c r="M533" s="93"/>
      <c r="N533" s="68"/>
      <c r="O533" s="115"/>
      <c r="Q533" s="348"/>
    </row>
    <row r="534" spans="2:17" s="128" customFormat="1" ht="15">
      <c r="B534" s="150" t="s">
        <v>177</v>
      </c>
      <c r="C534" s="136" t="str">
        <f>'5-COMP. PROPRIA'!B42</f>
        <v>CP-DEM-01</v>
      </c>
      <c r="D534" s="16" t="s">
        <v>35</v>
      </c>
      <c r="E534" s="447" t="str">
        <f>IFERROR(VLOOKUP($C534,'SINAPI JULHO 2018'!$1:$1048576,2,0),IFERROR(VLOOKUP($C534,'5-COMP. PROPRIA'!$B$13:$I$518,4,0),""))</f>
        <v>DEMOLIÇÃO DE CONCRETO SIMPLES</v>
      </c>
      <c r="F534" s="448"/>
      <c r="G534" s="448"/>
      <c r="H534" s="448"/>
      <c r="I534" s="448"/>
      <c r="J534" s="449"/>
      <c r="K534" s="184">
        <f>(180.65+18.9-51.55)*0.07</f>
        <v>10.360000000000001</v>
      </c>
      <c r="L534" s="57" t="s">
        <v>178</v>
      </c>
      <c r="M534" s="93"/>
      <c r="N534" s="68"/>
      <c r="O534" s="115"/>
      <c r="Q534" s="348"/>
    </row>
    <row r="535" spans="2:17" s="128" customFormat="1" ht="15">
      <c r="B535" s="150"/>
      <c r="C535" s="136"/>
      <c r="D535" s="16"/>
      <c r="E535" s="276"/>
      <c r="F535" s="221"/>
      <c r="G535" s="221"/>
      <c r="H535" s="221"/>
      <c r="I535" s="221"/>
      <c r="J535" s="222"/>
      <c r="K535" s="184"/>
      <c r="L535" s="57"/>
      <c r="M535" s="93"/>
      <c r="N535" s="68"/>
      <c r="O535" s="115"/>
      <c r="Q535" s="348"/>
    </row>
    <row r="536" spans="2:17" s="128" customFormat="1" ht="15">
      <c r="B536" s="150" t="s">
        <v>179</v>
      </c>
      <c r="C536" s="16">
        <v>97633</v>
      </c>
      <c r="D536" s="16" t="s">
        <v>8</v>
      </c>
      <c r="E536" s="447" t="str">
        <f>IFERROR(VLOOKUP($C536,'SINAPI JULHO 2018'!$1:$1048576,2,0),IFERROR(VLOOKUP($C536,'5-COMP. PROPRIA'!$B$13:$I$518,4,0),""))</f>
        <v>DEMOLIÇÃO DE REVESTIMENTO CERÂMICO, DE FORMA MANUAL, SEM REAPROVEITAMENTO. AF_12/2017</v>
      </c>
      <c r="F536" s="448"/>
      <c r="G536" s="448"/>
      <c r="H536" s="448"/>
      <c r="I536" s="448"/>
      <c r="J536" s="449"/>
      <c r="K536" s="184">
        <v>51.55</v>
      </c>
      <c r="L536" s="57" t="s">
        <v>145</v>
      </c>
      <c r="M536" s="184">
        <f>K536*0.03</f>
        <v>1.5464999999999998</v>
      </c>
      <c r="N536" s="57" t="s">
        <v>178</v>
      </c>
      <c r="O536" s="115"/>
      <c r="Q536" s="348"/>
    </row>
    <row r="537" spans="2:17" s="128" customFormat="1" ht="15">
      <c r="B537" s="150"/>
      <c r="C537" s="16"/>
      <c r="D537" s="16"/>
      <c r="E537" s="276"/>
      <c r="F537" s="221"/>
      <c r="G537" s="221"/>
      <c r="H537" s="221"/>
      <c r="I537" s="221"/>
      <c r="J537" s="222"/>
      <c r="K537" s="184"/>
      <c r="L537" s="57"/>
      <c r="M537" s="93"/>
      <c r="N537" s="68"/>
      <c r="O537" s="115"/>
      <c r="Q537" s="348"/>
    </row>
    <row r="538" spans="2:17" s="128" customFormat="1" ht="15">
      <c r="B538" s="150"/>
      <c r="C538" s="16">
        <v>72897</v>
      </c>
      <c r="D538" s="16" t="s">
        <v>8</v>
      </c>
      <c r="E538" s="447" t="str">
        <f>IFERROR(VLOOKUP($C538,'SINAPI JULHO 2018'!$1:$1048576,2,0),IFERROR(VLOOKUP($C538,'5-COMP. PROPRIA'!$B$13:$I$518,4,0),""))</f>
        <v>CARGA MANUAL DE ENTULHO EM CAMINHAO BASCULANTE 6 M3</v>
      </c>
      <c r="F538" s="448"/>
      <c r="G538" s="448"/>
      <c r="H538" s="448"/>
      <c r="I538" s="448"/>
      <c r="J538" s="449"/>
      <c r="K538" s="184">
        <f>K534+M536</f>
        <v>11.906500000000001</v>
      </c>
      <c r="L538" s="57" t="s">
        <v>145</v>
      </c>
      <c r="M538" s="93"/>
      <c r="N538" s="68"/>
      <c r="O538" s="115"/>
      <c r="Q538" s="348"/>
    </row>
    <row r="539" spans="2:17" s="128" customFormat="1" ht="15">
      <c r="B539" s="150"/>
      <c r="C539" s="16"/>
      <c r="D539" s="16"/>
      <c r="E539" s="276"/>
      <c r="F539" s="221"/>
      <c r="G539" s="221"/>
      <c r="H539" s="221"/>
      <c r="I539" s="221"/>
      <c r="J539" s="222"/>
      <c r="K539" s="184"/>
      <c r="L539" s="57"/>
      <c r="M539" s="93"/>
      <c r="N539" s="68"/>
      <c r="O539" s="115"/>
      <c r="Q539" s="348"/>
    </row>
    <row r="540" spans="2:17" s="128" customFormat="1" ht="33.75" customHeight="1">
      <c r="B540" s="150"/>
      <c r="C540" s="16">
        <v>97914</v>
      </c>
      <c r="D540" s="16" t="s">
        <v>8</v>
      </c>
      <c r="E540" s="447" t="str">
        <f>IFERROR(VLOOKUP($C540,'SINAPI JULHO 2018'!$1:$1048576,2,0),IFERROR(VLOOKUP($C540,'5-COMP. PROPRIA'!$B$13:$I$518,4,0),""))</f>
        <v>TRANSPORTE COM CAMINHÃO BASCULANTE DE 6 M3, EM VIA URBANA PAVIMENTADA, DMT ATÉ 30 KM (UNIDADE: M3XKM). AF_01/2018</v>
      </c>
      <c r="F540" s="448"/>
      <c r="G540" s="448"/>
      <c r="H540" s="448"/>
      <c r="I540" s="448"/>
      <c r="J540" s="449"/>
      <c r="K540" s="184">
        <f>K538*7.5</f>
        <v>89.298750000000013</v>
      </c>
      <c r="L540" s="57" t="s">
        <v>145</v>
      </c>
      <c r="M540" s="93"/>
      <c r="N540" s="68"/>
      <c r="O540" s="115"/>
      <c r="Q540" s="348"/>
    </row>
    <row r="541" spans="2:17" s="128" customFormat="1" ht="15">
      <c r="B541" s="150"/>
      <c r="C541" s="16"/>
      <c r="D541" s="16"/>
      <c r="E541" s="276"/>
      <c r="F541" s="221"/>
      <c r="G541" s="221"/>
      <c r="H541" s="221"/>
      <c r="I541" s="221"/>
      <c r="J541" s="222"/>
      <c r="K541" s="184"/>
      <c r="L541" s="57"/>
      <c r="M541" s="93"/>
      <c r="N541" s="68"/>
      <c r="O541" s="115"/>
      <c r="Q541" s="348"/>
    </row>
    <row r="542" spans="2:17" s="128" customFormat="1" ht="15">
      <c r="B542" s="150" t="str">
        <f>B534</f>
        <v>TODO PISO MENOS 1 º ANDAR DA BILHETRIA</v>
      </c>
      <c r="C542" s="16">
        <v>95241</v>
      </c>
      <c r="D542" s="16" t="s">
        <v>8</v>
      </c>
      <c r="E542" s="447" t="str">
        <f>IFERROR(VLOOKUP($C542,'SINAPI JULHO 2018'!$1:$1048576,2,0),IFERROR(VLOOKUP($C542,'5-COMP. PROPRIA'!$B$13:$I$518,4,0),""))</f>
        <v>LASTRO DE CONCRETO MAGRO, APLICADO EM PISOS OU RADIERS, ESPESSURA DE 5 CM. AF_07/2016</v>
      </c>
      <c r="F542" s="448"/>
      <c r="G542" s="448"/>
      <c r="H542" s="448"/>
      <c r="I542" s="448"/>
      <c r="J542" s="449"/>
      <c r="K542" s="184">
        <f>199.55-51.55</f>
        <v>148</v>
      </c>
      <c r="L542" s="57" t="s">
        <v>145</v>
      </c>
      <c r="M542" s="93"/>
      <c r="N542" s="68"/>
      <c r="O542" s="115"/>
      <c r="Q542" s="348"/>
    </row>
    <row r="543" spans="2:17" s="128" customFormat="1" ht="15">
      <c r="B543" s="150"/>
      <c r="C543" s="16"/>
      <c r="D543" s="16"/>
      <c r="E543" s="276"/>
      <c r="F543" s="221"/>
      <c r="G543" s="221"/>
      <c r="H543" s="221"/>
      <c r="I543" s="221"/>
      <c r="J543" s="222"/>
      <c r="K543" s="184"/>
      <c r="L543" s="57"/>
      <c r="M543" s="93"/>
      <c r="N543" s="68"/>
      <c r="O543" s="115"/>
      <c r="Q543" s="348"/>
    </row>
    <row r="544" spans="2:17" s="128" customFormat="1" ht="15">
      <c r="B544" s="150" t="s">
        <v>177</v>
      </c>
      <c r="C544" s="16">
        <v>87620</v>
      </c>
      <c r="D544" s="16" t="s">
        <v>8</v>
      </c>
      <c r="E544" s="447" t="str">
        <f>IFERROR(VLOOKUP($C544,'SINAPI JULHO 2018'!$1:$1048576,2,0),IFERROR(VLOOKUP($C544,'5-COMP. PROPRIA'!$B$13:$I$518,4,0),""))</f>
        <v>CONTRAPISO EM ARGAMASSA TRAÇO 1:4 (CIMENTO E AREIA), PREPARO MECÂNICO COM BETONEIRA 400 L, APLICADO EM ÁREAS SECAS SOBRE LAJE, ADERIDO, ESPESSURA 2CM. AF_06/2014</v>
      </c>
      <c r="F544" s="448"/>
      <c r="G544" s="448"/>
      <c r="H544" s="448"/>
      <c r="I544" s="448"/>
      <c r="J544" s="449"/>
      <c r="K544" s="184">
        <f>K542</f>
        <v>148</v>
      </c>
      <c r="L544" s="57" t="s">
        <v>145</v>
      </c>
      <c r="M544" s="93"/>
      <c r="N544" s="68"/>
      <c r="O544" s="115"/>
      <c r="Q544" s="348"/>
    </row>
    <row r="545" spans="2:17" s="128" customFormat="1" ht="15">
      <c r="B545" s="150"/>
      <c r="C545" s="16"/>
      <c r="D545" s="16"/>
      <c r="E545" s="276"/>
      <c r="F545" s="221"/>
      <c r="G545" s="221"/>
      <c r="H545" s="221"/>
      <c r="I545" s="221"/>
      <c r="J545" s="222"/>
      <c r="K545" s="184"/>
      <c r="L545" s="57"/>
      <c r="M545" s="93"/>
      <c r="N545" s="68"/>
      <c r="O545" s="115"/>
      <c r="Q545" s="348"/>
    </row>
    <row r="546" spans="2:17" s="128" customFormat="1" ht="15">
      <c r="B546" s="150" t="s">
        <v>177</v>
      </c>
      <c r="C546" s="16">
        <v>84191</v>
      </c>
      <c r="D546" s="16" t="s">
        <v>8</v>
      </c>
      <c r="E546" s="447" t="str">
        <f>IFERROR(VLOOKUP($C546,'SINAPI JULHO 2018'!$1:$1048576,2,0),IFERROR(VLOOKUP($C546,'5-COMP. PROPRIA'!$B$13:$I$518,4,0),""))</f>
        <v>PISO EM GRANILITE, MARMORITE OU GRANITINA ESPESSURA 8 MM, INCLUSO JUNTAS DE DILATACAO PLASTICAS</v>
      </c>
      <c r="F546" s="448"/>
      <c r="G546" s="448"/>
      <c r="H546" s="448"/>
      <c r="I546" s="448"/>
      <c r="J546" s="449"/>
      <c r="K546" s="184">
        <f>K544</f>
        <v>148</v>
      </c>
      <c r="L546" s="57" t="s">
        <v>145</v>
      </c>
      <c r="M546" s="93"/>
      <c r="N546" s="68"/>
      <c r="O546" s="115"/>
      <c r="Q546" s="348"/>
    </row>
    <row r="547" spans="2:17" s="128" customFormat="1" ht="15">
      <c r="B547" s="150"/>
      <c r="C547" s="16"/>
      <c r="D547" s="16"/>
      <c r="E547" s="276"/>
      <c r="F547" s="221"/>
      <c r="G547" s="221"/>
      <c r="H547" s="221"/>
      <c r="I547" s="221"/>
      <c r="J547" s="222"/>
      <c r="K547" s="184"/>
      <c r="L547" s="57"/>
      <c r="M547" s="93"/>
      <c r="N547" s="68"/>
      <c r="O547" s="115"/>
      <c r="Q547" s="348"/>
    </row>
    <row r="548" spans="2:17" s="128" customFormat="1" ht="15">
      <c r="B548" s="150" t="s">
        <v>177</v>
      </c>
      <c r="C548" s="16" t="s">
        <v>180</v>
      </c>
      <c r="D548" s="16" t="s">
        <v>8</v>
      </c>
      <c r="E548" s="447" t="str">
        <f>IFERROR(VLOOKUP($C548,'SINAPI JULHO 2018'!$1:$1048576,2,0),IFERROR(VLOOKUP($C548,'5-COMP. PROPRIA'!$B$13:$I$518,4,0),""))</f>
        <v>IMPERMEABILIZACAO COM PINTURA A BASE DE RESINA EPOXI ALCATRAO, UMA DEMAO.</v>
      </c>
      <c r="F548" s="448"/>
      <c r="G548" s="448"/>
      <c r="H548" s="448"/>
      <c r="I548" s="448"/>
      <c r="J548" s="449"/>
      <c r="K548" s="184">
        <f>K546</f>
        <v>148</v>
      </c>
      <c r="L548" s="57" t="s">
        <v>145</v>
      </c>
      <c r="M548" s="93"/>
      <c r="N548" s="68"/>
      <c r="O548" s="115"/>
      <c r="Q548" s="348"/>
    </row>
    <row r="549" spans="2:17" s="128" customFormat="1" ht="15">
      <c r="B549" s="150"/>
      <c r="C549" s="16"/>
      <c r="D549" s="16"/>
      <c r="E549" s="276"/>
      <c r="F549" s="221"/>
      <c r="G549" s="221"/>
      <c r="H549" s="221"/>
      <c r="I549" s="221"/>
      <c r="J549" s="222"/>
      <c r="K549" s="184"/>
      <c r="L549" s="57"/>
      <c r="M549" s="93"/>
      <c r="N549" s="68"/>
      <c r="O549" s="115"/>
      <c r="Q549" s="348"/>
    </row>
    <row r="550" spans="2:17" s="128" customFormat="1" ht="15">
      <c r="B550" s="150" t="s">
        <v>177</v>
      </c>
      <c r="C550" s="16" t="s">
        <v>181</v>
      </c>
      <c r="D550" s="16" t="s">
        <v>8</v>
      </c>
      <c r="E550" s="447" t="str">
        <f>IFERROR(VLOOKUP($C550,'SINAPI JULHO 2018'!$1:$1048576,2,0),IFERROR(VLOOKUP($C550,'5-COMP. PROPRIA'!$B$13:$I$518,4,0),""))</f>
        <v>RODAPE EM MARMORITE, ALTURA 10CM</v>
      </c>
      <c r="F550" s="448"/>
      <c r="G550" s="448"/>
      <c r="H550" s="448"/>
      <c r="I550" s="448"/>
      <c r="J550" s="449"/>
      <c r="K550" s="184">
        <v>188.85</v>
      </c>
      <c r="L550" s="57" t="s">
        <v>172</v>
      </c>
      <c r="M550" s="93"/>
      <c r="N550" s="68"/>
      <c r="O550" s="115"/>
      <c r="Q550" s="348"/>
    </row>
    <row r="551" spans="2:17" s="128" customFormat="1" ht="15">
      <c r="B551" s="150"/>
      <c r="C551" s="16"/>
      <c r="D551" s="16"/>
      <c r="E551" s="276"/>
      <c r="F551" s="221"/>
      <c r="G551" s="221"/>
      <c r="H551" s="221"/>
      <c r="I551" s="221"/>
      <c r="J551" s="222"/>
      <c r="K551" s="184"/>
      <c r="L551" s="57"/>
      <c r="M551" s="93"/>
      <c r="N551" s="68"/>
      <c r="O551" s="115"/>
      <c r="Q551" s="348"/>
    </row>
    <row r="552" spans="2:17" s="128" customFormat="1" ht="15">
      <c r="B552" s="150" t="str">
        <f>B536</f>
        <v>1º ANDAR DA BILHETERIA</v>
      </c>
      <c r="C552" s="16">
        <v>88649</v>
      </c>
      <c r="D552" s="16" t="s">
        <v>8</v>
      </c>
      <c r="E552" s="447" t="str">
        <f>IFERROR(VLOOKUP($C552,'SINAPI JULHO 2018'!$1:$1048576,2,0),IFERROR(VLOOKUP($C552,'5-COMP. PROPRIA'!$B$13:$I$518,4,0),""))</f>
        <v>RODAPÉ CERÂMICO DE 7CM DE ALTURA COM PLACAS TIPO ESMALTADA EXTRA DE DIMENSÕES 45X45CM. AF_06/2014</v>
      </c>
      <c r="F552" s="448"/>
      <c r="G552" s="448"/>
      <c r="H552" s="448"/>
      <c r="I552" s="448"/>
      <c r="J552" s="449"/>
      <c r="K552" s="184">
        <v>39.5</v>
      </c>
      <c r="L552" s="57" t="s">
        <v>172</v>
      </c>
      <c r="M552" s="93"/>
      <c r="N552" s="68"/>
      <c r="O552" s="115"/>
      <c r="Q552" s="348"/>
    </row>
    <row r="553" spans="2:17" s="128" customFormat="1" ht="15">
      <c r="B553" s="150"/>
      <c r="C553" s="16"/>
      <c r="D553" s="16"/>
      <c r="E553" s="276"/>
      <c r="F553" s="221"/>
      <c r="G553" s="221"/>
      <c r="H553" s="221"/>
      <c r="I553" s="221"/>
      <c r="J553" s="222"/>
      <c r="K553" s="184"/>
      <c r="L553" s="57"/>
      <c r="M553" s="93"/>
      <c r="N553" s="68"/>
      <c r="O553" s="115"/>
      <c r="Q553" s="348"/>
    </row>
    <row r="554" spans="2:17" s="128" customFormat="1" ht="15">
      <c r="B554" s="150" t="str">
        <f>B552</f>
        <v>1º ANDAR DA BILHETERIA</v>
      </c>
      <c r="C554" s="16">
        <v>87250</v>
      </c>
      <c r="D554" s="16" t="s">
        <v>8</v>
      </c>
      <c r="E554" s="447" t="str">
        <f>IFERROR(VLOOKUP($C554,'SINAPI JULHO 2018'!$1:$1048576,2,0),IFERROR(VLOOKUP($C554,'5-COMP. PROPRIA'!$B$13:$I$518,4,0),""))</f>
        <v>REVESTIMENTO CERÂMICO PARA PISO COM PLACAS TIPO ESMALTADA EXTRA DE DIMENSÕES 45X45 CM APLICADA EM AMBIENTES DE ÁREA ENTRE 5 M2 E 10 M2. AF_06/2014</v>
      </c>
      <c r="F554" s="448"/>
      <c r="G554" s="448"/>
      <c r="H554" s="448"/>
      <c r="I554" s="448"/>
      <c r="J554" s="449"/>
      <c r="K554" s="184">
        <f>K536</f>
        <v>51.55</v>
      </c>
      <c r="L554" s="57" t="s">
        <v>145</v>
      </c>
      <c r="M554" s="93"/>
      <c r="N554" s="68"/>
      <c r="O554" s="115"/>
      <c r="Q554" s="348"/>
    </row>
    <row r="555" spans="2:17" ht="15.75" thickBot="1">
      <c r="B555" s="150"/>
      <c r="E555" s="276"/>
      <c r="F555" s="221"/>
      <c r="G555" s="221"/>
      <c r="H555" s="221"/>
      <c r="I555" s="221"/>
      <c r="J555" s="222"/>
      <c r="K555" s="184"/>
      <c r="M555" s="93"/>
      <c r="N555" s="68"/>
      <c r="O555" s="115"/>
      <c r="Q555" s="127"/>
    </row>
    <row r="556" spans="2:17" ht="13.5" thickBot="1">
      <c r="B556" s="150"/>
      <c r="D556" s="91"/>
      <c r="E556" s="444" t="s">
        <v>182</v>
      </c>
      <c r="F556" s="445"/>
      <c r="G556" s="445"/>
      <c r="H556" s="445"/>
      <c r="I556" s="445"/>
      <c r="J556" s="446"/>
      <c r="K556" s="183"/>
      <c r="M556" s="93"/>
      <c r="N556" s="68"/>
      <c r="O556" s="115"/>
      <c r="Q556" s="127"/>
    </row>
    <row r="557" spans="2:17" ht="15">
      <c r="B557" s="150"/>
      <c r="E557" s="276"/>
      <c r="F557" s="221"/>
      <c r="G557" s="221"/>
      <c r="H557" s="221"/>
      <c r="I557" s="221"/>
      <c r="J557" s="222"/>
      <c r="K557" s="184"/>
      <c r="M557" s="93"/>
      <c r="N557" s="68"/>
      <c r="O557" s="115"/>
      <c r="Q557" s="127"/>
    </row>
    <row r="558" spans="2:17" ht="15">
      <c r="B558" s="150"/>
      <c r="C558" s="26" t="s">
        <v>183</v>
      </c>
      <c r="D558" s="26" t="s">
        <v>8</v>
      </c>
      <c r="E558" s="447" t="str">
        <f>IFERROR(VLOOKUP($C558,'SINAPI JULHO 2018'!$1:$1048576,2,0),IFERROR(VLOOKUP($C558,'5-COMP. PROPRIA'!$B$13:$I$518,4,0),""))</f>
        <v>GUARDA-CORPO  COM CORRIMAO EM FERRO BARRA CHATA 3/16"</v>
      </c>
      <c r="F558" s="448"/>
      <c r="G558" s="448"/>
      <c r="H558" s="448"/>
      <c r="I558" s="448"/>
      <c r="J558" s="449"/>
      <c r="K558" s="184">
        <v>10.4</v>
      </c>
      <c r="L558" s="57" t="s">
        <v>172</v>
      </c>
      <c r="M558" s="93"/>
      <c r="N558" s="68"/>
      <c r="O558" s="115"/>
      <c r="Q558" s="127"/>
    </row>
    <row r="559" spans="2:17" ht="15">
      <c r="B559" s="150"/>
      <c r="E559" s="276"/>
      <c r="F559" s="221"/>
      <c r="G559" s="221"/>
      <c r="H559" s="221"/>
      <c r="I559" s="221"/>
      <c r="J559" s="222"/>
      <c r="K559" s="184"/>
      <c r="L559" s="57"/>
      <c r="M559" s="93"/>
      <c r="N559" s="68"/>
      <c r="O559" s="115"/>
      <c r="Q559" s="127"/>
    </row>
    <row r="560" spans="2:17" ht="15">
      <c r="B560" s="150"/>
      <c r="C560" s="94" t="str">
        <f>'5-COMP. PROPRIA'!B216</f>
        <v>CP-LIX-02</v>
      </c>
      <c r="D560" s="16" t="s">
        <v>35</v>
      </c>
      <c r="E560" s="447" t="str">
        <f>IFERROR(VLOOKUP($C560,'SINAPI JULHO 2018'!$1:$1048576,2,0),IFERROR(VLOOKUP($C560,'5-COMP. PROPRIA'!$B$13:$I$518,4,0),""))</f>
        <v xml:space="preserve">LIXAMENTO DE SUPERFICIE METÁLICA </v>
      </c>
      <c r="F560" s="448"/>
      <c r="G560" s="448"/>
      <c r="H560" s="448"/>
      <c r="I560" s="448"/>
      <c r="J560" s="449"/>
      <c r="K560" s="184">
        <f>K562</f>
        <v>31.200000000000003</v>
      </c>
      <c r="L560" s="57" t="s">
        <v>145</v>
      </c>
      <c r="M560" s="93"/>
      <c r="N560" s="68"/>
      <c r="O560" s="115"/>
      <c r="Q560" s="127"/>
    </row>
    <row r="561" spans="2:17" ht="15">
      <c r="B561" s="150"/>
      <c r="E561" s="276"/>
      <c r="F561" s="221"/>
      <c r="G561" s="221"/>
      <c r="H561" s="221"/>
      <c r="I561" s="221"/>
      <c r="J561" s="222"/>
      <c r="K561" s="184"/>
      <c r="L561" s="57"/>
      <c r="M561" s="93"/>
      <c r="N561" s="68"/>
      <c r="O561" s="115"/>
      <c r="Q561" s="127"/>
    </row>
    <row r="562" spans="2:17" ht="15">
      <c r="B562" s="150"/>
      <c r="C562" s="94" t="s">
        <v>142</v>
      </c>
      <c r="D562" s="26" t="s">
        <v>8</v>
      </c>
      <c r="E562" s="447" t="str">
        <f>IFERROR(VLOOKUP($C562,'SINAPI JULHO 2018'!$1:$1048576,2,0),IFERROR(VLOOKUP($C562,'5-COMP. PROPRIA'!$B$13:$I$518,4,0),""))</f>
        <v>PINTURA ESMALTE ALTO BRILHO, DUAS DEMAOS, SOBRE SUPERFICIE METALICA</v>
      </c>
      <c r="F562" s="448"/>
      <c r="G562" s="448"/>
      <c r="H562" s="448"/>
      <c r="I562" s="448"/>
      <c r="J562" s="449"/>
      <c r="K562" s="184">
        <f>K558*1.2*2.5</f>
        <v>31.200000000000003</v>
      </c>
      <c r="L562" s="57" t="s">
        <v>145</v>
      </c>
      <c r="M562" s="93"/>
      <c r="N562" s="68"/>
      <c r="O562" s="115"/>
      <c r="Q562" s="127"/>
    </row>
    <row r="563" spans="2:17" ht="15.75" thickBot="1">
      <c r="B563" s="150"/>
      <c r="E563" s="276"/>
      <c r="F563" s="221"/>
      <c r="G563" s="221"/>
      <c r="H563" s="221"/>
      <c r="I563" s="221"/>
      <c r="J563" s="222"/>
      <c r="K563" s="184"/>
      <c r="M563" s="93"/>
      <c r="N563" s="68"/>
      <c r="O563" s="115"/>
      <c r="Q563" s="127"/>
    </row>
    <row r="564" spans="2:17" ht="13.5" thickBot="1">
      <c r="B564" s="150"/>
      <c r="D564" s="91"/>
      <c r="E564" s="444" t="s">
        <v>184</v>
      </c>
      <c r="F564" s="445"/>
      <c r="G564" s="445"/>
      <c r="H564" s="445"/>
      <c r="I564" s="445"/>
      <c r="J564" s="446"/>
      <c r="K564" s="183"/>
      <c r="M564" s="93"/>
      <c r="N564" s="68"/>
      <c r="O564" s="115"/>
      <c r="Q564" s="127"/>
    </row>
    <row r="565" spans="2:17">
      <c r="B565" s="150"/>
      <c r="D565" s="91"/>
      <c r="E565" s="113"/>
      <c r="F565" s="56"/>
      <c r="G565" s="56"/>
      <c r="H565" s="56"/>
      <c r="I565" s="56"/>
      <c r="J565" s="240"/>
      <c r="K565" s="183"/>
      <c r="M565" s="93"/>
      <c r="N565" s="68"/>
      <c r="O565" s="115"/>
      <c r="Q565" s="127"/>
    </row>
    <row r="566" spans="2:17" ht="15">
      <c r="B566" s="268"/>
      <c r="C566" s="269"/>
      <c r="D566" s="269"/>
      <c r="E566" s="462" t="s">
        <v>185</v>
      </c>
      <c r="F566" s="463"/>
      <c r="G566" s="463"/>
      <c r="H566" s="463"/>
      <c r="I566" s="463"/>
      <c r="J566" s="464"/>
      <c r="K566" s="270"/>
      <c r="L566" s="271"/>
      <c r="M566" s="272"/>
      <c r="N566" s="273"/>
      <c r="O566" s="115"/>
      <c r="Q566" s="127"/>
    </row>
    <row r="567" spans="2:17" ht="15">
      <c r="B567" s="157"/>
      <c r="C567" s="188"/>
      <c r="D567" s="188"/>
      <c r="E567" s="277"/>
      <c r="F567" s="278"/>
      <c r="G567" s="278"/>
      <c r="H567" s="278"/>
      <c r="I567" s="278"/>
      <c r="J567" s="279"/>
      <c r="K567" s="262"/>
      <c r="L567" s="263"/>
      <c r="M567" s="93"/>
      <c r="N567" s="68"/>
      <c r="O567" s="115"/>
      <c r="Q567" s="127"/>
    </row>
    <row r="568" spans="2:17" s="128" customFormat="1" ht="19.5" customHeight="1">
      <c r="B568" s="150" t="s">
        <v>186</v>
      </c>
      <c r="C568" s="136" t="str">
        <f>'5-COMP. PROPRIA'!B111</f>
        <v>CP-URB-01</v>
      </c>
      <c r="D568" s="16" t="s">
        <v>35</v>
      </c>
      <c r="E568" s="447" t="str">
        <f>IFERROR(VLOOKUP($C568,'SINAPI JULHO 2018'!$1:$1048576,2,0),IFERROR(VLOOKUP($C568,'5-COMP. PROPRIA'!$B$13:$I$518,4,0),""))</f>
        <v xml:space="preserve">AQUISIÇÃO  CARGA, TRANSPORTE E ESPALHAMENTO DE SOLO VEGETAL </v>
      </c>
      <c r="F568" s="448"/>
      <c r="G568" s="448"/>
      <c r="H568" s="448"/>
      <c r="I568" s="448"/>
      <c r="J568" s="449"/>
      <c r="K568" s="184">
        <f>(7355+2316)*0.03</f>
        <v>290.13</v>
      </c>
      <c r="L568" s="57" t="s">
        <v>178</v>
      </c>
      <c r="M568" s="93"/>
      <c r="N568" s="68"/>
      <c r="O568" s="115"/>
      <c r="Q568" s="348"/>
    </row>
    <row r="569" spans="2:17" ht="15">
      <c r="B569" s="150"/>
      <c r="E569" s="276"/>
      <c r="F569" s="221"/>
      <c r="G569" s="221"/>
      <c r="H569" s="221"/>
      <c r="I569" s="221"/>
      <c r="J569" s="222"/>
      <c r="K569" s="184"/>
      <c r="M569" s="93"/>
      <c r="N569" s="68"/>
      <c r="O569" s="115"/>
      <c r="Q569" s="127"/>
    </row>
    <row r="570" spans="2:17" ht="25.5">
      <c r="B570" s="150" t="s">
        <v>187</v>
      </c>
      <c r="C570" s="94">
        <v>85180</v>
      </c>
      <c r="D570" s="26" t="s">
        <v>8</v>
      </c>
      <c r="E570" s="447" t="str">
        <f>IFERROR(VLOOKUP($C570,'SINAPI JULHO 2018'!$1:$1048576,2,0),IFERROR(VLOOKUP($C570,'5-COMP. PROPRIA'!$B$13:$I$518,4,0),""))</f>
        <v>PLANTIO DE GRAMA ESMERALDA EM ROLO</v>
      </c>
      <c r="F570" s="448"/>
      <c r="G570" s="448"/>
      <c r="H570" s="448"/>
      <c r="I570" s="448"/>
      <c r="J570" s="449"/>
      <c r="K570" s="184">
        <f>2316+(7355*0.4)</f>
        <v>5258</v>
      </c>
      <c r="L570" s="57" t="s">
        <v>145</v>
      </c>
      <c r="M570" s="93"/>
      <c r="N570" s="68"/>
      <c r="O570" s="115"/>
      <c r="Q570" s="127"/>
    </row>
    <row r="571" spans="2:17" ht="15">
      <c r="B571" s="150"/>
      <c r="C571" s="94"/>
      <c r="E571" s="276"/>
      <c r="F571" s="221"/>
      <c r="G571" s="221"/>
      <c r="H571" s="221"/>
      <c r="I571" s="221"/>
      <c r="J571" s="222"/>
      <c r="K571" s="184"/>
      <c r="L571" s="57"/>
      <c r="M571" s="93"/>
      <c r="N571" s="68"/>
      <c r="O571" s="115"/>
      <c r="Q571" s="127"/>
    </row>
    <row r="572" spans="2:17" ht="15">
      <c r="B572" s="268"/>
      <c r="C572" s="269"/>
      <c r="D572" s="269"/>
      <c r="E572" s="462" t="s">
        <v>188</v>
      </c>
      <c r="F572" s="463"/>
      <c r="G572" s="463"/>
      <c r="H572" s="463"/>
      <c r="I572" s="463"/>
      <c r="J572" s="464"/>
      <c r="K572" s="270"/>
      <c r="L572" s="271"/>
      <c r="M572" s="272"/>
      <c r="N572" s="273"/>
      <c r="O572" s="115"/>
      <c r="Q572" s="127"/>
    </row>
    <row r="573" spans="2:17">
      <c r="B573" s="150"/>
      <c r="E573" s="112"/>
      <c r="F573" s="57"/>
      <c r="G573" s="57"/>
      <c r="H573" s="57"/>
      <c r="I573" s="57"/>
      <c r="J573" s="68"/>
      <c r="K573" s="70"/>
      <c r="L573" s="57"/>
      <c r="N573" s="104"/>
      <c r="O573" s="115"/>
      <c r="Q573" s="127"/>
    </row>
    <row r="574" spans="2:17" ht="15.75" thickBot="1">
      <c r="B574" s="150"/>
      <c r="C574" s="16" t="s">
        <v>189</v>
      </c>
      <c r="D574" s="16" t="s">
        <v>35</v>
      </c>
      <c r="E574" s="447" t="str">
        <f>IFERROR(VLOOKUP($C574,'SINAPI JULHO 2018'!$1:$1048576,2,0),IFERROR(VLOOKUP($C574,'5-COMP. PROPRIA'!$B$13:$I$518,4,0),""))</f>
        <v>AQUISIÇÃO DE CARGA E TRANSPORTE DE SOLO PARA ATERRO</v>
      </c>
      <c r="F574" s="448"/>
      <c r="G574" s="448"/>
      <c r="H574" s="448"/>
      <c r="I574" s="448"/>
      <c r="J574" s="449"/>
      <c r="K574" s="184">
        <f>SUM(K576:K577)</f>
        <v>42</v>
      </c>
      <c r="L574" s="57" t="s">
        <v>65</v>
      </c>
      <c r="N574" s="104"/>
      <c r="O574" s="115"/>
      <c r="Q574" s="127"/>
    </row>
    <row r="575" spans="2:17" ht="25.5">
      <c r="B575" s="441" t="s">
        <v>190</v>
      </c>
      <c r="C575" s="398"/>
      <c r="D575" s="398"/>
      <c r="E575" s="79"/>
      <c r="F575" s="67"/>
      <c r="G575" s="17"/>
      <c r="H575" s="67" t="s">
        <v>191</v>
      </c>
      <c r="I575" s="67"/>
      <c r="J575" s="89"/>
      <c r="K575" s="70"/>
      <c r="L575" s="57"/>
      <c r="N575" s="104"/>
      <c r="O575" s="115"/>
      <c r="Q575" s="127"/>
    </row>
    <row r="576" spans="2:17">
      <c r="B576" s="442"/>
      <c r="E576" s="88">
        <f>1.5*5</f>
        <v>7.5</v>
      </c>
      <c r="F576" s="67"/>
      <c r="G576" s="71">
        <v>0.7</v>
      </c>
      <c r="H576" s="71">
        <v>2</v>
      </c>
      <c r="I576" s="17"/>
      <c r="J576" s="89"/>
      <c r="K576" s="70">
        <f>E576*G576*H576</f>
        <v>10.5</v>
      </c>
      <c r="L576" s="57"/>
      <c r="N576" s="104"/>
      <c r="O576" s="115"/>
      <c r="Q576" s="127"/>
    </row>
    <row r="577" spans="2:17" ht="13.5" thickBot="1">
      <c r="B577" s="443"/>
      <c r="E577" s="88">
        <v>1.5</v>
      </c>
      <c r="F577" s="67"/>
      <c r="G577" s="71">
        <v>1.5</v>
      </c>
      <c r="H577" s="71">
        <f>8+6</f>
        <v>14</v>
      </c>
      <c r="I577" s="57"/>
      <c r="J577" s="68"/>
      <c r="K577" s="70">
        <f>E577*G577*H577</f>
        <v>31.5</v>
      </c>
      <c r="L577" s="57"/>
      <c r="N577" s="104"/>
      <c r="O577" s="115"/>
      <c r="Q577" s="127"/>
    </row>
    <row r="578" spans="2:17">
      <c r="B578" s="150"/>
      <c r="E578" s="112"/>
      <c r="F578" s="57"/>
      <c r="G578" s="57"/>
      <c r="H578" s="57"/>
      <c r="I578" s="57"/>
      <c r="J578" s="68"/>
      <c r="K578" s="70"/>
      <c r="L578" s="57"/>
      <c r="N578" s="104"/>
      <c r="O578" s="115"/>
      <c r="Q578" s="127"/>
    </row>
    <row r="579" spans="2:17" ht="34.5" customHeight="1">
      <c r="B579" s="150"/>
      <c r="C579" s="26">
        <v>96385</v>
      </c>
      <c r="D579" s="16" t="s">
        <v>8</v>
      </c>
      <c r="E579" s="447" t="str">
        <f>IFERROR(VLOOKUP($C579,'SINAPI JULHO 2018'!$1:$1048576,2,0),IFERROR(VLOOKUP($C579,'5-COMP. PROPRIA'!$B$13:$I$518,4,0),""))</f>
        <v>EXECUÇÃO E COMPACTAÇÃO DE ATERRO COM SOLO PREDOMINANTEMENTE ARGILOSO - EXCLUSIVE ESCAVAÇÃO, CARGA E TRANSPORTE E SOLO. AF_09/2017</v>
      </c>
      <c r="F579" s="448"/>
      <c r="G579" s="448"/>
      <c r="H579" s="448"/>
      <c r="I579" s="448"/>
      <c r="J579" s="449"/>
      <c r="K579" s="184">
        <f>K574</f>
        <v>42</v>
      </c>
      <c r="L579" s="57" t="s">
        <v>65</v>
      </c>
      <c r="N579" s="104"/>
      <c r="O579" s="115"/>
      <c r="Q579" s="127"/>
    </row>
    <row r="580" spans="2:17" ht="15">
      <c r="B580" s="150"/>
      <c r="E580" s="276"/>
      <c r="F580" s="221"/>
      <c r="G580" s="221"/>
      <c r="H580" s="221"/>
      <c r="I580" s="221"/>
      <c r="J580" s="222"/>
      <c r="K580" s="184"/>
      <c r="M580" s="93"/>
      <c r="N580" s="68"/>
      <c r="O580" s="115"/>
      <c r="Q580" s="127"/>
    </row>
    <row r="581" spans="2:17" ht="39.75" customHeight="1">
      <c r="B581" s="150"/>
      <c r="C581" s="16">
        <v>94992</v>
      </c>
      <c r="D581" s="16" t="s">
        <v>8</v>
      </c>
      <c r="E581" s="447" t="str">
        <f>IFERROR(VLOOKUP($C581,'SINAPI JULHO 2018'!$1:$1048576,2,0),IFERROR(VLOOKUP($C581,'5-COMP. PROPRIA'!$B$13:$I$518,4,0),""))</f>
        <v>EXECUÇÃO DE PASSEIO (CALÇADA) OU PISO DE CONCRETO COM CONCRETO MOLDADO IN LOCO, FEITO EM OBRA, ACABAMENTO CONVENCIONAL, ESPESSURA 6 CM, ARMADO. AF_07/2016</v>
      </c>
      <c r="F581" s="448"/>
      <c r="G581" s="448"/>
      <c r="H581" s="448"/>
      <c r="I581" s="448"/>
      <c r="J581" s="449"/>
      <c r="K581" s="184">
        <v>15</v>
      </c>
      <c r="L581" s="57" t="s">
        <v>145</v>
      </c>
      <c r="M581" s="93"/>
      <c r="N581" s="68"/>
      <c r="O581" s="115"/>
      <c r="Q581" s="127"/>
    </row>
    <row r="582" spans="2:17" ht="15">
      <c r="B582" s="150"/>
      <c r="C582" s="16"/>
      <c r="D582" s="16"/>
      <c r="E582" s="276"/>
      <c r="F582" s="221"/>
      <c r="G582" s="221"/>
      <c r="H582" s="221"/>
      <c r="I582" s="221"/>
      <c r="J582" s="222"/>
      <c r="K582" s="184"/>
      <c r="L582" s="57"/>
      <c r="M582" s="93"/>
      <c r="N582" s="68"/>
      <c r="O582" s="115"/>
      <c r="Q582" s="127"/>
    </row>
    <row r="583" spans="2:17" ht="15">
      <c r="B583" s="150"/>
      <c r="C583" s="136" t="str">
        <f>'5-COMP. PROPRIA'!B116</f>
        <v>CP-URB-02</v>
      </c>
      <c r="D583" s="16" t="s">
        <v>35</v>
      </c>
      <c r="E583" s="447" t="str">
        <f>IFERROR(VLOOKUP($C583,'SINAPI JULHO 2018'!$1:$1048576,2,0),IFERROR(VLOOKUP($C583,'5-COMP. PROPRIA'!$B$13:$I$518,4,0),""))</f>
        <v>BANCO DE CONCRETO</v>
      </c>
      <c r="F583" s="448"/>
      <c r="G583" s="448"/>
      <c r="H583" s="448"/>
      <c r="I583" s="448"/>
      <c r="J583" s="449"/>
      <c r="K583" s="184">
        <v>2</v>
      </c>
      <c r="L583" s="57" t="s">
        <v>5</v>
      </c>
      <c r="M583" s="93"/>
      <c r="N583" s="68"/>
      <c r="O583" s="115"/>
      <c r="Q583" s="127"/>
    </row>
    <row r="584" spans="2:17" ht="15">
      <c r="B584" s="150"/>
      <c r="C584" s="136"/>
      <c r="D584" s="16"/>
      <c r="E584" s="276"/>
      <c r="F584" s="221"/>
      <c r="G584" s="221"/>
      <c r="H584" s="221"/>
      <c r="I584" s="221"/>
      <c r="J584" s="222"/>
      <c r="K584" s="184"/>
      <c r="L584" s="57"/>
      <c r="M584" s="93"/>
      <c r="N584" s="68"/>
      <c r="O584" s="115"/>
      <c r="Q584" s="127"/>
    </row>
    <row r="585" spans="2:17" ht="36.75" customHeight="1">
      <c r="B585" s="150"/>
      <c r="C585" s="136" t="str">
        <f>'5-COMP. PROPRIA'!B138</f>
        <v>CP-COB-01</v>
      </c>
      <c r="D585" s="16" t="s">
        <v>35</v>
      </c>
      <c r="E585" s="447" t="str">
        <f>IFERROR(VLOOKUP($C585,'SINAPI JULHO 2018'!$1:$1048576,2,0),IFERROR(VLOOKUP($C585,'5-COMP. PROPRIA'!$B$13:$I$518,4,0),""))</f>
        <v>COBERTURA DE POLICARBONATO, COM ESTRUTURA METALICA PINTADA - FORNECIMENTO E INSTALAÇÃO</v>
      </c>
      <c r="F585" s="448"/>
      <c r="G585" s="448"/>
      <c r="H585" s="448"/>
      <c r="I585" s="448"/>
      <c r="J585" s="449"/>
      <c r="K585" s="184">
        <v>20.16</v>
      </c>
      <c r="L585" s="57" t="s">
        <v>145</v>
      </c>
      <c r="M585" s="93"/>
      <c r="N585" s="68"/>
      <c r="O585" s="115"/>
      <c r="Q585" s="127"/>
    </row>
    <row r="586" spans="2:17" ht="15.75" thickBot="1">
      <c r="B586" s="150"/>
      <c r="C586" s="188"/>
      <c r="D586" s="188"/>
      <c r="E586" s="277"/>
      <c r="F586" s="278"/>
      <c r="G586" s="278"/>
      <c r="H586" s="278"/>
      <c r="I586" s="278"/>
      <c r="J586" s="279"/>
      <c r="K586" s="262"/>
      <c r="L586" s="263"/>
      <c r="M586" s="93"/>
      <c r="N586" s="68"/>
      <c r="O586" s="115"/>
      <c r="Q586" s="127"/>
    </row>
    <row r="587" spans="2:17" ht="13.5" thickBot="1">
      <c r="B587" s="150"/>
      <c r="D587" s="91"/>
      <c r="E587" s="444" t="s">
        <v>192</v>
      </c>
      <c r="F587" s="445"/>
      <c r="G587" s="445"/>
      <c r="H587" s="445"/>
      <c r="I587" s="445"/>
      <c r="J587" s="446"/>
      <c r="K587" s="183"/>
      <c r="M587" s="93"/>
      <c r="N587" s="68"/>
      <c r="O587" s="115"/>
      <c r="Q587" s="127"/>
    </row>
    <row r="588" spans="2:17" ht="15">
      <c r="B588" s="150"/>
      <c r="E588" s="276"/>
      <c r="F588" s="221"/>
      <c r="G588" s="221"/>
      <c r="H588" s="221"/>
      <c r="I588" s="221"/>
      <c r="J588" s="222"/>
      <c r="K588" s="184"/>
      <c r="M588" s="93"/>
      <c r="N588" s="68"/>
      <c r="O588" s="115"/>
      <c r="Q588" s="127"/>
    </row>
    <row r="589" spans="2:17" ht="15">
      <c r="B589" s="150"/>
      <c r="C589" s="94">
        <v>84084</v>
      </c>
      <c r="D589" s="26" t="s">
        <v>8</v>
      </c>
      <c r="E589" s="447" t="str">
        <f>IFERROR(VLOOKUP($C589,'SINAPI JULHO 2018'!$1:$1048576,2,0),IFERROR(VLOOKUP($C589,'5-COMP. PROPRIA'!$B$13:$I$518,4,0),""))</f>
        <v>APICOAMENTO MANUAL DE SUPERFICIE DE CONCRETO</v>
      </c>
      <c r="F589" s="448"/>
      <c r="G589" s="448"/>
      <c r="H589" s="448"/>
      <c r="I589" s="448"/>
      <c r="J589" s="449"/>
      <c r="K589" s="184">
        <v>282.85000000000002</v>
      </c>
      <c r="L589" s="57" t="s">
        <v>145</v>
      </c>
      <c r="M589" s="93"/>
      <c r="N589" s="68"/>
      <c r="O589" s="115"/>
      <c r="Q589" s="127"/>
    </row>
    <row r="590" spans="2:17" ht="15">
      <c r="B590" s="150"/>
      <c r="E590" s="276"/>
      <c r="F590" s="221"/>
      <c r="G590" s="221"/>
      <c r="H590" s="221"/>
      <c r="I590" s="221"/>
      <c r="J590" s="222"/>
      <c r="K590" s="184"/>
      <c r="M590" s="93"/>
      <c r="N590" s="68"/>
      <c r="O590" s="115"/>
      <c r="Q590" s="127"/>
    </row>
    <row r="591" spans="2:17" ht="15">
      <c r="B591" s="150"/>
      <c r="C591" s="94">
        <v>72897</v>
      </c>
      <c r="D591" s="26" t="s">
        <v>8</v>
      </c>
      <c r="E591" s="447" t="str">
        <f>IFERROR(VLOOKUP($C591,'SINAPI JULHO 2018'!$1:$1048576,2,0),IFERROR(VLOOKUP($C591,'5-COMP. PROPRIA'!$B$13:$I$518,4,0),""))</f>
        <v>CARGA MANUAL DE ENTULHO EM CAMINHAO BASCULANTE 6 M3</v>
      </c>
      <c r="F591" s="448"/>
      <c r="G591" s="448"/>
      <c r="H591" s="448"/>
      <c r="I591" s="448"/>
      <c r="J591" s="449"/>
      <c r="K591" s="184">
        <f>K589*0.03*1.3</f>
        <v>11.03115</v>
      </c>
      <c r="L591" s="57" t="s">
        <v>178</v>
      </c>
      <c r="M591" s="93"/>
      <c r="N591" s="68"/>
      <c r="O591" s="115"/>
      <c r="Q591" s="127"/>
    </row>
    <row r="592" spans="2:17" ht="15">
      <c r="B592" s="150"/>
      <c r="E592" s="276"/>
      <c r="F592" s="221"/>
      <c r="G592" s="221"/>
      <c r="H592" s="221"/>
      <c r="I592" s="221"/>
      <c r="J592" s="222"/>
      <c r="K592" s="184"/>
      <c r="M592" s="93"/>
      <c r="N592" s="68"/>
      <c r="O592" s="115"/>
      <c r="Q592" s="127"/>
    </row>
    <row r="593" spans="2:17" ht="15">
      <c r="B593" s="150"/>
      <c r="C593" s="16">
        <v>97914</v>
      </c>
      <c r="D593" s="26" t="s">
        <v>8</v>
      </c>
      <c r="E593" s="447" t="str">
        <f>IFERROR(VLOOKUP($C593,'SINAPI JULHO 2018'!$1:$1048576,2,0),IFERROR(VLOOKUP($C593,'5-COMP. PROPRIA'!$B$13:$I$518,4,0),""))</f>
        <v>TRANSPORTE COM CAMINHÃO BASCULANTE DE 6 M3, EM VIA URBANA PAVIMENTADA, DMT ATÉ 30 KM (UNIDADE: M3XKM). AF_01/2018</v>
      </c>
      <c r="F593" s="448"/>
      <c r="G593" s="448"/>
      <c r="H593" s="448"/>
      <c r="I593" s="448"/>
      <c r="J593" s="449"/>
      <c r="K593" s="184">
        <f>K591*10</f>
        <v>110.3115</v>
      </c>
      <c r="L593" s="57" t="s">
        <v>193</v>
      </c>
      <c r="M593" s="93"/>
      <c r="N593" s="68"/>
      <c r="O593" s="115"/>
      <c r="Q593" s="127"/>
    </row>
    <row r="594" spans="2:17" ht="15">
      <c r="B594" s="150"/>
      <c r="E594" s="276"/>
      <c r="F594" s="221"/>
      <c r="G594" s="221"/>
      <c r="H594" s="221"/>
      <c r="I594" s="221"/>
      <c r="J594" s="222"/>
      <c r="K594" s="184"/>
      <c r="M594" s="93"/>
      <c r="N594" s="68"/>
      <c r="O594" s="115"/>
      <c r="Q594" s="127"/>
    </row>
    <row r="595" spans="2:17" ht="15">
      <c r="B595" s="150"/>
      <c r="C595" s="94" t="str">
        <f>'5-COMP. PROPRIA'!B97</f>
        <v>CP-PIS-01</v>
      </c>
      <c r="D595" s="16" t="s">
        <v>35</v>
      </c>
      <c r="E595" s="447" t="str">
        <f>IFERROR(VLOOKUP($C595,'SINAPI JULHO 2018'!$1:$1048576,2,0),IFERROR(VLOOKUP($C595,'5-COMP. PROPRIA'!$B$13:$I$518,4,0),""))</f>
        <v>REPARO EM PISO DE CONCRETO</v>
      </c>
      <c r="F595" s="448"/>
      <c r="G595" s="448"/>
      <c r="H595" s="448"/>
      <c r="I595" s="448"/>
      <c r="J595" s="449"/>
      <c r="K595" s="184">
        <f>K597+K598</f>
        <v>38.567999999999998</v>
      </c>
      <c r="L595" s="57" t="s">
        <v>178</v>
      </c>
      <c r="M595" s="93"/>
      <c r="N595" s="68"/>
      <c r="O595" s="115"/>
      <c r="Q595" s="127"/>
    </row>
    <row r="596" spans="2:17" ht="15">
      <c r="B596" s="150"/>
      <c r="C596" s="94"/>
      <c r="E596" s="276"/>
      <c r="F596" s="221"/>
      <c r="G596" s="221"/>
      <c r="H596" s="221"/>
      <c r="I596" s="221"/>
      <c r="J596" s="222"/>
      <c r="K596" s="184"/>
      <c r="L596" s="57"/>
      <c r="M596" s="93"/>
      <c r="N596" s="68"/>
      <c r="O596" s="115"/>
      <c r="Q596" s="127"/>
    </row>
    <row r="597" spans="2:17" ht="15">
      <c r="B597" s="150" t="s">
        <v>194</v>
      </c>
      <c r="C597" s="94"/>
      <c r="E597" s="276">
        <v>282.85000000000002</v>
      </c>
      <c r="F597" s="221">
        <v>0.03</v>
      </c>
      <c r="G597" s="221"/>
      <c r="H597" s="221"/>
      <c r="I597" s="221"/>
      <c r="J597" s="222"/>
      <c r="K597" s="184">
        <f>E597*F597</f>
        <v>8.4855</v>
      </c>
      <c r="L597" s="57" t="s">
        <v>178</v>
      </c>
      <c r="M597" s="93"/>
      <c r="N597" s="68"/>
      <c r="O597" s="115"/>
      <c r="Q597" s="127"/>
    </row>
    <row r="598" spans="2:17" ht="15">
      <c r="B598" s="150" t="s">
        <v>195</v>
      </c>
      <c r="C598" s="94"/>
      <c r="E598" s="276">
        <f>286.5*3.5</f>
        <v>1002.75</v>
      </c>
      <c r="F598" s="221">
        <v>0.03</v>
      </c>
      <c r="G598" s="221"/>
      <c r="H598" s="221"/>
      <c r="I598" s="221"/>
      <c r="J598" s="222"/>
      <c r="K598" s="184">
        <f>E598*F598</f>
        <v>30.0825</v>
      </c>
      <c r="L598" s="57" t="s">
        <v>178</v>
      </c>
      <c r="M598" s="93"/>
      <c r="N598" s="68"/>
      <c r="O598" s="115"/>
      <c r="Q598" s="127"/>
    </row>
    <row r="599" spans="2:17" ht="15">
      <c r="B599" s="150"/>
      <c r="C599" s="94"/>
      <c r="E599" s="276"/>
      <c r="F599" s="221"/>
      <c r="G599" s="221"/>
      <c r="H599" s="221"/>
      <c r="I599" s="221"/>
      <c r="J599" s="222"/>
      <c r="K599" s="184"/>
      <c r="L599" s="57"/>
      <c r="M599" s="93"/>
      <c r="N599" s="68"/>
      <c r="O599" s="115"/>
      <c r="Q599" s="127"/>
    </row>
    <row r="600" spans="2:17" ht="15">
      <c r="B600" s="150"/>
      <c r="E600" s="276"/>
      <c r="F600" s="221"/>
      <c r="G600" s="221"/>
      <c r="H600" s="221"/>
      <c r="I600" s="221"/>
      <c r="J600" s="222"/>
      <c r="K600" s="184"/>
      <c r="M600" s="93"/>
      <c r="N600" s="68"/>
      <c r="O600" s="115"/>
      <c r="Q600" s="127"/>
    </row>
    <row r="601" spans="2:17" ht="15">
      <c r="B601" s="150" t="s">
        <v>196</v>
      </c>
      <c r="C601" s="16">
        <v>94263</v>
      </c>
      <c r="D601" s="16" t="s">
        <v>8</v>
      </c>
      <c r="E601" s="447" t="str">
        <f>IFERROR(VLOOKUP($C601,'SINAPI JULHO 2018'!$1:$1048576,2,0),IFERROR(VLOOKUP($C601,'5-COMP. PROPRIA'!$B$13:$I$518,4,0),""))</f>
        <v>GUIA (MEIO-FIO) CONCRETO, MOLDADA  IN LOCO  EM TRECHO RETO COM EXTRUSORA, 11,5 CM BASE X 22 CM ALTURA. AF_06/2016</v>
      </c>
      <c r="F601" s="448"/>
      <c r="G601" s="448"/>
      <c r="H601" s="448"/>
      <c r="I601" s="448"/>
      <c r="J601" s="449"/>
      <c r="K601" s="184">
        <f>286.5*0.2</f>
        <v>57.300000000000004</v>
      </c>
      <c r="L601" s="57" t="s">
        <v>172</v>
      </c>
      <c r="M601" s="93"/>
      <c r="N601" s="68"/>
      <c r="O601" s="115"/>
      <c r="Q601" s="127"/>
    </row>
    <row r="602" spans="2:17" ht="15.75" thickBot="1">
      <c r="B602" s="150"/>
      <c r="E602" s="276"/>
      <c r="F602" s="221"/>
      <c r="G602" s="221"/>
      <c r="H602" s="221"/>
      <c r="I602" s="221"/>
      <c r="J602" s="222"/>
      <c r="K602" s="184"/>
      <c r="M602" s="93"/>
      <c r="N602" s="68"/>
      <c r="O602" s="115"/>
      <c r="Q602" s="127"/>
    </row>
    <row r="603" spans="2:17" ht="15.75" thickBot="1">
      <c r="B603" s="150"/>
      <c r="D603" s="91"/>
      <c r="E603" s="444" t="s">
        <v>197</v>
      </c>
      <c r="F603" s="445"/>
      <c r="G603" s="445"/>
      <c r="H603" s="445"/>
      <c r="I603" s="445"/>
      <c r="J603" s="446"/>
      <c r="K603" s="184"/>
      <c r="M603" s="93"/>
      <c r="N603" s="68"/>
      <c r="O603" s="115"/>
      <c r="Q603" s="127"/>
    </row>
    <row r="604" spans="2:17" ht="15">
      <c r="B604" s="150"/>
      <c r="E604" s="276"/>
      <c r="F604" s="221"/>
      <c r="G604" s="221"/>
      <c r="H604" s="221"/>
      <c r="I604" s="221"/>
      <c r="J604" s="222"/>
      <c r="K604" s="184"/>
      <c r="M604" s="93"/>
      <c r="N604" s="68"/>
      <c r="O604" s="115"/>
      <c r="Q604" s="127"/>
    </row>
    <row r="605" spans="2:17" ht="38.25" customHeight="1">
      <c r="B605" s="150"/>
      <c r="C605" s="16" t="s">
        <v>198</v>
      </c>
      <c r="D605" s="26" t="s">
        <v>8</v>
      </c>
      <c r="E605" s="447" t="str">
        <f>IFERROR(VLOOKUP($C605,'SINAPI JULHO 2018'!$1:$1048576,2,0),IFERROR(VLOOKUP($C605,'5-COMP. PROPRIA'!$B$13:$I$518,4,0),""))</f>
        <v>PORTAO EM TELA ARAME GALVANIZADO N.12 MALHA 2" E MOLDURA EM TUBOS DE ACO COM DUAS FOLHAS DE ABRIR, INCLUSO FERRAGENS</v>
      </c>
      <c r="F605" s="448"/>
      <c r="G605" s="448"/>
      <c r="H605" s="448"/>
      <c r="I605" s="448"/>
      <c r="J605" s="449"/>
      <c r="K605" s="184">
        <f>SUM(K607:K608)</f>
        <v>10</v>
      </c>
      <c r="L605" s="57" t="s">
        <v>145</v>
      </c>
      <c r="M605" s="93"/>
      <c r="N605" s="68"/>
      <c r="O605" s="115"/>
      <c r="Q605" s="127"/>
    </row>
    <row r="606" spans="2:17" ht="15">
      <c r="B606" s="150"/>
      <c r="E606" s="276" t="s">
        <v>199</v>
      </c>
      <c r="F606" s="54" t="s">
        <v>200</v>
      </c>
      <c r="G606" s="221" t="s">
        <v>201</v>
      </c>
      <c r="H606" s="221"/>
      <c r="I606" s="221"/>
      <c r="J606" s="222"/>
      <c r="K606" s="184"/>
      <c r="M606" s="93"/>
      <c r="N606" s="68"/>
      <c r="O606" s="115"/>
      <c r="Q606" s="127"/>
    </row>
    <row r="607" spans="2:17" ht="15">
      <c r="B607" s="150" t="s">
        <v>202</v>
      </c>
      <c r="E607" s="276">
        <v>2</v>
      </c>
      <c r="F607" s="221">
        <v>3.5</v>
      </c>
      <c r="G607" s="221">
        <v>1</v>
      </c>
      <c r="H607" s="221"/>
      <c r="I607" s="221"/>
      <c r="J607" s="222"/>
      <c r="K607" s="184">
        <f>E607*F607*G607</f>
        <v>7</v>
      </c>
      <c r="M607" s="93"/>
      <c r="N607" s="68"/>
      <c r="O607" s="115"/>
      <c r="Q607" s="127"/>
    </row>
    <row r="608" spans="2:17" ht="15">
      <c r="B608" s="150" t="s">
        <v>203</v>
      </c>
      <c r="E608" s="276">
        <v>2</v>
      </c>
      <c r="F608" s="221">
        <v>1.5</v>
      </c>
      <c r="G608" s="221">
        <v>1</v>
      </c>
      <c r="H608" s="221"/>
      <c r="I608" s="221"/>
      <c r="J608" s="222"/>
      <c r="K608" s="184">
        <f>E608*F608*G608</f>
        <v>3</v>
      </c>
      <c r="M608" s="93"/>
      <c r="N608" s="68"/>
      <c r="O608" s="115"/>
      <c r="Q608" s="127"/>
    </row>
    <row r="609" spans="2:17" ht="15">
      <c r="B609" s="150"/>
      <c r="E609" s="276"/>
      <c r="F609" s="221"/>
      <c r="G609" s="221"/>
      <c r="H609" s="221"/>
      <c r="I609" s="221"/>
      <c r="J609" s="222"/>
      <c r="K609" s="184"/>
      <c r="M609" s="93"/>
      <c r="N609" s="68"/>
      <c r="O609" s="115"/>
      <c r="Q609" s="127"/>
    </row>
    <row r="610" spans="2:17" ht="15">
      <c r="B610" s="150"/>
      <c r="C610" s="16">
        <v>68054</v>
      </c>
      <c r="D610" s="26" t="s">
        <v>8</v>
      </c>
      <c r="E610" s="447" t="str">
        <f>IFERROR(VLOOKUP($C610,'SINAPI JULHO 2018'!$1:$1048576,2,0),IFERROR(VLOOKUP($C610,'5-COMP. PROPRIA'!$B$13:$I$518,4,0),""))</f>
        <v>PORTAO DE FERRO EM CHAPA GALVANIZADA PLANA 14 GSG</v>
      </c>
      <c r="F610" s="448"/>
      <c r="G610" s="448"/>
      <c r="H610" s="448"/>
      <c r="I610" s="448"/>
      <c r="J610" s="449"/>
      <c r="K610" s="184">
        <f>SUM(K612:K614)</f>
        <v>21</v>
      </c>
      <c r="L610" s="57" t="s">
        <v>145</v>
      </c>
      <c r="M610" s="93"/>
      <c r="N610" s="68"/>
      <c r="O610" s="115"/>
      <c r="Q610" s="127"/>
    </row>
    <row r="611" spans="2:17" ht="15">
      <c r="B611" s="150"/>
      <c r="E611" s="276" t="s">
        <v>199</v>
      </c>
      <c r="F611" s="54" t="s">
        <v>200</v>
      </c>
      <c r="G611" s="221" t="s">
        <v>201</v>
      </c>
      <c r="H611" s="221"/>
      <c r="I611" s="221"/>
      <c r="J611" s="222"/>
      <c r="K611" s="184"/>
      <c r="M611" s="93"/>
      <c r="N611" s="68"/>
      <c r="O611" s="115"/>
      <c r="Q611" s="127"/>
    </row>
    <row r="612" spans="2:17" ht="15">
      <c r="B612" s="150" t="s">
        <v>204</v>
      </c>
      <c r="E612" s="276">
        <v>2.1</v>
      </c>
      <c r="F612" s="221">
        <v>3</v>
      </c>
      <c r="G612" s="221">
        <v>1</v>
      </c>
      <c r="H612" s="221"/>
      <c r="I612" s="221"/>
      <c r="J612" s="222"/>
      <c r="K612" s="184">
        <f>E612*F612*G612</f>
        <v>6.3000000000000007</v>
      </c>
      <c r="M612" s="93"/>
      <c r="N612" s="68"/>
      <c r="O612" s="115"/>
      <c r="Q612" s="127"/>
    </row>
    <row r="613" spans="2:17" ht="15">
      <c r="B613" s="150" t="s">
        <v>205</v>
      </c>
      <c r="E613" s="276">
        <v>2.1</v>
      </c>
      <c r="F613" s="221">
        <v>2</v>
      </c>
      <c r="G613" s="221">
        <v>1</v>
      </c>
      <c r="H613" s="221"/>
      <c r="I613" s="221"/>
      <c r="J613" s="222"/>
      <c r="K613" s="184">
        <f>E613*F613*G613</f>
        <v>4.2</v>
      </c>
      <c r="M613" s="93"/>
      <c r="N613" s="68"/>
      <c r="O613" s="115"/>
      <c r="Q613" s="127"/>
    </row>
    <row r="614" spans="2:17" ht="15">
      <c r="B614" s="150" t="s">
        <v>206</v>
      </c>
      <c r="E614" s="276">
        <v>3</v>
      </c>
      <c r="F614" s="221">
        <v>3.5</v>
      </c>
      <c r="G614" s="221">
        <v>1</v>
      </c>
      <c r="H614" s="221"/>
      <c r="I614" s="221"/>
      <c r="J614" s="222"/>
      <c r="K614" s="184">
        <f>E614*F614*G614</f>
        <v>10.5</v>
      </c>
      <c r="M614" s="93"/>
      <c r="N614" s="68"/>
      <c r="O614" s="115"/>
      <c r="Q614" s="127"/>
    </row>
    <row r="615" spans="2:17" ht="15">
      <c r="B615" s="150"/>
      <c r="E615" s="276"/>
      <c r="F615" s="221"/>
      <c r="G615" s="221"/>
      <c r="H615" s="221"/>
      <c r="I615" s="221"/>
      <c r="J615" s="222"/>
      <c r="K615" s="184"/>
      <c r="M615" s="93"/>
      <c r="N615" s="68"/>
      <c r="O615" s="115"/>
      <c r="Q615" s="127"/>
    </row>
    <row r="616" spans="2:17" ht="15">
      <c r="B616" s="150" t="s">
        <v>207</v>
      </c>
      <c r="C616" s="94" t="s">
        <v>141</v>
      </c>
      <c r="D616" s="16" t="s">
        <v>35</v>
      </c>
      <c r="E616" s="447" t="str">
        <f>IFERROR(VLOOKUP($C616,'SINAPI JULHO 2018'!$1:$1048576,2,0),IFERROR(VLOOKUP($C616,'5-COMP. PROPRIA'!$B$13:$I$518,4,0),""))</f>
        <v xml:space="preserve">LIXAMENTO DE SUPERFICIE METÁLICA </v>
      </c>
      <c r="F616" s="448"/>
      <c r="G616" s="448"/>
      <c r="H616" s="448"/>
      <c r="I616" s="448"/>
      <c r="J616" s="449"/>
      <c r="K616" s="184">
        <f>(K605+K610)*2</f>
        <v>62</v>
      </c>
      <c r="L616" s="57" t="s">
        <v>145</v>
      </c>
      <c r="M616" s="93"/>
      <c r="N616" s="68"/>
      <c r="O616" s="115"/>
      <c r="Q616" s="127"/>
    </row>
    <row r="617" spans="2:17" ht="15">
      <c r="B617" s="150"/>
      <c r="E617" s="276"/>
      <c r="F617" s="221"/>
      <c r="G617" s="221"/>
      <c r="H617" s="221"/>
      <c r="I617" s="221"/>
      <c r="J617" s="222"/>
      <c r="K617" s="184"/>
      <c r="L617" s="57"/>
      <c r="M617" s="93"/>
      <c r="N617" s="68"/>
      <c r="O617" s="115"/>
      <c r="Q617" s="127"/>
    </row>
    <row r="618" spans="2:17" ht="15">
      <c r="B618" s="150" t="s">
        <v>207</v>
      </c>
      <c r="C618" s="94" t="s">
        <v>142</v>
      </c>
      <c r="D618" s="26" t="s">
        <v>8</v>
      </c>
      <c r="E618" s="447" t="str">
        <f>IFERROR(VLOOKUP($C618,'SINAPI JULHO 2018'!$1:$1048576,2,0),IFERROR(VLOOKUP($C618,'5-COMP. PROPRIA'!$B$13:$I$518,4,0),""))</f>
        <v>PINTURA ESMALTE ALTO BRILHO, DUAS DEMAOS, SOBRE SUPERFICIE METALICA</v>
      </c>
      <c r="F618" s="448"/>
      <c r="G618" s="448"/>
      <c r="H618" s="448"/>
      <c r="I618" s="448"/>
      <c r="J618" s="449"/>
      <c r="K618" s="184">
        <f>K616</f>
        <v>62</v>
      </c>
      <c r="L618" s="57" t="s">
        <v>145</v>
      </c>
      <c r="M618" s="93"/>
      <c r="N618" s="68"/>
      <c r="O618" s="115"/>
      <c r="Q618" s="127"/>
    </row>
    <row r="619" spans="2:17" ht="15.75" thickBot="1">
      <c r="B619" s="150"/>
      <c r="E619" s="276"/>
      <c r="F619" s="221"/>
      <c r="G619" s="221"/>
      <c r="H619" s="221"/>
      <c r="I619" s="221"/>
      <c r="J619" s="222"/>
      <c r="K619" s="184"/>
      <c r="M619" s="93"/>
      <c r="N619" s="68"/>
      <c r="O619" s="115"/>
      <c r="Q619" s="127"/>
    </row>
    <row r="620" spans="2:17" ht="15.75" thickBot="1">
      <c r="B620" s="150"/>
      <c r="D620" s="91"/>
      <c r="E620" s="444" t="s">
        <v>208</v>
      </c>
      <c r="F620" s="445"/>
      <c r="G620" s="445"/>
      <c r="H620" s="445"/>
      <c r="I620" s="445"/>
      <c r="J620" s="446"/>
      <c r="K620" s="184"/>
      <c r="M620" s="93"/>
      <c r="N620" s="68"/>
      <c r="O620" s="115"/>
      <c r="Q620" s="127"/>
    </row>
    <row r="621" spans="2:17" ht="15">
      <c r="B621" s="150"/>
      <c r="E621" s="276"/>
      <c r="F621" s="221"/>
      <c r="G621" s="221"/>
      <c r="H621" s="221"/>
      <c r="I621" s="221"/>
      <c r="J621" s="222"/>
      <c r="K621" s="184"/>
      <c r="M621" s="93"/>
      <c r="N621" s="68"/>
      <c r="O621" s="115"/>
      <c r="Q621" s="127"/>
    </row>
    <row r="622" spans="2:17" ht="15">
      <c r="B622" s="150"/>
      <c r="C622" s="136" t="str">
        <f>'5-COMP. PROPRIA'!B102</f>
        <v>CP-PIS-02</v>
      </c>
      <c r="D622" s="16" t="s">
        <v>35</v>
      </c>
      <c r="E622" s="447" t="str">
        <f>IFERROR(VLOOKUP($C622,'SINAPI JULHO 2018'!$1:$1048576,2,0),IFERROR(VLOOKUP($C622,'5-COMP. PROPRIA'!$B$13:$I$518,4,0),""))</f>
        <v>REPARO EM ARQUIBANCADA</v>
      </c>
      <c r="F622" s="448"/>
      <c r="G622" s="448"/>
      <c r="H622" s="448"/>
      <c r="I622" s="448"/>
      <c r="J622" s="449"/>
      <c r="K622" s="184">
        <v>538.20000000000005</v>
      </c>
      <c r="L622" s="57" t="s">
        <v>145</v>
      </c>
      <c r="M622" s="93"/>
      <c r="N622" s="68"/>
      <c r="O622" s="115"/>
      <c r="Q622" s="127"/>
    </row>
    <row r="623" spans="2:17" ht="15">
      <c r="B623" s="150"/>
      <c r="E623" s="276"/>
      <c r="F623" s="221"/>
      <c r="G623" s="221"/>
      <c r="H623" s="221"/>
      <c r="I623" s="221"/>
      <c r="J623" s="222"/>
      <c r="K623" s="184"/>
      <c r="M623" s="93"/>
      <c r="N623" s="68"/>
      <c r="O623" s="115"/>
      <c r="Q623" s="127"/>
    </row>
    <row r="624" spans="2:17" ht="15">
      <c r="B624" s="150"/>
      <c r="C624" s="136" t="str">
        <f>'5-COMP. PROPRIA'!B126</f>
        <v>CP-ARQ-01</v>
      </c>
      <c r="D624" s="16" t="s">
        <v>35</v>
      </c>
      <c r="E624" s="447" t="str">
        <f>IFERROR(VLOOKUP($C624,'SINAPI JULHO 2018'!$1:$1048576,2,0),IFERROR(VLOOKUP($C624,'5-COMP. PROPRIA'!$B$13:$I$518,4,0),""))</f>
        <v>DEMOLIÇÃO E RECONSTRUÇÃO DE LAJE DE ASSENTO</v>
      </c>
      <c r="F624" s="448"/>
      <c r="G624" s="448"/>
      <c r="H624" s="448"/>
      <c r="I624" s="448"/>
      <c r="J624" s="449"/>
      <c r="K624" s="184">
        <v>41.4</v>
      </c>
      <c r="L624" s="57" t="s">
        <v>145</v>
      </c>
      <c r="M624" s="93"/>
      <c r="N624" s="68"/>
      <c r="O624" s="115"/>
      <c r="Q624" s="127"/>
    </row>
    <row r="625" spans="2:17" ht="15">
      <c r="B625" s="150"/>
      <c r="E625" s="276"/>
      <c r="F625" s="221"/>
      <c r="G625" s="221"/>
      <c r="H625" s="221"/>
      <c r="I625" s="221"/>
      <c r="J625" s="222"/>
      <c r="K625" s="184"/>
      <c r="M625" s="93"/>
      <c r="N625" s="68"/>
      <c r="O625" s="115"/>
      <c r="Q625" s="127"/>
    </row>
    <row r="626" spans="2:17" ht="15">
      <c r="B626" s="150" t="s">
        <v>209</v>
      </c>
      <c r="C626" s="16" t="s">
        <v>210</v>
      </c>
      <c r="D626" s="26" t="s">
        <v>8</v>
      </c>
      <c r="E626" s="447" t="str">
        <f>IFERROR(VLOOKUP($C626,'SINAPI JULHO 2018'!$1:$1048576,2,0),IFERROR(VLOOKUP($C626,'5-COMP. PROPRIA'!$B$13:$I$518,4,0),""))</f>
        <v>PINTURA ACRILICA EM PISO CIMENTADO, TRES DEMAOS</v>
      </c>
      <c r="F626" s="448"/>
      <c r="G626" s="448"/>
      <c r="H626" s="448"/>
      <c r="I626" s="448"/>
      <c r="J626" s="449"/>
      <c r="K626" s="184">
        <f>648.5*1.1</f>
        <v>713.35</v>
      </c>
      <c r="L626" s="57" t="s">
        <v>145</v>
      </c>
      <c r="M626" s="93"/>
      <c r="N626" s="68"/>
      <c r="O626" s="115"/>
      <c r="Q626" s="127"/>
    </row>
    <row r="627" spans="2:17" ht="15.75" thickBot="1">
      <c r="B627" s="150"/>
      <c r="E627" s="276"/>
      <c r="F627" s="221"/>
      <c r="G627" s="221"/>
      <c r="H627" s="221"/>
      <c r="I627" s="221"/>
      <c r="J627" s="222"/>
      <c r="K627" s="184"/>
      <c r="M627" s="93"/>
      <c r="N627" s="68"/>
      <c r="O627" s="115"/>
      <c r="Q627" s="127"/>
    </row>
    <row r="628" spans="2:17" s="353" customFormat="1" ht="15.75" thickBot="1">
      <c r="B628" s="322"/>
      <c r="C628" s="349"/>
      <c r="D628" s="349"/>
      <c r="E628" s="459" t="s">
        <v>211</v>
      </c>
      <c r="F628" s="460"/>
      <c r="G628" s="460"/>
      <c r="H628" s="460"/>
      <c r="I628" s="460"/>
      <c r="J628" s="461"/>
      <c r="K628" s="350"/>
      <c r="L628" s="351"/>
      <c r="M628" s="352"/>
      <c r="N628" s="318"/>
      <c r="O628" s="319"/>
      <c r="Q628" s="354"/>
    </row>
    <row r="629" spans="2:17" ht="15">
      <c r="B629" s="157"/>
      <c r="C629" s="188"/>
      <c r="D629" s="188"/>
      <c r="E629" s="277"/>
      <c r="F629" s="278"/>
      <c r="G629" s="278"/>
      <c r="H629" s="278"/>
      <c r="I629" s="278"/>
      <c r="J629" s="279"/>
      <c r="K629" s="262"/>
      <c r="L629" s="263"/>
      <c r="M629" s="301"/>
      <c r="N629" s="68"/>
      <c r="O629" s="115"/>
      <c r="Q629" s="127"/>
    </row>
    <row r="630" spans="2:17" ht="15">
      <c r="B630" s="157"/>
      <c r="C630" s="91"/>
      <c r="D630" s="91"/>
      <c r="E630" s="465" t="s">
        <v>212</v>
      </c>
      <c r="F630" s="466"/>
      <c r="G630" s="466"/>
      <c r="H630" s="123"/>
      <c r="J630" s="117"/>
      <c r="K630" s="183"/>
      <c r="L630" s="56"/>
      <c r="M630" s="93"/>
      <c r="N630" s="107"/>
      <c r="O630" s="115"/>
      <c r="Q630" s="127"/>
    </row>
    <row r="631" spans="2:17" ht="15">
      <c r="B631" s="150"/>
      <c r="E631" s="266"/>
      <c r="F631" s="99"/>
      <c r="G631" s="99"/>
      <c r="H631" s="99"/>
      <c r="I631" s="99"/>
      <c r="J631" s="267"/>
      <c r="K631" s="70"/>
      <c r="N631" s="104"/>
      <c r="O631" s="115"/>
      <c r="Q631" s="127"/>
    </row>
    <row r="632" spans="2:17" ht="33" customHeight="1">
      <c r="B632" s="150" t="s">
        <v>213</v>
      </c>
      <c r="C632" s="16">
        <v>97625</v>
      </c>
      <c r="D632" s="16" t="s">
        <v>8</v>
      </c>
      <c r="E632" s="447" t="str">
        <f>IFERROR(VLOOKUP($C632,'SINAPI JULHO 2018'!$1:$1048576,2,0),IFERROR(VLOOKUP($C632,'5-COMP. PROPRIA'!$B$13:$I$518,4,0),""))</f>
        <v>DEMOLIÇÃO DE ALVENARIA PARA QUALQUER TIPO DE BLOCO, DE FORMA MECANIZADA, SEM REAPROVEITAMENTO. AF_12/2017</v>
      </c>
      <c r="F632" s="448"/>
      <c r="G632" s="448"/>
      <c r="H632" s="448"/>
      <c r="I632" s="448"/>
      <c r="J632" s="449"/>
      <c r="K632" s="184">
        <f>212.4*4.1*0.15</f>
        <v>130.62599999999998</v>
      </c>
      <c r="L632" s="57" t="s">
        <v>178</v>
      </c>
      <c r="M632" s="301"/>
      <c r="N632" s="68"/>
      <c r="O632" s="115"/>
      <c r="Q632" s="127"/>
    </row>
    <row r="633" spans="2:17" ht="15">
      <c r="B633" s="150"/>
      <c r="C633" s="16"/>
      <c r="D633" s="16"/>
      <c r="E633" s="276"/>
      <c r="F633" s="221"/>
      <c r="G633" s="221"/>
      <c r="H633" s="221"/>
      <c r="I633" s="221"/>
      <c r="J633" s="222"/>
      <c r="K633" s="184"/>
      <c r="L633" s="57"/>
      <c r="M633" s="301"/>
      <c r="N633" s="68"/>
      <c r="O633" s="115"/>
      <c r="Q633" s="127"/>
    </row>
    <row r="634" spans="2:17" ht="15">
      <c r="B634" s="150"/>
      <c r="C634" s="16">
        <v>72897</v>
      </c>
      <c r="D634" s="16" t="s">
        <v>8</v>
      </c>
      <c r="E634" s="447" t="str">
        <f>IFERROR(VLOOKUP($C634,'SINAPI JULHO 2018'!$1:$1048576,2,0),IFERROR(VLOOKUP($C634,'5-COMP. PROPRIA'!$B$13:$I$518,4,0),""))</f>
        <v>CARGA MANUAL DE ENTULHO EM CAMINHAO BASCULANTE 6 M3</v>
      </c>
      <c r="F634" s="448"/>
      <c r="G634" s="448"/>
      <c r="H634" s="448"/>
      <c r="I634" s="448"/>
      <c r="J634" s="449"/>
      <c r="K634" s="184">
        <f>SUM(K636:K636)</f>
        <v>261.25199999999995</v>
      </c>
      <c r="L634" s="57" t="s">
        <v>178</v>
      </c>
      <c r="M634" s="301"/>
      <c r="N634" s="68"/>
      <c r="O634" s="115"/>
      <c r="Q634" s="127"/>
    </row>
    <row r="635" spans="2:17" ht="38.25">
      <c r="B635" s="150"/>
      <c r="C635" s="16"/>
      <c r="D635" s="16"/>
      <c r="E635" s="79"/>
      <c r="F635" s="67" t="s">
        <v>116</v>
      </c>
      <c r="G635" s="17"/>
      <c r="H635" s="67" t="s">
        <v>119</v>
      </c>
      <c r="I635" s="17"/>
      <c r="J635" s="220"/>
      <c r="K635" s="70"/>
      <c r="L635" s="57"/>
      <c r="M635" s="301"/>
      <c r="N635" s="68"/>
      <c r="O635" s="115"/>
      <c r="Q635" s="127"/>
    </row>
    <row r="636" spans="2:17">
      <c r="B636" s="157"/>
      <c r="E636" s="118"/>
      <c r="F636" s="17">
        <f>K632</f>
        <v>130.62599999999998</v>
      </c>
      <c r="G636" s="17"/>
      <c r="H636" s="17">
        <v>2</v>
      </c>
      <c r="J636" s="68"/>
      <c r="K636" s="70">
        <f>H636*F636</f>
        <v>261.25199999999995</v>
      </c>
      <c r="M636" s="301"/>
      <c r="N636" s="68"/>
      <c r="O636" s="115"/>
      <c r="Q636" s="127"/>
    </row>
    <row r="637" spans="2:17">
      <c r="B637" s="157"/>
      <c r="E637" s="118"/>
      <c r="F637" s="17"/>
      <c r="G637" s="17"/>
      <c r="I637" s="17"/>
      <c r="J637" s="68"/>
      <c r="K637" s="70"/>
      <c r="M637" s="301"/>
      <c r="N637" s="68"/>
      <c r="O637" s="115"/>
      <c r="Q637" s="127"/>
    </row>
    <row r="638" spans="2:17" ht="36.75" customHeight="1">
      <c r="B638" s="157"/>
      <c r="C638" s="16">
        <v>97914</v>
      </c>
      <c r="D638" s="16" t="s">
        <v>8</v>
      </c>
      <c r="E638" s="447" t="str">
        <f>IFERROR(VLOOKUP($C638,'SINAPI JULHO 2018'!$1:$1048576,2,0),IFERROR(VLOOKUP($C638,'5-COMP. PROPRIA'!$B$13:$I$518,4,0),""))</f>
        <v>TRANSPORTE COM CAMINHÃO BASCULANTE DE 6 M3, EM VIA URBANA PAVIMENTADA, DMT ATÉ 30 KM (UNIDADE: M3XKM). AF_01/2018</v>
      </c>
      <c r="F638" s="448"/>
      <c r="G638" s="448"/>
      <c r="H638" s="448"/>
      <c r="I638" s="448"/>
      <c r="J638" s="449"/>
      <c r="K638" s="184">
        <f>K640</f>
        <v>1959.3899999999996</v>
      </c>
      <c r="L638" s="57" t="s">
        <v>78</v>
      </c>
      <c r="M638" s="301"/>
      <c r="N638" s="68"/>
      <c r="O638" s="115"/>
      <c r="Q638" s="127"/>
    </row>
    <row r="639" spans="2:17" ht="25.5">
      <c r="B639" s="157"/>
      <c r="E639" s="79" t="s">
        <v>80</v>
      </c>
      <c r="H639" s="67" t="s">
        <v>81</v>
      </c>
      <c r="J639" s="102"/>
      <c r="M639" s="301"/>
      <c r="N639" s="68"/>
      <c r="O639" s="115"/>
      <c r="Q639" s="127"/>
    </row>
    <row r="640" spans="2:17">
      <c r="B640" s="157"/>
      <c r="E640" s="79">
        <f>K634</f>
        <v>261.25199999999995</v>
      </c>
      <c r="H640" s="67">
        <v>7.5</v>
      </c>
      <c r="J640" s="102"/>
      <c r="K640" s="180">
        <f>E640*H640</f>
        <v>1959.3899999999996</v>
      </c>
      <c r="M640" s="301"/>
      <c r="N640" s="68"/>
      <c r="O640" s="115"/>
      <c r="Q640" s="127"/>
    </row>
    <row r="641" spans="2:17">
      <c r="B641" s="157"/>
      <c r="E641" s="79"/>
      <c r="H641" s="67"/>
      <c r="J641" s="102"/>
      <c r="M641" s="301"/>
      <c r="N641" s="68"/>
      <c r="O641" s="115"/>
      <c r="Q641" s="127"/>
    </row>
    <row r="642" spans="2:17" s="320" customFormat="1" ht="15">
      <c r="B642" s="322"/>
      <c r="C642" s="323"/>
      <c r="D642" s="323"/>
      <c r="E642" s="491" t="s">
        <v>214</v>
      </c>
      <c r="F642" s="492"/>
      <c r="G642" s="492"/>
      <c r="H642" s="492"/>
      <c r="I642" s="492"/>
      <c r="J642" s="493"/>
      <c r="K642" s="324"/>
      <c r="L642" s="325"/>
      <c r="M642" s="326"/>
      <c r="N642" s="327"/>
      <c r="O642" s="319"/>
      <c r="Q642" s="321"/>
    </row>
    <row r="643" spans="2:17" ht="15">
      <c r="B643" s="157"/>
      <c r="C643" s="188"/>
      <c r="D643" s="188"/>
      <c r="E643" s="277"/>
      <c r="F643" s="278"/>
      <c r="G643" s="278"/>
      <c r="H643" s="278"/>
      <c r="I643" s="278"/>
      <c r="J643" s="279"/>
      <c r="K643" s="262"/>
      <c r="L643" s="263"/>
      <c r="M643" s="301"/>
      <c r="N643" s="68"/>
      <c r="O643" s="115"/>
      <c r="Q643" s="127"/>
    </row>
    <row r="644" spans="2:17" ht="15">
      <c r="B644" s="268"/>
      <c r="C644" s="269"/>
      <c r="D644" s="269"/>
      <c r="E644" s="462" t="s">
        <v>215</v>
      </c>
      <c r="F644" s="463"/>
      <c r="G644" s="463"/>
      <c r="H644" s="463"/>
      <c r="I644" s="463"/>
      <c r="J644" s="464"/>
      <c r="K644" s="270"/>
      <c r="L644" s="271"/>
      <c r="M644" s="272"/>
      <c r="N644" s="273"/>
      <c r="O644" s="115"/>
      <c r="Q644" s="127"/>
    </row>
    <row r="645" spans="2:17" ht="15">
      <c r="B645" s="150"/>
      <c r="E645" s="266"/>
      <c r="F645" s="99"/>
      <c r="G645" s="99"/>
      <c r="H645" s="99"/>
      <c r="I645" s="99"/>
      <c r="J645" s="267"/>
      <c r="K645" s="70"/>
      <c r="N645" s="104"/>
      <c r="O645" s="115"/>
      <c r="Q645" s="127"/>
    </row>
    <row r="646" spans="2:17" ht="15">
      <c r="B646" s="157"/>
      <c r="C646" s="91"/>
      <c r="D646" s="91"/>
      <c r="E646" s="453" t="s">
        <v>216</v>
      </c>
      <c r="F646" s="454"/>
      <c r="G646" s="454"/>
      <c r="H646" s="454"/>
      <c r="I646" s="454"/>
      <c r="J646" s="455"/>
      <c r="K646" s="183"/>
      <c r="L646" s="56"/>
      <c r="M646" s="93"/>
      <c r="N646" s="107"/>
      <c r="O646" s="115"/>
      <c r="Q646" s="127"/>
    </row>
    <row r="647" spans="2:17" ht="15">
      <c r="B647" s="157"/>
      <c r="C647" s="188"/>
      <c r="D647" s="188"/>
      <c r="E647" s="277"/>
      <c r="F647" s="278"/>
      <c r="G647" s="278"/>
      <c r="H647" s="278"/>
      <c r="I647" s="278"/>
      <c r="J647" s="279"/>
      <c r="K647" s="262"/>
      <c r="L647" s="263"/>
      <c r="M647" s="301"/>
      <c r="N647" s="68"/>
      <c r="O647" s="115"/>
      <c r="Q647" s="127"/>
    </row>
    <row r="648" spans="2:17" ht="29.25" customHeight="1">
      <c r="B648" s="157" t="s">
        <v>217</v>
      </c>
      <c r="C648" s="94" t="str">
        <f>'5-COMP. PROPRIA'!B185</f>
        <v>CP-FUN-01</v>
      </c>
      <c r="D648" s="16" t="s">
        <v>35</v>
      </c>
      <c r="E648" s="447" t="str">
        <f>IFERROR(VLOOKUP($C648,'SINAPI JULHO 2018'!$1:$1048576,2,0),IFERROR(VLOOKUP($C648,'5-COMP. PROPRIA'!$B$13:$I$518,4,0),""))</f>
        <v>ESCAVAÇÃO MECANICA DE ESTACA 40 X 40 CM , PROFUNDIDADE DE 1,5 M DE COMPRIMENTO</v>
      </c>
      <c r="F648" s="448"/>
      <c r="G648" s="448"/>
      <c r="H648" s="448"/>
      <c r="I648" s="448"/>
      <c r="J648" s="449"/>
      <c r="K648" s="184">
        <f>SUM(K650:K650)</f>
        <v>37.5</v>
      </c>
      <c r="L648" s="58" t="s">
        <v>63</v>
      </c>
      <c r="M648" s="99">
        <f>K648*(0.4*0.4)</f>
        <v>6.0000000000000009</v>
      </c>
      <c r="N648" s="58" t="s">
        <v>65</v>
      </c>
      <c r="O648" s="115"/>
      <c r="Q648" s="127"/>
    </row>
    <row r="649" spans="2:17">
      <c r="B649" s="157"/>
      <c r="E649" s="76" t="s">
        <v>88</v>
      </c>
      <c r="F649" s="51" t="s">
        <v>89</v>
      </c>
      <c r="J649" s="102"/>
      <c r="K649" s="187"/>
      <c r="L649" s="3"/>
      <c r="M649" s="3"/>
      <c r="N649" s="104"/>
      <c r="O649" s="115"/>
      <c r="Q649" s="127"/>
    </row>
    <row r="650" spans="2:17">
      <c r="B650" s="157"/>
      <c r="C650" s="16"/>
      <c r="D650" s="16"/>
      <c r="E650" s="111">
        <v>25</v>
      </c>
      <c r="F650" s="105">
        <v>1.5</v>
      </c>
      <c r="J650" s="102"/>
      <c r="K650" s="70">
        <f>E650*F650</f>
        <v>37.5</v>
      </c>
      <c r="N650" s="104"/>
      <c r="O650" s="115"/>
      <c r="Q650" s="127"/>
    </row>
    <row r="651" spans="2:17">
      <c r="B651" s="157"/>
      <c r="C651" s="16"/>
      <c r="D651" s="16"/>
      <c r="E651" s="112"/>
      <c r="J651" s="102"/>
      <c r="K651" s="70"/>
      <c r="N651" s="104"/>
      <c r="O651" s="115"/>
      <c r="Q651" s="127"/>
    </row>
    <row r="652" spans="2:17" ht="42" customHeight="1">
      <c r="B652" s="157" t="s">
        <v>91</v>
      </c>
      <c r="C652" s="26">
        <v>92759</v>
      </c>
      <c r="D652" s="26" t="s">
        <v>8</v>
      </c>
      <c r="E652" s="447" t="str">
        <f>IFERROR(VLOOKUP($C652,'SINAPI JULHO 2018'!$1:$1048576,2,0),IFERROR(VLOOKUP($C652,'5-COMP. PROPRIA'!$B$13:$I$518,4,0),""))</f>
        <v>ARMAÇÃO DE PILAR OU VIGA DE UMA ESTRUTURA CONVENCIONAL DE CONCRETO ARMADO EM UM EDIFÍCIO DE MÚLTIPLOS PAVIMENTOS UTILIZANDO AÇO CA-60 DE 5,0 MM - MONTAGEM. AF_12/2015</v>
      </c>
      <c r="F652" s="448"/>
      <c r="G652" s="448"/>
      <c r="H652" s="448"/>
      <c r="I652" s="448"/>
      <c r="J652" s="449"/>
      <c r="K652" s="184">
        <f>SUM(K653:K654)</f>
        <v>39.284343750000012</v>
      </c>
      <c r="L652" s="58" t="s">
        <v>92</v>
      </c>
      <c r="M652" s="184"/>
      <c r="N652" s="107"/>
      <c r="O652" s="115"/>
      <c r="Q652" s="127"/>
    </row>
    <row r="653" spans="2:17">
      <c r="B653" s="157"/>
      <c r="E653" s="79" t="s">
        <v>93</v>
      </c>
      <c r="F653" s="67" t="s">
        <v>27</v>
      </c>
      <c r="G653" s="67" t="s">
        <v>94</v>
      </c>
      <c r="H653" s="61" t="s">
        <v>95</v>
      </c>
      <c r="I653" s="67" t="s">
        <v>124</v>
      </c>
      <c r="J653" s="102">
        <f>K652/K661</f>
        <v>6.5473906250000011</v>
      </c>
      <c r="K653" s="70"/>
      <c r="N653" s="104"/>
      <c r="O653" s="115"/>
      <c r="Q653" s="127"/>
    </row>
    <row r="654" spans="2:17">
      <c r="B654" s="157"/>
      <c r="E654" s="101">
        <v>5</v>
      </c>
      <c r="F654" s="51">
        <f>(0.4-0.06)*4</f>
        <v>1.36</v>
      </c>
      <c r="G654" s="51">
        <f>K648/0.2</f>
        <v>187.5</v>
      </c>
      <c r="H654" s="51">
        <f>((E654/1000)*(E654/1000)*3.14*0.25)*7850</f>
        <v>0.15405625000000003</v>
      </c>
      <c r="J654" s="102"/>
      <c r="K654" s="70">
        <f>G654*H654*F654</f>
        <v>39.284343750000012</v>
      </c>
      <c r="N654" s="104"/>
      <c r="O654" s="115"/>
      <c r="Q654" s="127"/>
    </row>
    <row r="655" spans="2:17">
      <c r="B655" s="157"/>
      <c r="E655" s="118"/>
      <c r="J655" s="102"/>
      <c r="K655" s="183"/>
      <c r="N655" s="104"/>
      <c r="O655" s="115"/>
      <c r="Q655" s="127"/>
    </row>
    <row r="656" spans="2:17" ht="50.25" customHeight="1">
      <c r="B656" s="157"/>
      <c r="C656" s="26">
        <v>92762</v>
      </c>
      <c r="D656" s="26" t="s">
        <v>8</v>
      </c>
      <c r="E656" s="447" t="str">
        <f>IFERROR(VLOOKUP($C656,'SINAPI JULHO 2018'!$1:$1048576,2,0),IFERROR(VLOOKUP($C656,'5-COMP. PROPRIA'!$B$13:$I$518,4,0),""))</f>
        <v>ARMAÇÃO DE PILAR OU VIGA DE UMA ESTRUTURA CONVENCIONAL DE CONCRETO ARMADO EM UM EDIFÍCIO DE MÚLTIPLOS PAVIMENTOS UTILIZANDO AÇO CA-50 DE 10,0 MM - MONTAGEM. AF_12/2015</v>
      </c>
      <c r="F656" s="448"/>
      <c r="G656" s="448"/>
      <c r="H656" s="448"/>
      <c r="I656" s="448"/>
      <c r="J656" s="449"/>
      <c r="K656" s="184">
        <f>SUM(K659:K659)</f>
        <v>110.92050000000003</v>
      </c>
      <c r="L656" s="58" t="s">
        <v>92</v>
      </c>
      <c r="N656" s="104"/>
      <c r="O656" s="115"/>
      <c r="Q656" s="127"/>
    </row>
    <row r="657" spans="2:17">
      <c r="B657" s="157"/>
      <c r="E657" s="118"/>
      <c r="H657" s="51" t="s">
        <v>96</v>
      </c>
      <c r="I657" s="51">
        <f>K656/K661</f>
        <v>18.486750000000004</v>
      </c>
      <c r="J657" s="102"/>
      <c r="N657" s="104"/>
      <c r="O657" s="115"/>
      <c r="Q657" s="127"/>
    </row>
    <row r="658" spans="2:17">
      <c r="B658" s="157"/>
      <c r="E658" s="79" t="s">
        <v>93</v>
      </c>
      <c r="F658" s="67" t="s">
        <v>27</v>
      </c>
      <c r="G658" s="67" t="s">
        <v>94</v>
      </c>
      <c r="H658" s="61" t="s">
        <v>95</v>
      </c>
      <c r="I658" s="61"/>
      <c r="J658" s="102"/>
      <c r="K658" s="70"/>
      <c r="N658" s="104"/>
      <c r="O658" s="115"/>
      <c r="Q658" s="127"/>
    </row>
    <row r="659" spans="2:17">
      <c r="B659" s="157"/>
      <c r="E659" s="101">
        <v>10</v>
      </c>
      <c r="F659" s="51">
        <f>F650+0.3</f>
        <v>1.8</v>
      </c>
      <c r="G659" s="51">
        <f>E650*4</f>
        <v>100</v>
      </c>
      <c r="H659" s="51">
        <f>((E659/1000)*(E659/1000)*3.14*0.25)*7850</f>
        <v>0.61622500000000013</v>
      </c>
      <c r="J659" s="102"/>
      <c r="K659" s="70">
        <f>G659*H659*F659</f>
        <v>110.92050000000003</v>
      </c>
      <c r="N659" s="104"/>
      <c r="O659" s="115"/>
      <c r="Q659" s="127"/>
    </row>
    <row r="660" spans="2:17" ht="15">
      <c r="B660" s="157"/>
      <c r="C660" s="188"/>
      <c r="D660" s="188"/>
      <c r="E660" s="277"/>
      <c r="F660" s="278"/>
      <c r="G660" s="278"/>
      <c r="H660" s="278"/>
      <c r="I660" s="278"/>
      <c r="J660" s="279"/>
      <c r="K660" s="262"/>
      <c r="L660" s="263"/>
      <c r="M660" s="301"/>
      <c r="N660" s="68"/>
      <c r="O660" s="115"/>
      <c r="Q660" s="127"/>
    </row>
    <row r="661" spans="2:17" ht="30" customHeight="1">
      <c r="B661" s="157"/>
      <c r="C661" s="26">
        <v>94965</v>
      </c>
      <c r="D661" s="16" t="s">
        <v>8</v>
      </c>
      <c r="E661" s="447" t="str">
        <f>IFERROR(VLOOKUP($C661,'SINAPI JULHO 2018'!$1:$1048576,2,0),IFERROR(VLOOKUP($C661,'5-COMP. PROPRIA'!$B$13:$I$518,4,0),""))</f>
        <v>CONCRETO FCK = 25MPA, TRAÇO 1:2,3:2,7 (CIMENTO/ AREIA MÉDIA/ BRITA 1)  - PREPARO MECÂNICO COM BETONEIRA 400 L. AF_07/2016</v>
      </c>
      <c r="F661" s="448"/>
      <c r="G661" s="448"/>
      <c r="H661" s="448"/>
      <c r="I661" s="448"/>
      <c r="J661" s="449"/>
      <c r="K661" s="184">
        <f>K663</f>
        <v>6.0000000000000009</v>
      </c>
      <c r="L661" s="58" t="s">
        <v>65</v>
      </c>
      <c r="M661" s="301"/>
      <c r="N661" s="68"/>
      <c r="O661" s="115"/>
      <c r="Q661" s="127"/>
    </row>
    <row r="662" spans="2:17">
      <c r="B662" s="157"/>
      <c r="E662" s="76" t="s">
        <v>218</v>
      </c>
      <c r="F662" s="17" t="s">
        <v>4</v>
      </c>
      <c r="G662" s="17"/>
      <c r="H662" s="67"/>
      <c r="I662" s="221"/>
      <c r="J662" s="222"/>
      <c r="K662" s="183"/>
      <c r="M662" s="301"/>
      <c r="N662" s="68"/>
      <c r="O662" s="115"/>
      <c r="Q662" s="127"/>
    </row>
    <row r="663" spans="2:17">
      <c r="B663" s="157"/>
      <c r="E663" s="111">
        <f>0.4*0.4*F650</f>
        <v>0.24000000000000005</v>
      </c>
      <c r="F663" s="74">
        <f>E650</f>
        <v>25</v>
      </c>
      <c r="G663" s="278"/>
      <c r="H663" s="278"/>
      <c r="J663" s="102"/>
      <c r="K663" s="70">
        <f>E663*F663</f>
        <v>6.0000000000000009</v>
      </c>
      <c r="M663" s="301"/>
      <c r="N663" s="68"/>
      <c r="O663" s="115"/>
      <c r="Q663" s="127"/>
    </row>
    <row r="664" spans="2:17">
      <c r="B664" s="157"/>
      <c r="E664" s="112"/>
      <c r="F664" s="17"/>
      <c r="G664" s="278"/>
      <c r="H664" s="278"/>
      <c r="J664" s="102"/>
      <c r="K664" s="70"/>
      <c r="M664" s="301"/>
      <c r="N664" s="68"/>
      <c r="O664" s="115"/>
      <c r="Q664" s="127"/>
    </row>
    <row r="665" spans="2:17" ht="15">
      <c r="B665" s="157"/>
      <c r="C665" s="16" t="s">
        <v>111</v>
      </c>
      <c r="D665" s="16" t="s">
        <v>8</v>
      </c>
      <c r="E665" s="447" t="str">
        <f>IFERROR(VLOOKUP($C665,'SINAPI JULHO 2018'!$1:$1048576,2,0),IFERROR(VLOOKUP($C665,'5-COMP. PROPRIA'!$B$13:$I$518,4,0),""))</f>
        <v>LANCAMENTO/APLICACAO MANUAL DE CONCRETO EM FUNDACOES</v>
      </c>
      <c r="F665" s="448"/>
      <c r="G665" s="448"/>
      <c r="H665" s="448"/>
      <c r="I665" s="448"/>
      <c r="J665" s="449"/>
      <c r="K665" s="184">
        <f>K661</f>
        <v>6.0000000000000009</v>
      </c>
      <c r="L665" s="58" t="s">
        <v>65</v>
      </c>
      <c r="M665" s="301"/>
      <c r="N665" s="68"/>
      <c r="O665" s="115"/>
      <c r="Q665" s="127"/>
    </row>
    <row r="666" spans="2:17" ht="15">
      <c r="B666" s="157"/>
      <c r="C666" s="188"/>
      <c r="D666" s="188"/>
      <c r="E666" s="277"/>
      <c r="F666" s="278"/>
      <c r="G666" s="278"/>
      <c r="H666" s="278"/>
      <c r="I666" s="278"/>
      <c r="J666" s="279"/>
      <c r="K666" s="262"/>
      <c r="L666" s="263"/>
      <c r="M666" s="301"/>
      <c r="N666" s="68"/>
      <c r="O666" s="115"/>
      <c r="Q666" s="127"/>
    </row>
    <row r="667" spans="2:17" ht="15">
      <c r="B667" s="157"/>
      <c r="C667" s="91"/>
      <c r="D667" s="91"/>
      <c r="E667" s="453" t="s">
        <v>103</v>
      </c>
      <c r="F667" s="454"/>
      <c r="G667" s="454"/>
      <c r="H667" s="454"/>
      <c r="I667" s="454"/>
      <c r="J667" s="455"/>
      <c r="K667" s="183"/>
      <c r="L667" s="56"/>
      <c r="M667" s="93"/>
      <c r="N667" s="107"/>
      <c r="O667" s="115"/>
      <c r="Q667" s="127"/>
    </row>
    <row r="668" spans="2:17" ht="15">
      <c r="B668" s="157"/>
      <c r="C668" s="91"/>
      <c r="D668" s="91"/>
      <c r="E668" s="266"/>
      <c r="F668" s="99"/>
      <c r="G668" s="99"/>
      <c r="H668" s="123"/>
      <c r="J668" s="117"/>
      <c r="K668" s="183"/>
      <c r="L668" s="56"/>
      <c r="M668" s="93"/>
      <c r="N668" s="107"/>
      <c r="O668" s="115"/>
      <c r="Q668" s="127"/>
    </row>
    <row r="669" spans="2:17" ht="34.5" customHeight="1">
      <c r="B669" s="157"/>
      <c r="C669" s="26">
        <v>96527</v>
      </c>
      <c r="D669" s="16" t="s">
        <v>8</v>
      </c>
      <c r="E669" s="447" t="str">
        <f>IFERROR(VLOOKUP($C669,'SINAPI JULHO 2018'!$1:$1048576,2,0),IFERROR(VLOOKUP($C669,'5-COMP. PROPRIA'!$B$13:$I$518,4,0),""))</f>
        <v>ESCAVAÇÃO MANUAL DE VALA PARA VIGA BALDRAME, COM PREVISÃO DE FÔRMA. AF_06/2017</v>
      </c>
      <c r="F669" s="448"/>
      <c r="G669" s="448"/>
      <c r="H669" s="448"/>
      <c r="I669" s="448"/>
      <c r="J669" s="449"/>
      <c r="K669" s="184">
        <f>SUM(K671:K671)*1.3</f>
        <v>20.794800000000002</v>
      </c>
      <c r="L669" s="58" t="s">
        <v>65</v>
      </c>
      <c r="M669" s="93"/>
      <c r="N669" s="68"/>
      <c r="O669" s="115"/>
      <c r="Q669" s="127"/>
    </row>
    <row r="670" spans="2:17" ht="25.5">
      <c r="B670" s="157"/>
      <c r="E670" s="76" t="s">
        <v>106</v>
      </c>
      <c r="F670" s="17" t="s">
        <v>107</v>
      </c>
      <c r="G670" s="17" t="s">
        <v>108</v>
      </c>
      <c r="H670" s="67" t="s">
        <v>47</v>
      </c>
      <c r="I670" s="221"/>
      <c r="J670" s="222"/>
      <c r="K670" s="186"/>
      <c r="M670" s="93"/>
      <c r="N670" s="68"/>
      <c r="O670" s="115"/>
      <c r="Q670" s="127"/>
    </row>
    <row r="671" spans="2:17">
      <c r="B671" s="157"/>
      <c r="E671" s="105">
        <f>E679</f>
        <v>74.400000000000006</v>
      </c>
      <c r="F671" s="105">
        <f>F679+0.3</f>
        <v>0.5</v>
      </c>
      <c r="G671" s="105">
        <f>G679+0.03</f>
        <v>0.43000000000000005</v>
      </c>
      <c r="H671" s="105">
        <v>1</v>
      </c>
      <c r="J671" s="102"/>
      <c r="K671" s="70">
        <f>E671*F671*G671*H671</f>
        <v>15.996000000000002</v>
      </c>
      <c r="M671" s="93"/>
      <c r="N671" s="114"/>
      <c r="O671" s="115"/>
      <c r="Q671" s="127"/>
    </row>
    <row r="672" spans="2:17">
      <c r="B672" s="157"/>
      <c r="E672" s="118"/>
      <c r="J672" s="102"/>
      <c r="K672" s="183"/>
      <c r="M672" s="93"/>
      <c r="N672" s="68"/>
      <c r="O672" s="115"/>
      <c r="Q672" s="127"/>
    </row>
    <row r="673" spans="2:17" ht="28.5" customHeight="1">
      <c r="B673" s="157"/>
      <c r="C673" s="26">
        <v>96617</v>
      </c>
      <c r="D673" s="16" t="s">
        <v>8</v>
      </c>
      <c r="E673" s="447" t="str">
        <f>IFERROR(VLOOKUP($C673,'SINAPI JULHO 2018'!$1:$1048576,2,0),IFERROR(VLOOKUP($C673,'5-COMP. PROPRIA'!$B$13:$I$518,4,0),""))</f>
        <v>LASTRO DE CONCRETO MAGRO, APLICADO EM BLOCOS DE COROAMENTO OU SAPATAS, ESPESSURA DE 3 CM. AF_08/2017</v>
      </c>
      <c r="F673" s="448"/>
      <c r="G673" s="448"/>
      <c r="H673" s="448"/>
      <c r="I673" s="448"/>
      <c r="J673" s="449"/>
      <c r="K673" s="184">
        <f>SUM(K675:K675)</f>
        <v>14.880000000000003</v>
      </c>
      <c r="L673" s="57" t="s">
        <v>25</v>
      </c>
      <c r="M673" s="52">
        <f>K673*0.03</f>
        <v>0.44640000000000007</v>
      </c>
      <c r="N673" s="109" t="s">
        <v>65</v>
      </c>
      <c r="O673" s="115"/>
      <c r="Q673" s="127"/>
    </row>
    <row r="674" spans="2:17" ht="25.5">
      <c r="B674" s="157"/>
      <c r="E674" s="76" t="s">
        <v>106</v>
      </c>
      <c r="F674" s="17" t="s">
        <v>107</v>
      </c>
      <c r="H674" s="67" t="s">
        <v>47</v>
      </c>
      <c r="J674" s="102"/>
      <c r="N674" s="104"/>
      <c r="O674" s="115"/>
      <c r="Q674" s="127"/>
    </row>
    <row r="675" spans="2:17">
      <c r="B675" s="157"/>
      <c r="E675" s="105">
        <f>E671</f>
        <v>74.400000000000006</v>
      </c>
      <c r="F675" s="105">
        <f>F679</f>
        <v>0.2</v>
      </c>
      <c r="H675" s="105">
        <f>H671</f>
        <v>1</v>
      </c>
      <c r="J675" s="102"/>
      <c r="K675" s="70">
        <f>H675*F675*E675</f>
        <v>14.880000000000003</v>
      </c>
      <c r="N675" s="104"/>
      <c r="O675" s="115"/>
      <c r="Q675" s="127"/>
    </row>
    <row r="676" spans="2:17">
      <c r="B676" s="157"/>
      <c r="E676" s="118"/>
      <c r="J676" s="102"/>
      <c r="K676" s="183"/>
      <c r="M676" s="93"/>
      <c r="N676" s="68"/>
      <c r="O676" s="115"/>
      <c r="Q676" s="127"/>
    </row>
    <row r="677" spans="2:17" ht="33" customHeight="1">
      <c r="B677" s="157"/>
      <c r="C677" s="26">
        <v>94965</v>
      </c>
      <c r="D677" s="16" t="s">
        <v>8</v>
      </c>
      <c r="E677" s="447" t="str">
        <f>IFERROR(VLOOKUP($C677,'SINAPI JULHO 2018'!$1:$1048576,2,0),IFERROR(VLOOKUP($C677,'5-COMP. PROPRIA'!$B$13:$I$518,4,0),""))</f>
        <v>CONCRETO FCK = 25MPA, TRAÇO 1:2,3:2,7 (CIMENTO/ AREIA MÉDIA/ BRITA 1)  - PREPARO MECÂNICO COM BETONEIRA 400 L. AF_07/2016</v>
      </c>
      <c r="F677" s="448"/>
      <c r="G677" s="448"/>
      <c r="H677" s="448"/>
      <c r="I677" s="448"/>
      <c r="J677" s="449"/>
      <c r="K677" s="184">
        <f>SUM(K679:K679)</f>
        <v>5.9520000000000017</v>
      </c>
      <c r="L677" s="58" t="s">
        <v>65</v>
      </c>
      <c r="M677" s="93"/>
      <c r="N677" s="68"/>
      <c r="O677" s="115"/>
      <c r="Q677" s="127"/>
    </row>
    <row r="678" spans="2:17" ht="25.5">
      <c r="B678" s="157"/>
      <c r="E678" s="76" t="s">
        <v>106</v>
      </c>
      <c r="F678" s="17" t="s">
        <v>107</v>
      </c>
      <c r="G678" s="17" t="s">
        <v>108</v>
      </c>
      <c r="H678" s="67" t="s">
        <v>47</v>
      </c>
      <c r="I678" s="221"/>
      <c r="J678" s="222"/>
      <c r="K678" s="183"/>
      <c r="M678" s="93"/>
      <c r="N678" s="68"/>
      <c r="O678" s="115"/>
      <c r="Q678" s="127"/>
    </row>
    <row r="679" spans="2:17">
      <c r="B679" s="157"/>
      <c r="E679" s="111">
        <v>74.400000000000006</v>
      </c>
      <c r="F679" s="74">
        <v>0.2</v>
      </c>
      <c r="G679" s="74">
        <v>0.4</v>
      </c>
      <c r="H679" s="74">
        <v>1</v>
      </c>
      <c r="J679" s="102"/>
      <c r="K679" s="70">
        <f>E679*F679*G679*H679</f>
        <v>5.9520000000000017</v>
      </c>
      <c r="M679" s="93"/>
      <c r="N679" s="68"/>
      <c r="O679" s="115"/>
      <c r="Q679" s="127"/>
    </row>
    <row r="680" spans="2:17">
      <c r="B680" s="157"/>
      <c r="E680" s="112"/>
      <c r="J680" s="102"/>
      <c r="K680" s="183"/>
      <c r="M680" s="93"/>
      <c r="N680" s="68"/>
      <c r="O680" s="115"/>
      <c r="Q680" s="127"/>
    </row>
    <row r="681" spans="2:17">
      <c r="B681" s="157"/>
      <c r="E681" s="112"/>
      <c r="J681" s="102"/>
      <c r="K681" s="183"/>
      <c r="M681" s="93"/>
      <c r="N681" s="68"/>
      <c r="O681" s="115"/>
      <c r="Q681" s="127"/>
    </row>
    <row r="682" spans="2:17" ht="15">
      <c r="B682" s="157"/>
      <c r="C682" s="26" t="s">
        <v>111</v>
      </c>
      <c r="D682" s="16" t="s">
        <v>8</v>
      </c>
      <c r="E682" s="447" t="str">
        <f>IFERROR(VLOOKUP($C682,'SINAPI JULHO 2018'!$1:$1048576,2,0),IFERROR(VLOOKUP($C682,'5-COMP. PROPRIA'!$B$13:$I$518,4,0),""))</f>
        <v>LANCAMENTO/APLICACAO MANUAL DE CONCRETO EM FUNDACOES</v>
      </c>
      <c r="F682" s="448"/>
      <c r="G682" s="448"/>
      <c r="H682" s="448"/>
      <c r="I682" s="448"/>
      <c r="J682" s="449"/>
      <c r="K682" s="184">
        <f>K677</f>
        <v>5.9520000000000017</v>
      </c>
      <c r="L682" s="58" t="s">
        <v>65</v>
      </c>
      <c r="M682" s="93"/>
      <c r="N682" s="68"/>
      <c r="O682" s="115"/>
      <c r="Q682" s="127"/>
    </row>
    <row r="683" spans="2:17">
      <c r="B683" s="157"/>
      <c r="E683" s="118"/>
      <c r="J683" s="102"/>
      <c r="M683" s="93"/>
      <c r="N683" s="68"/>
      <c r="O683" s="115"/>
      <c r="Q683" s="127"/>
    </row>
    <row r="684" spans="2:17" ht="39" customHeight="1">
      <c r="B684" s="157" t="s">
        <v>219</v>
      </c>
      <c r="C684" s="26">
        <v>96543</v>
      </c>
      <c r="D684" s="16" t="s">
        <v>8</v>
      </c>
      <c r="E684" s="447" t="str">
        <f>IFERROR(VLOOKUP($C684,'SINAPI JULHO 2018'!$1:$1048576,2,0),IFERROR(VLOOKUP($C684,'5-COMP. PROPRIA'!$B$13:$I$518,4,0),""))</f>
        <v>ARMAÇÃO DE BLOCO, VIGA BALDRAME E SAPATA UTILIZANDO AÇO CA-60 DE 5 MM - MONTAGEM. AF_06/2017</v>
      </c>
      <c r="F684" s="448"/>
      <c r="G684" s="448"/>
      <c r="H684" s="448"/>
      <c r="I684" s="448"/>
      <c r="J684" s="449"/>
      <c r="K684" s="184">
        <f>SUM(K687:K687)</f>
        <v>101.24576750000004</v>
      </c>
      <c r="L684" s="58" t="s">
        <v>92</v>
      </c>
      <c r="M684" s="52"/>
      <c r="N684" s="68"/>
      <c r="O684" s="115"/>
      <c r="Q684" s="127"/>
    </row>
    <row r="685" spans="2:17">
      <c r="B685" s="157"/>
      <c r="E685" s="118"/>
      <c r="H685" s="70" t="s">
        <v>112</v>
      </c>
      <c r="I685" s="69">
        <f>K684/K677</f>
        <v>17.010377604166671</v>
      </c>
      <c r="J685" s="102"/>
      <c r="K685" s="70"/>
      <c r="M685" s="93"/>
      <c r="N685" s="68"/>
      <c r="O685" s="115"/>
      <c r="Q685" s="127"/>
    </row>
    <row r="686" spans="2:17">
      <c r="B686" s="157"/>
      <c r="E686" s="79" t="s">
        <v>93</v>
      </c>
      <c r="F686" s="67" t="s">
        <v>27</v>
      </c>
      <c r="G686" s="67" t="s">
        <v>94</v>
      </c>
      <c r="H686" s="61" t="s">
        <v>95</v>
      </c>
      <c r="I686" s="17" t="s">
        <v>54</v>
      </c>
      <c r="J686" s="102"/>
      <c r="K686" s="70"/>
      <c r="M686" s="93"/>
      <c r="N686" s="68"/>
      <c r="O686" s="115"/>
      <c r="Q686" s="127"/>
    </row>
    <row r="687" spans="2:17">
      <c r="B687" s="157"/>
      <c r="E687" s="101">
        <v>5</v>
      </c>
      <c r="F687" s="51">
        <f>(F679-0.06)*2+(G679-0.06)*2+0.1</f>
        <v>1.06</v>
      </c>
      <c r="G687" s="51">
        <f>E671/0.12</f>
        <v>620.00000000000011</v>
      </c>
      <c r="H687" s="51">
        <f>((E687/1000)*(E687/1000)*3.14*0.25)*7850</f>
        <v>0.15405625000000003</v>
      </c>
      <c r="I687" s="51">
        <f>$H$138</f>
        <v>1</v>
      </c>
      <c r="J687" s="102"/>
      <c r="K687" s="70">
        <f>G687*H687*F687*I687</f>
        <v>101.24576750000004</v>
      </c>
      <c r="M687" s="93"/>
      <c r="N687" s="68"/>
      <c r="O687" s="115"/>
      <c r="Q687" s="127"/>
    </row>
    <row r="688" spans="2:17">
      <c r="B688" s="157"/>
      <c r="E688" s="118"/>
      <c r="J688" s="102"/>
      <c r="M688" s="93"/>
      <c r="N688" s="68"/>
      <c r="O688" s="115"/>
      <c r="Q688" s="127"/>
    </row>
    <row r="689" spans="2:17" ht="41.25" customHeight="1">
      <c r="B689" s="157"/>
      <c r="C689" s="26">
        <v>92762</v>
      </c>
      <c r="D689" s="16" t="s">
        <v>8</v>
      </c>
      <c r="E689" s="447" t="str">
        <f>IFERROR(VLOOKUP($C689,'SINAPI JULHO 2018'!$1:$1048576,2,0),IFERROR(VLOOKUP($C689,'5-COMP. PROPRIA'!$B$13:$I$518,4,0),""))</f>
        <v>ARMAÇÃO DE PILAR OU VIGA DE UMA ESTRUTURA CONVENCIONAL DE CONCRETO ARMADO EM UM EDIFÍCIO DE MÚLTIPLOS PAVIMENTOS UTILIZANDO AÇO CA-50 DE 10,0 MM - MONTAGEM. AF_12/2015</v>
      </c>
      <c r="F689" s="448"/>
      <c r="G689" s="448"/>
      <c r="H689" s="448"/>
      <c r="I689" s="448"/>
      <c r="J689" s="449"/>
      <c r="K689" s="184">
        <f>SUM(K692:K692)</f>
        <v>183.38856000000004</v>
      </c>
      <c r="L689" s="58" t="s">
        <v>92</v>
      </c>
      <c r="M689" s="52"/>
      <c r="N689" s="68"/>
      <c r="O689" s="115"/>
      <c r="Q689" s="127"/>
    </row>
    <row r="690" spans="2:17">
      <c r="B690" s="157"/>
      <c r="E690" s="118"/>
      <c r="H690" s="70" t="s">
        <v>112</v>
      </c>
      <c r="I690" s="69">
        <f>K689/K682</f>
        <v>30.811249999999998</v>
      </c>
      <c r="J690" s="102"/>
      <c r="K690" s="70"/>
      <c r="M690" s="93"/>
      <c r="N690" s="68"/>
      <c r="O690" s="115"/>
      <c r="Q690" s="127"/>
    </row>
    <row r="691" spans="2:17">
      <c r="B691" s="157"/>
      <c r="E691" s="79" t="s">
        <v>93</v>
      </c>
      <c r="F691" s="67" t="s">
        <v>27</v>
      </c>
      <c r="G691" s="67" t="s">
        <v>28</v>
      </c>
      <c r="H691" s="61" t="s">
        <v>95</v>
      </c>
      <c r="I691" s="17" t="s">
        <v>54</v>
      </c>
      <c r="J691" s="102"/>
      <c r="K691" s="70"/>
      <c r="M691" s="93"/>
      <c r="N691" s="68"/>
      <c r="O691" s="115"/>
      <c r="Q691" s="127"/>
    </row>
    <row r="692" spans="2:17">
      <c r="B692" s="157"/>
      <c r="E692" s="101">
        <v>10</v>
      </c>
      <c r="F692" s="51">
        <f>E679</f>
        <v>74.400000000000006</v>
      </c>
      <c r="G692" s="51">
        <v>1</v>
      </c>
      <c r="H692" s="51">
        <f>((E692/1000)*(E692/1000)*3.14*0.25)*7850</f>
        <v>0.61622500000000013</v>
      </c>
      <c r="I692" s="51">
        <v>4</v>
      </c>
      <c r="J692" s="102"/>
      <c r="K692" s="70">
        <f>G692*H692*F692*I692</f>
        <v>183.38856000000004</v>
      </c>
      <c r="M692" s="93"/>
      <c r="N692" s="68"/>
      <c r="O692" s="115"/>
      <c r="Q692" s="127"/>
    </row>
    <row r="693" spans="2:17">
      <c r="B693" s="157"/>
      <c r="E693" s="118"/>
      <c r="J693" s="102"/>
      <c r="K693" s="183"/>
      <c r="M693" s="93"/>
      <c r="N693" s="68"/>
      <c r="O693" s="115"/>
      <c r="Q693" s="127"/>
    </row>
    <row r="694" spans="2:17" ht="30" customHeight="1">
      <c r="B694" s="157"/>
      <c r="C694" s="26">
        <v>96536</v>
      </c>
      <c r="D694" s="16" t="s">
        <v>8</v>
      </c>
      <c r="E694" s="447" t="str">
        <f>IFERROR(VLOOKUP($C694,'SINAPI JULHO 2018'!$1:$1048576,2,0),IFERROR(VLOOKUP($C694,'5-COMP. PROPRIA'!$B$13:$I$518,4,0),""))</f>
        <v>FABRICAÇÃO, MONTAGEM E DESMONTAGEM DE FÔRMA PARA VIGA BALDRAME, EM MADEIRA SERRADA, E=25 MM, 4 UTILIZAÇÕES. AF_06/2017</v>
      </c>
      <c r="F694" s="448"/>
      <c r="G694" s="448"/>
      <c r="H694" s="448"/>
      <c r="I694" s="448"/>
      <c r="J694" s="449"/>
      <c r="K694" s="184">
        <f>SUM(K696:K696)</f>
        <v>59.52000000000001</v>
      </c>
      <c r="L694" s="58" t="s">
        <v>25</v>
      </c>
      <c r="M694" s="93"/>
      <c r="N694" s="68"/>
      <c r="O694" s="115"/>
      <c r="Q694" s="127"/>
    </row>
    <row r="695" spans="2:17" ht="25.5">
      <c r="B695" s="157"/>
      <c r="D695" s="51"/>
      <c r="E695" s="76" t="s">
        <v>106</v>
      </c>
      <c r="F695" s="17" t="s">
        <v>107</v>
      </c>
      <c r="G695" s="17" t="s">
        <v>108</v>
      </c>
      <c r="H695" s="67" t="s">
        <v>47</v>
      </c>
      <c r="I695" s="221"/>
      <c r="J695" s="222"/>
      <c r="K695" s="186"/>
      <c r="L695" s="100"/>
      <c r="M695" s="93"/>
      <c r="N695" s="68"/>
      <c r="O695" s="115"/>
      <c r="Q695" s="127"/>
    </row>
    <row r="696" spans="2:17">
      <c r="B696" s="157"/>
      <c r="E696" s="118">
        <f>E679</f>
        <v>74.400000000000006</v>
      </c>
      <c r="F696" s="51">
        <f>F679</f>
        <v>0.2</v>
      </c>
      <c r="G696" s="51">
        <f>G679</f>
        <v>0.4</v>
      </c>
      <c r="H696" s="51">
        <f>H679</f>
        <v>1</v>
      </c>
      <c r="J696" s="102"/>
      <c r="K696" s="70">
        <f>E696*(G696*2)*H696</f>
        <v>59.52000000000001</v>
      </c>
      <c r="M696" s="93"/>
      <c r="N696" s="68"/>
      <c r="O696" s="115"/>
      <c r="Q696" s="127"/>
    </row>
    <row r="697" spans="2:17">
      <c r="B697" s="157"/>
      <c r="E697" s="118"/>
      <c r="J697" s="102"/>
      <c r="M697" s="93"/>
      <c r="N697" s="68"/>
      <c r="O697" s="115"/>
      <c r="Q697" s="127"/>
    </row>
    <row r="698" spans="2:17" ht="30" customHeight="1">
      <c r="B698" s="157"/>
      <c r="C698" s="16">
        <v>93382</v>
      </c>
      <c r="D698" s="16" t="s">
        <v>8</v>
      </c>
      <c r="E698" s="447" t="str">
        <f>IFERROR(VLOOKUP($C698,'SINAPI JULHO 2018'!$1:$1048576,2,0),IFERROR(VLOOKUP($C698,'5-COMP. PROPRIA'!$B$13:$I$518,4,0),""))</f>
        <v>REATERRO MANUAL DE VALAS COM COMPACTAÇÃO MECANIZADA. AF_04/2016</v>
      </c>
      <c r="F698" s="448"/>
      <c r="G698" s="448"/>
      <c r="H698" s="448"/>
      <c r="I698" s="448"/>
      <c r="J698" s="449"/>
      <c r="K698" s="184">
        <f>SUM(K700)</f>
        <v>14.8428</v>
      </c>
      <c r="L698" s="58" t="s">
        <v>65</v>
      </c>
      <c r="M698" s="93"/>
      <c r="N698" s="68"/>
      <c r="O698" s="115"/>
      <c r="Q698" s="127"/>
    </row>
    <row r="699" spans="2:17" ht="38.25">
      <c r="B699" s="157"/>
      <c r="E699" s="79" t="s">
        <v>115</v>
      </c>
      <c r="F699" s="67" t="s">
        <v>116</v>
      </c>
      <c r="J699" s="102"/>
      <c r="K699" s="184"/>
      <c r="M699" s="93"/>
      <c r="N699" s="68"/>
      <c r="O699" s="115"/>
      <c r="Q699" s="127"/>
    </row>
    <row r="700" spans="2:17">
      <c r="B700" s="157"/>
      <c r="E700" s="112">
        <f>K669</f>
        <v>20.794800000000002</v>
      </c>
      <c r="F700" s="51">
        <f>K677</f>
        <v>5.9520000000000017</v>
      </c>
      <c r="J700" s="102"/>
      <c r="K700" s="70">
        <f>E700-F700</f>
        <v>14.8428</v>
      </c>
      <c r="M700" s="93"/>
      <c r="N700" s="68"/>
      <c r="O700" s="115"/>
      <c r="Q700" s="127"/>
    </row>
    <row r="701" spans="2:17">
      <c r="B701" s="157"/>
      <c r="E701" s="118"/>
      <c r="J701" s="102"/>
      <c r="M701" s="93"/>
      <c r="N701" s="68"/>
      <c r="O701" s="115"/>
      <c r="Q701" s="127"/>
    </row>
    <row r="702" spans="2:17" ht="24" customHeight="1">
      <c r="B702" s="157" t="s">
        <v>220</v>
      </c>
      <c r="C702" s="16" t="s">
        <v>117</v>
      </c>
      <c r="D702" s="16" t="s">
        <v>8</v>
      </c>
      <c r="E702" s="447" t="str">
        <f>IFERROR(VLOOKUP($C702,'SINAPI JULHO 2018'!$1:$1048576,2,0),IFERROR(VLOOKUP($C702,'5-COMP. PROPRIA'!$B$13:$I$518,4,0),""))</f>
        <v>IMPERMEABILIZACAO DE ESTRUTURAS ENTERRADAS, COM TINTA ASFALTICA, DUAS DEMAOS.</v>
      </c>
      <c r="F702" s="448"/>
      <c r="G702" s="448"/>
      <c r="H702" s="448"/>
      <c r="I702" s="448"/>
      <c r="J702" s="449"/>
      <c r="K702" s="184">
        <f>K694+(74.4*0.2)</f>
        <v>74.400000000000006</v>
      </c>
      <c r="L702" s="57" t="s">
        <v>25</v>
      </c>
      <c r="M702" s="52"/>
      <c r="N702" s="68"/>
      <c r="O702" s="115"/>
      <c r="Q702" s="127"/>
    </row>
    <row r="703" spans="2:17">
      <c r="B703" s="157"/>
      <c r="E703" s="112"/>
      <c r="J703" s="102"/>
      <c r="K703" s="183"/>
      <c r="L703" s="57"/>
      <c r="M703" s="93"/>
      <c r="N703" s="68"/>
      <c r="O703" s="115"/>
      <c r="Q703" s="127"/>
    </row>
    <row r="704" spans="2:17" ht="15">
      <c r="B704" s="157"/>
      <c r="C704" s="26">
        <v>72897</v>
      </c>
      <c r="D704" s="16" t="s">
        <v>8</v>
      </c>
      <c r="E704" s="447" t="str">
        <f>IFERROR(VLOOKUP($C704,'SINAPI JULHO 2018'!$1:$1048576,2,0),IFERROR(VLOOKUP($C704,'5-COMP. PROPRIA'!$B$13:$I$518,4,0),""))</f>
        <v>CARGA MANUAL DE ENTULHO EM CAMINHAO BASCULANTE 6 M3</v>
      </c>
      <c r="F704" s="448"/>
      <c r="G704" s="448"/>
      <c r="H704" s="448"/>
      <c r="I704" s="448"/>
      <c r="J704" s="449"/>
      <c r="K704" s="184">
        <f>SUM(K706:K706)</f>
        <v>7.7376000000000023</v>
      </c>
      <c r="L704" s="58" t="s">
        <v>65</v>
      </c>
      <c r="M704" s="93"/>
      <c r="N704" s="68"/>
      <c r="O704" s="115"/>
      <c r="Q704" s="127"/>
    </row>
    <row r="705" spans="2:17" ht="38.25">
      <c r="B705" s="157"/>
      <c r="E705" s="79"/>
      <c r="F705" s="67" t="s">
        <v>116</v>
      </c>
      <c r="G705" s="17"/>
      <c r="H705" s="67" t="s">
        <v>119</v>
      </c>
      <c r="J705" s="220"/>
      <c r="K705" s="70"/>
      <c r="M705" s="93"/>
      <c r="N705" s="68"/>
      <c r="O705" s="115"/>
      <c r="Q705" s="127"/>
    </row>
    <row r="706" spans="2:17">
      <c r="B706" s="157"/>
      <c r="E706" s="118"/>
      <c r="F706" s="17">
        <f>K677</f>
        <v>5.9520000000000017</v>
      </c>
      <c r="G706" s="17"/>
      <c r="H706" s="17">
        <v>1.3</v>
      </c>
      <c r="J706" s="68"/>
      <c r="K706" s="70">
        <f>H706*F706</f>
        <v>7.7376000000000023</v>
      </c>
      <c r="M706" s="93"/>
      <c r="N706" s="68"/>
      <c r="O706" s="115"/>
      <c r="Q706" s="127"/>
    </row>
    <row r="707" spans="2:17">
      <c r="B707" s="157"/>
      <c r="E707" s="118"/>
      <c r="F707" s="17"/>
      <c r="G707" s="17"/>
      <c r="I707" s="17"/>
      <c r="J707" s="68"/>
      <c r="K707" s="70"/>
      <c r="M707" s="93"/>
      <c r="N707" s="68"/>
      <c r="O707" s="115"/>
      <c r="Q707" s="127"/>
    </row>
    <row r="708" spans="2:17" ht="31.5" customHeight="1">
      <c r="B708" s="157"/>
      <c r="C708" s="16">
        <v>97914</v>
      </c>
      <c r="D708" s="16" t="s">
        <v>8</v>
      </c>
      <c r="E708" s="447" t="str">
        <f>IFERROR(VLOOKUP($C708,'SINAPI JULHO 2018'!$1:$1048576,2,0),IFERROR(VLOOKUP($C708,'5-COMP. PROPRIA'!$B$13:$I$518,4,0),""))</f>
        <v>TRANSPORTE COM CAMINHÃO BASCULANTE DE 6 M3, EM VIA URBANA PAVIMENTADA, DMT ATÉ 30 KM (UNIDADE: M3XKM). AF_01/2018</v>
      </c>
      <c r="F708" s="448"/>
      <c r="G708" s="448"/>
      <c r="H708" s="448"/>
      <c r="I708" s="448"/>
      <c r="J708" s="449"/>
      <c r="K708" s="184">
        <f>K710</f>
        <v>58.032000000000018</v>
      </c>
      <c r="L708" s="57" t="s">
        <v>78</v>
      </c>
      <c r="M708" s="93"/>
      <c r="N708" s="68"/>
      <c r="O708" s="115"/>
      <c r="Q708" s="127"/>
    </row>
    <row r="709" spans="2:17" ht="25.5">
      <c r="B709" s="157"/>
      <c r="E709" s="79" t="s">
        <v>80</v>
      </c>
      <c r="H709" s="67" t="s">
        <v>81</v>
      </c>
      <c r="J709" s="102"/>
      <c r="M709" s="93"/>
      <c r="N709" s="68"/>
      <c r="O709" s="115"/>
      <c r="Q709" s="127"/>
    </row>
    <row r="710" spans="2:17" ht="15" customHeight="1">
      <c r="B710" s="157"/>
      <c r="E710" s="79">
        <f>K704</f>
        <v>7.7376000000000023</v>
      </c>
      <c r="H710" s="67">
        <v>7.5</v>
      </c>
      <c r="J710" s="102"/>
      <c r="K710" s="180">
        <f>E710*H710</f>
        <v>58.032000000000018</v>
      </c>
      <c r="M710" s="93"/>
      <c r="N710" s="68"/>
      <c r="O710" s="115"/>
      <c r="Q710" s="127"/>
    </row>
    <row r="711" spans="2:17" ht="15" customHeight="1">
      <c r="B711" s="157"/>
      <c r="E711" s="79"/>
      <c r="H711" s="67"/>
      <c r="J711" s="102"/>
      <c r="M711" s="93"/>
      <c r="N711" s="68"/>
      <c r="O711" s="115"/>
      <c r="Q711" s="127"/>
    </row>
    <row r="712" spans="2:17" ht="15" customHeight="1">
      <c r="B712" s="268"/>
      <c r="C712" s="269"/>
      <c r="D712" s="269"/>
      <c r="E712" s="462" t="s">
        <v>221</v>
      </c>
      <c r="F712" s="463"/>
      <c r="G712" s="463"/>
      <c r="H712" s="463"/>
      <c r="I712" s="463"/>
      <c r="J712" s="464"/>
      <c r="K712" s="270"/>
      <c r="L712" s="271"/>
      <c r="M712" s="272"/>
      <c r="N712" s="273"/>
      <c r="O712" s="115"/>
      <c r="Q712" s="127"/>
    </row>
    <row r="713" spans="2:17" ht="15" customHeight="1">
      <c r="B713" s="157"/>
      <c r="E713" s="79"/>
      <c r="H713" s="67"/>
      <c r="J713" s="102"/>
      <c r="M713" s="93"/>
      <c r="N713" s="68"/>
      <c r="O713" s="115"/>
      <c r="Q713" s="127"/>
    </row>
    <row r="714" spans="2:17" ht="15" customHeight="1">
      <c r="B714" s="157"/>
      <c r="E714" s="453" t="s">
        <v>222</v>
      </c>
      <c r="F714" s="454"/>
      <c r="G714" s="454"/>
      <c r="H714" s="454"/>
      <c r="I714" s="454"/>
      <c r="J714" s="455"/>
      <c r="M714" s="93"/>
      <c r="N714" s="68"/>
      <c r="O714" s="115"/>
      <c r="Q714" s="127"/>
    </row>
    <row r="715" spans="2:17" ht="15" customHeight="1">
      <c r="B715" s="157"/>
      <c r="E715" s="266"/>
      <c r="F715" s="99"/>
      <c r="G715" s="99"/>
      <c r="H715" s="99"/>
      <c r="I715" s="99"/>
      <c r="J715" s="267"/>
      <c r="M715" s="93"/>
      <c r="N715" s="68"/>
      <c r="O715" s="115"/>
      <c r="Q715" s="127"/>
    </row>
    <row r="716" spans="2:17" ht="15" customHeight="1">
      <c r="B716" s="157"/>
      <c r="C716" s="26">
        <v>89993</v>
      </c>
      <c r="D716" s="16" t="s">
        <v>8</v>
      </c>
      <c r="E716" s="447" t="str">
        <f>IFERROR(VLOOKUP($C716,'SINAPI JULHO 2018'!$1:$1048576,2,0),IFERROR(VLOOKUP($C716,'5-COMP. PROPRIA'!$B$13:$I$518,4,0),""))</f>
        <v>GRAUTEAMENTO VERTICAL EM ALVENARIA ESTRUTURAL. AF_01/2015</v>
      </c>
      <c r="F716" s="448"/>
      <c r="G716" s="448"/>
      <c r="H716" s="448"/>
      <c r="I716" s="448"/>
      <c r="J716" s="449"/>
      <c r="K716" s="184">
        <f>SUM(K718:K718)</f>
        <v>16.800000000000004</v>
      </c>
      <c r="L716" s="58" t="s">
        <v>65</v>
      </c>
      <c r="M716" s="93"/>
      <c r="N716" s="68"/>
      <c r="O716" s="115"/>
      <c r="Q716" s="127"/>
    </row>
    <row r="717" spans="2:17" ht="15" customHeight="1">
      <c r="B717" s="157"/>
      <c r="E717" s="76" t="s">
        <v>106</v>
      </c>
      <c r="F717" s="17" t="s">
        <v>107</v>
      </c>
      <c r="G717" s="17" t="s">
        <v>108</v>
      </c>
      <c r="H717" s="67" t="s">
        <v>47</v>
      </c>
      <c r="I717" s="99"/>
      <c r="J717" s="267"/>
      <c r="M717" s="93"/>
      <c r="N717" s="68"/>
      <c r="O717" s="115"/>
      <c r="Q717" s="127"/>
    </row>
    <row r="718" spans="2:17" ht="15" customHeight="1">
      <c r="B718" s="157"/>
      <c r="E718" s="118">
        <v>0.4</v>
      </c>
      <c r="F718" s="51">
        <v>0.4</v>
      </c>
      <c r="G718" s="51">
        <v>4.2</v>
      </c>
      <c r="H718" s="51">
        <v>25</v>
      </c>
      <c r="I718" s="99"/>
      <c r="J718" s="267"/>
      <c r="K718" s="70">
        <f>E718*F718*G718*H718</f>
        <v>16.800000000000004</v>
      </c>
      <c r="M718" s="93"/>
      <c r="N718" s="68"/>
      <c r="O718" s="115"/>
      <c r="Q718" s="127"/>
    </row>
    <row r="719" spans="2:17" ht="15" customHeight="1">
      <c r="B719" s="157"/>
      <c r="E719" s="266"/>
      <c r="F719" s="99"/>
      <c r="G719" s="99"/>
      <c r="H719" s="99"/>
      <c r="I719" s="99"/>
      <c r="J719" s="267"/>
      <c r="M719" s="93"/>
      <c r="N719" s="68"/>
      <c r="O719" s="115"/>
      <c r="Q719" s="127"/>
    </row>
    <row r="720" spans="2:17" ht="15" customHeight="1">
      <c r="B720" s="157"/>
      <c r="C720" s="26">
        <v>89996</v>
      </c>
      <c r="D720" s="16" t="s">
        <v>8</v>
      </c>
      <c r="E720" s="447" t="str">
        <f>IFERROR(VLOOKUP($C720,'SINAPI JULHO 2018'!$1:$1048576,2,0),IFERROR(VLOOKUP($C720,'5-COMP. PROPRIA'!$B$13:$I$518,4,0),""))</f>
        <v>ARMAÇÃO VERTICAL DE ALVENARIA ESTRUTURAL; DIÂMETRO DE 10,0 MM. AF_01/2015</v>
      </c>
      <c r="F720" s="448"/>
      <c r="G720" s="448"/>
      <c r="H720" s="448"/>
      <c r="I720" s="448"/>
      <c r="J720" s="449"/>
      <c r="K720" s="184">
        <f>K723</f>
        <v>283.46350000000007</v>
      </c>
      <c r="L720" s="58" t="s">
        <v>92</v>
      </c>
      <c r="M720" s="93"/>
      <c r="N720" s="68"/>
      <c r="O720" s="115"/>
      <c r="Q720" s="127"/>
    </row>
    <row r="721" spans="2:17" ht="15" customHeight="1">
      <c r="B721" s="157"/>
      <c r="E721" s="118"/>
      <c r="H721" s="70" t="s">
        <v>112</v>
      </c>
      <c r="I721" s="69">
        <f>K720/K716</f>
        <v>16.87282738095238</v>
      </c>
      <c r="J721" s="102"/>
      <c r="K721" s="70"/>
      <c r="M721" s="93"/>
      <c r="N721" s="68"/>
      <c r="O721" s="115"/>
      <c r="Q721" s="127"/>
    </row>
    <row r="722" spans="2:17" ht="15" customHeight="1">
      <c r="B722" s="157"/>
      <c r="E722" s="79" t="s">
        <v>93</v>
      </c>
      <c r="F722" s="67" t="s">
        <v>27</v>
      </c>
      <c r="G722" s="67" t="s">
        <v>28</v>
      </c>
      <c r="H722" s="61" t="s">
        <v>95</v>
      </c>
      <c r="I722" s="17" t="s">
        <v>54</v>
      </c>
      <c r="J722" s="102"/>
      <c r="K722" s="70"/>
      <c r="M722" s="93"/>
      <c r="N722" s="68"/>
      <c r="O722" s="115"/>
      <c r="Q722" s="127"/>
    </row>
    <row r="723" spans="2:17" ht="25.5">
      <c r="B723" s="157" t="s">
        <v>223</v>
      </c>
      <c r="E723" s="101">
        <v>10</v>
      </c>
      <c r="F723" s="51">
        <f>G718+0.4</f>
        <v>4.6000000000000005</v>
      </c>
      <c r="G723" s="51">
        <v>4</v>
      </c>
      <c r="H723" s="51">
        <f>((E723/1000)*(E723/1000)*3.14*0.25)*7850</f>
        <v>0.61622500000000013</v>
      </c>
      <c r="I723" s="51">
        <f>H718</f>
        <v>25</v>
      </c>
      <c r="J723" s="102"/>
      <c r="K723" s="70">
        <f>G723*H723*F723*I723</f>
        <v>283.46350000000007</v>
      </c>
      <c r="M723" s="93"/>
      <c r="N723" s="68"/>
      <c r="O723" s="115"/>
      <c r="Q723" s="127"/>
    </row>
    <row r="724" spans="2:17" ht="15" customHeight="1">
      <c r="B724" s="157"/>
      <c r="E724" s="266"/>
      <c r="F724" s="99"/>
      <c r="G724" s="99"/>
      <c r="H724" s="99"/>
      <c r="I724" s="99"/>
      <c r="J724" s="267"/>
      <c r="M724" s="93"/>
      <c r="N724" s="68"/>
      <c r="O724" s="115"/>
      <c r="Q724" s="127"/>
    </row>
    <row r="725" spans="2:17" ht="15" customHeight="1">
      <c r="B725" s="157"/>
      <c r="E725" s="453" t="s">
        <v>224</v>
      </c>
      <c r="F725" s="454"/>
      <c r="G725" s="454"/>
      <c r="H725" s="454"/>
      <c r="I725" s="454"/>
      <c r="J725" s="455"/>
      <c r="M725" s="93"/>
      <c r="N725" s="68"/>
      <c r="O725" s="115"/>
      <c r="Q725" s="127"/>
    </row>
    <row r="726" spans="2:17" ht="15" customHeight="1">
      <c r="B726" s="157"/>
      <c r="E726" s="266"/>
      <c r="F726" s="99"/>
      <c r="G726" s="99"/>
      <c r="H726" s="99"/>
      <c r="I726" s="99"/>
      <c r="J726" s="267"/>
      <c r="M726" s="93"/>
      <c r="N726" s="68"/>
      <c r="O726" s="115"/>
      <c r="Q726" s="127"/>
    </row>
    <row r="727" spans="2:17" ht="36.75" customHeight="1">
      <c r="B727" s="157"/>
      <c r="C727" s="26">
        <v>89994</v>
      </c>
      <c r="D727" s="16" t="s">
        <v>8</v>
      </c>
      <c r="E727" s="447" t="str">
        <f>IFERROR(VLOOKUP($C727,'SINAPI JULHO 2018'!$1:$1048576,2,0),IFERROR(VLOOKUP($C727,'5-COMP. PROPRIA'!$B$13:$I$518,4,0),""))</f>
        <v>GRAUTEAMENTO DE CINTA INTERMEDIÁRIA OU DE CONTRAVERGA EM ALVENARIA ESTRUTURAL. AF_01/2015</v>
      </c>
      <c r="F727" s="448"/>
      <c r="G727" s="448"/>
      <c r="H727" s="448"/>
      <c r="I727" s="448"/>
      <c r="J727" s="449"/>
      <c r="K727" s="184">
        <f>SUM(K729:K729)</f>
        <v>2.9760000000000009</v>
      </c>
      <c r="L727" s="58" t="s">
        <v>65</v>
      </c>
      <c r="M727" s="93"/>
      <c r="N727" s="68"/>
      <c r="O727" s="115"/>
      <c r="Q727" s="127"/>
    </row>
    <row r="728" spans="2:17" ht="15" customHeight="1">
      <c r="B728" s="157"/>
      <c r="E728" s="76" t="s">
        <v>106</v>
      </c>
      <c r="F728" s="17" t="s">
        <v>107</v>
      </c>
      <c r="G728" s="17" t="s">
        <v>108</v>
      </c>
      <c r="H728" s="67" t="s">
        <v>47</v>
      </c>
      <c r="I728" s="99"/>
      <c r="J728" s="267"/>
      <c r="M728" s="93"/>
      <c r="N728" s="68"/>
      <c r="O728" s="115"/>
      <c r="Q728" s="127"/>
    </row>
    <row r="729" spans="2:17" ht="15" customHeight="1">
      <c r="B729" s="157"/>
      <c r="E729" s="118">
        <v>74.400000000000006</v>
      </c>
      <c r="F729" s="51">
        <v>0.2</v>
      </c>
      <c r="G729" s="51">
        <v>0.2</v>
      </c>
      <c r="H729" s="51">
        <v>1</v>
      </c>
      <c r="I729" s="99"/>
      <c r="J729" s="267"/>
      <c r="K729" s="70">
        <f>E729*F729*G729*H729</f>
        <v>2.9760000000000009</v>
      </c>
      <c r="M729" s="93"/>
      <c r="N729" s="68"/>
      <c r="O729" s="115"/>
      <c r="Q729" s="127"/>
    </row>
    <row r="730" spans="2:17" ht="15" customHeight="1">
      <c r="B730" s="157"/>
      <c r="E730" s="266"/>
      <c r="F730" s="99"/>
      <c r="G730" s="99"/>
      <c r="H730" s="99"/>
      <c r="I730" s="99"/>
      <c r="J730" s="267"/>
      <c r="M730" s="93"/>
      <c r="N730" s="68"/>
      <c r="O730" s="115"/>
      <c r="Q730" s="127"/>
    </row>
    <row r="731" spans="2:17" ht="25.5" customHeight="1">
      <c r="B731" s="157"/>
      <c r="C731" s="26">
        <v>89998</v>
      </c>
      <c r="D731" s="16" t="s">
        <v>8</v>
      </c>
      <c r="E731" s="447" t="str">
        <f>IFERROR(VLOOKUP($C731,'SINAPI JULHO 2018'!$1:$1048576,2,0),IFERROR(VLOOKUP($C731,'5-COMP. PROPRIA'!$B$13:$I$518,4,0),""))</f>
        <v>ARMAÇÃO DE CINTA DE ALVENARIA ESTRUTURAL; DIÂMETRO DE 10,0 MM. AF_01/2015</v>
      </c>
      <c r="F731" s="448"/>
      <c r="G731" s="448"/>
      <c r="H731" s="448"/>
      <c r="I731" s="448"/>
      <c r="J731" s="449"/>
      <c r="K731" s="184">
        <f>K734</f>
        <v>91.69428000000002</v>
      </c>
      <c r="L731" s="58" t="s">
        <v>92</v>
      </c>
      <c r="M731" s="93"/>
      <c r="N731" s="68"/>
      <c r="O731" s="115"/>
      <c r="Q731" s="127"/>
    </row>
    <row r="732" spans="2:17" ht="15" customHeight="1">
      <c r="B732" s="157"/>
      <c r="E732" s="118"/>
      <c r="H732" s="70" t="s">
        <v>112</v>
      </c>
      <c r="I732" s="69">
        <f>K731/K727</f>
        <v>30.811249999999998</v>
      </c>
      <c r="J732" s="102"/>
      <c r="K732" s="70"/>
      <c r="M732" s="93"/>
      <c r="N732" s="68"/>
      <c r="O732" s="115"/>
      <c r="Q732" s="127"/>
    </row>
    <row r="733" spans="2:17" ht="15" customHeight="1">
      <c r="B733" s="157"/>
      <c r="E733" s="79" t="s">
        <v>93</v>
      </c>
      <c r="F733" s="67" t="s">
        <v>27</v>
      </c>
      <c r="G733" s="67" t="s">
        <v>28</v>
      </c>
      <c r="H733" s="61" t="s">
        <v>95</v>
      </c>
      <c r="I733" s="17" t="s">
        <v>54</v>
      </c>
      <c r="J733" s="102"/>
      <c r="K733" s="70"/>
      <c r="M733" s="93"/>
      <c r="N733" s="68"/>
      <c r="O733" s="115"/>
      <c r="Q733" s="127"/>
    </row>
    <row r="734" spans="2:17" ht="15" customHeight="1">
      <c r="B734" s="157"/>
      <c r="E734" s="101">
        <v>10</v>
      </c>
      <c r="F734" s="51">
        <f>E729</f>
        <v>74.400000000000006</v>
      </c>
      <c r="G734" s="51">
        <v>2</v>
      </c>
      <c r="H734" s="51">
        <f>((E734/1000)*(E734/1000)*3.14*0.25)*7850</f>
        <v>0.61622500000000013</v>
      </c>
      <c r="I734" s="51">
        <f>H729</f>
        <v>1</v>
      </c>
      <c r="J734" s="102"/>
      <c r="K734" s="70">
        <f>G734*H734*F734*I734</f>
        <v>91.69428000000002</v>
      </c>
      <c r="M734" s="93"/>
      <c r="N734" s="68"/>
      <c r="O734" s="115"/>
      <c r="Q734" s="127"/>
    </row>
    <row r="735" spans="2:17" ht="15" customHeight="1">
      <c r="B735" s="157"/>
      <c r="E735" s="266"/>
      <c r="F735" s="99"/>
      <c r="G735" s="99"/>
      <c r="H735" s="99"/>
      <c r="I735" s="99"/>
      <c r="J735" s="267"/>
      <c r="M735" s="93"/>
      <c r="N735" s="68"/>
      <c r="O735" s="115"/>
      <c r="Q735" s="127"/>
    </row>
    <row r="736" spans="2:17" ht="36" customHeight="1">
      <c r="B736" s="157"/>
      <c r="C736" s="94" t="s">
        <v>225</v>
      </c>
      <c r="D736" s="16" t="s">
        <v>35</v>
      </c>
      <c r="E736" s="447" t="str">
        <f>IFERROR(VLOOKUP($C736,'SINAPI JULHO 2018'!$1:$1048576,2,0),IFERROR(VLOOKUP($C736,'5-COMP. PROPRIA'!$B$13:$I$518,4,0),""))</f>
        <v>CINTA DE AMARRAÇÃO DE ALVENARIA MOLDADA IN LOCO COM UTILIZAÇÃO DE BLOCOS CANALETA</v>
      </c>
      <c r="F736" s="448"/>
      <c r="G736" s="448"/>
      <c r="H736" s="448"/>
      <c r="I736" s="448"/>
      <c r="J736" s="449"/>
      <c r="K736" s="184">
        <f>E729</f>
        <v>74.400000000000006</v>
      </c>
      <c r="L736" s="57" t="s">
        <v>172</v>
      </c>
      <c r="M736" s="93"/>
      <c r="N736" s="68"/>
      <c r="O736" s="115"/>
      <c r="Q736" s="127"/>
    </row>
    <row r="737" spans="2:17" ht="15" hidden="1" customHeight="1">
      <c r="B737" s="157"/>
      <c r="E737" s="266"/>
      <c r="F737" s="99"/>
      <c r="G737" s="99"/>
      <c r="H737" s="99"/>
      <c r="I737" s="99"/>
      <c r="J737" s="267"/>
      <c r="M737" s="93"/>
      <c r="N737" s="68"/>
      <c r="O737" s="115"/>
      <c r="Q737" s="127"/>
    </row>
    <row r="738" spans="2:17" ht="15" customHeight="1">
      <c r="B738" s="157"/>
      <c r="E738" s="266"/>
      <c r="F738" s="99"/>
      <c r="G738" s="99"/>
      <c r="H738" s="99"/>
      <c r="I738" s="99"/>
      <c r="J738" s="267"/>
      <c r="M738" s="93"/>
      <c r="N738" s="68"/>
      <c r="O738" s="115"/>
      <c r="Q738" s="127"/>
    </row>
    <row r="739" spans="2:17" ht="15" customHeight="1">
      <c r="B739" s="157"/>
      <c r="E739" s="453" t="s">
        <v>226</v>
      </c>
      <c r="F739" s="454"/>
      <c r="G739" s="454"/>
      <c r="H739" s="454"/>
      <c r="I739" s="454"/>
      <c r="J739" s="455"/>
      <c r="M739" s="93"/>
      <c r="N739" s="68"/>
      <c r="O739" s="115"/>
      <c r="Q739" s="127"/>
    </row>
    <row r="740" spans="2:17" ht="15" customHeight="1">
      <c r="B740" s="157"/>
      <c r="E740" s="266"/>
      <c r="F740" s="99"/>
      <c r="G740" s="99"/>
      <c r="H740" s="99"/>
      <c r="I740" s="99"/>
      <c r="J740" s="267"/>
      <c r="M740" s="93"/>
      <c r="N740" s="68"/>
      <c r="O740" s="115"/>
      <c r="Q740" s="127"/>
    </row>
    <row r="741" spans="2:17" ht="15" customHeight="1">
      <c r="B741" s="157"/>
      <c r="C741" s="26">
        <v>89995</v>
      </c>
      <c r="D741" s="16" t="s">
        <v>8</v>
      </c>
      <c r="E741" s="447" t="str">
        <f>IFERROR(VLOOKUP($C741,'SINAPI JULHO 2018'!$1:$1048576,2,0),IFERROR(VLOOKUP($C741,'5-COMP. PROPRIA'!$B$13:$I$518,4,0),""))</f>
        <v>GRAUTEAMENTO DE CINTA SUPERIOR OU DE VERGA EM ALVENARIA ESTRUTURAL. AF_01/2015</v>
      </c>
      <c r="F741" s="448"/>
      <c r="G741" s="448"/>
      <c r="H741" s="448"/>
      <c r="I741" s="448"/>
      <c r="J741" s="449"/>
      <c r="K741" s="184">
        <f>SUM(K743:K743)</f>
        <v>2.9760000000000009</v>
      </c>
      <c r="L741" s="58" t="s">
        <v>65</v>
      </c>
      <c r="M741" s="93"/>
      <c r="N741" s="68"/>
      <c r="O741" s="115"/>
      <c r="Q741" s="127"/>
    </row>
    <row r="742" spans="2:17" ht="15" customHeight="1">
      <c r="B742" s="157"/>
      <c r="E742" s="76" t="s">
        <v>106</v>
      </c>
      <c r="F742" s="17" t="s">
        <v>107</v>
      </c>
      <c r="G742" s="17" t="s">
        <v>108</v>
      </c>
      <c r="H742" s="67" t="s">
        <v>47</v>
      </c>
      <c r="I742" s="99"/>
      <c r="J742" s="267"/>
      <c r="M742" s="93"/>
      <c r="N742" s="68"/>
      <c r="O742" s="115"/>
      <c r="Q742" s="127"/>
    </row>
    <row r="743" spans="2:17" ht="15" customHeight="1">
      <c r="B743" s="157"/>
      <c r="E743" s="118">
        <v>74.400000000000006</v>
      </c>
      <c r="F743" s="51">
        <v>0.2</v>
      </c>
      <c r="G743" s="51">
        <v>0.2</v>
      </c>
      <c r="H743" s="51">
        <v>1</v>
      </c>
      <c r="I743" s="99"/>
      <c r="J743" s="267"/>
      <c r="K743" s="70">
        <f>E743*F743*G743*H743</f>
        <v>2.9760000000000009</v>
      </c>
      <c r="M743" s="93"/>
      <c r="N743" s="68"/>
      <c r="O743" s="115"/>
      <c r="Q743" s="127"/>
    </row>
    <row r="744" spans="2:17" ht="15" customHeight="1">
      <c r="B744" s="157"/>
      <c r="E744" s="266"/>
      <c r="F744" s="99"/>
      <c r="G744" s="99"/>
      <c r="H744" s="99"/>
      <c r="I744" s="99"/>
      <c r="J744" s="267"/>
      <c r="M744" s="93"/>
      <c r="N744" s="68"/>
      <c r="O744" s="115"/>
      <c r="Q744" s="127"/>
    </row>
    <row r="745" spans="2:17" ht="15" customHeight="1">
      <c r="B745" s="157"/>
      <c r="C745" s="26">
        <v>89998</v>
      </c>
      <c r="D745" s="16" t="s">
        <v>8</v>
      </c>
      <c r="E745" s="447" t="str">
        <f>IFERROR(VLOOKUP($C745,'SINAPI JULHO 2018'!$1:$1048576,2,0),IFERROR(VLOOKUP($C745,'5-COMP. PROPRIA'!$B$13:$I$518,4,0),""))</f>
        <v>ARMAÇÃO DE CINTA DE ALVENARIA ESTRUTURAL; DIÂMETRO DE 10,0 MM. AF_01/2015</v>
      </c>
      <c r="F745" s="448"/>
      <c r="G745" s="448"/>
      <c r="H745" s="448"/>
      <c r="I745" s="448"/>
      <c r="J745" s="449"/>
      <c r="K745" s="184">
        <f>K748</f>
        <v>91.69428000000002</v>
      </c>
      <c r="L745" s="58" t="s">
        <v>92</v>
      </c>
      <c r="M745" s="93"/>
      <c r="N745" s="68"/>
      <c r="O745" s="115"/>
      <c r="Q745" s="127"/>
    </row>
    <row r="746" spans="2:17" ht="15" customHeight="1">
      <c r="B746" s="157"/>
      <c r="E746" s="118"/>
      <c r="H746" s="70" t="s">
        <v>112</v>
      </c>
      <c r="I746" s="69">
        <f>K745/K741</f>
        <v>30.811249999999998</v>
      </c>
      <c r="J746" s="102"/>
      <c r="K746" s="70"/>
      <c r="M746" s="93"/>
      <c r="N746" s="68"/>
      <c r="O746" s="115"/>
      <c r="Q746" s="127"/>
    </row>
    <row r="747" spans="2:17" ht="15" customHeight="1">
      <c r="B747" s="157"/>
      <c r="E747" s="79" t="s">
        <v>93</v>
      </c>
      <c r="F747" s="67" t="s">
        <v>27</v>
      </c>
      <c r="G747" s="67" t="s">
        <v>28</v>
      </c>
      <c r="H747" s="61" t="s">
        <v>95</v>
      </c>
      <c r="I747" s="17" t="s">
        <v>54</v>
      </c>
      <c r="J747" s="102"/>
      <c r="K747" s="70"/>
      <c r="M747" s="93"/>
      <c r="N747" s="68"/>
      <c r="O747" s="115"/>
      <c r="Q747" s="127"/>
    </row>
    <row r="748" spans="2:17" ht="15" customHeight="1">
      <c r="B748" s="157"/>
      <c r="E748" s="101">
        <v>10</v>
      </c>
      <c r="F748" s="51">
        <f>E743</f>
        <v>74.400000000000006</v>
      </c>
      <c r="G748" s="51">
        <v>2</v>
      </c>
      <c r="H748" s="51">
        <f>((E748/1000)*(E748/1000)*3.14*0.25)*7850</f>
        <v>0.61622500000000013</v>
      </c>
      <c r="I748" s="51">
        <f>H743</f>
        <v>1</v>
      </c>
      <c r="J748" s="102"/>
      <c r="K748" s="70">
        <f>G748*H748*F748*I748</f>
        <v>91.69428000000002</v>
      </c>
      <c r="M748" s="93"/>
      <c r="N748" s="68"/>
      <c r="O748" s="115"/>
      <c r="Q748" s="127"/>
    </row>
    <row r="749" spans="2:17" ht="15" customHeight="1">
      <c r="B749" s="157"/>
      <c r="E749" s="266"/>
      <c r="F749" s="99"/>
      <c r="G749" s="99"/>
      <c r="H749" s="99"/>
      <c r="I749" s="99"/>
      <c r="J749" s="267"/>
      <c r="M749" s="93"/>
      <c r="N749" s="68"/>
      <c r="O749" s="115"/>
      <c r="Q749" s="127"/>
    </row>
    <row r="750" spans="2:17" ht="36" customHeight="1">
      <c r="B750" s="157"/>
      <c r="C750" s="94" t="s">
        <v>225</v>
      </c>
      <c r="D750" s="16" t="s">
        <v>35</v>
      </c>
      <c r="E750" s="447" t="str">
        <f>IFERROR(VLOOKUP($C750,'SINAPI JULHO 2018'!$1:$1048576,2,0),IFERROR(VLOOKUP($C750,'5-COMP. PROPRIA'!$B$13:$I$518,4,0),""))</f>
        <v>CINTA DE AMARRAÇÃO DE ALVENARIA MOLDADA IN LOCO COM UTILIZAÇÃO DE BLOCOS CANALETA</v>
      </c>
      <c r="F750" s="448"/>
      <c r="G750" s="448"/>
      <c r="H750" s="448"/>
      <c r="I750" s="448"/>
      <c r="J750" s="449"/>
      <c r="K750" s="184">
        <f>E743</f>
        <v>74.400000000000006</v>
      </c>
      <c r="L750" s="57" t="s">
        <v>172</v>
      </c>
      <c r="M750" s="93"/>
      <c r="N750" s="68"/>
      <c r="O750" s="115"/>
      <c r="Q750" s="127"/>
    </row>
    <row r="751" spans="2:17" ht="15" customHeight="1">
      <c r="B751" s="157"/>
      <c r="E751" s="266"/>
      <c r="F751" s="99"/>
      <c r="G751" s="99"/>
      <c r="H751" s="99"/>
      <c r="I751" s="99"/>
      <c r="J751" s="267"/>
      <c r="M751" s="93"/>
      <c r="N751" s="68"/>
      <c r="O751" s="115"/>
      <c r="Q751" s="127"/>
    </row>
    <row r="752" spans="2:17" ht="15" customHeight="1">
      <c r="B752" s="157"/>
      <c r="E752" s="453" t="s">
        <v>227</v>
      </c>
      <c r="F752" s="454"/>
      <c r="G752" s="454"/>
      <c r="H752" s="454"/>
      <c r="I752" s="454"/>
      <c r="J752" s="455"/>
      <c r="M752" s="93"/>
      <c r="N752" s="68"/>
      <c r="O752" s="115"/>
      <c r="Q752" s="127"/>
    </row>
    <row r="753" spans="2:17" ht="15" customHeight="1">
      <c r="B753" s="157"/>
      <c r="E753" s="266"/>
      <c r="F753" s="99"/>
      <c r="G753" s="99"/>
      <c r="H753" s="99"/>
      <c r="I753" s="99"/>
      <c r="J753" s="267"/>
      <c r="M753" s="93"/>
      <c r="N753" s="68"/>
      <c r="O753" s="115"/>
      <c r="Q753" s="127"/>
    </row>
    <row r="754" spans="2:17" ht="52.5" customHeight="1">
      <c r="B754" s="157" t="s">
        <v>228</v>
      </c>
      <c r="C754" s="26">
        <v>87457</v>
      </c>
      <c r="D754" s="16" t="s">
        <v>8</v>
      </c>
      <c r="E754" s="447" t="str">
        <f>IFERROR(VLOOKUP($C754,'SINAPI JULHO 2018'!$1:$1048576,2,0),IFERROR(VLOOKUP($C754,'5-COMP. PROPRIA'!$B$13:$I$518,4,0),""))</f>
        <v>ALVENARIA DE VEDAÇÃO DE BLOCOS VAZADOS DE CONCRETO DE 19X19X39CM (ESPESSURA 19CM) DE PAREDES COM ÁREA LÍQUIDA MAIOR OU IGUAL A 6M² SEM VÃOS E ARGAMASSA DE ASSENTAMENTO COM PREPARO EM BETONEIRA. AF_06/2014</v>
      </c>
      <c r="F754" s="448"/>
      <c r="G754" s="448"/>
      <c r="H754" s="448"/>
      <c r="I754" s="448"/>
      <c r="J754" s="449"/>
      <c r="K754" s="184">
        <f>K756</f>
        <v>282.72000000000003</v>
      </c>
      <c r="L754" s="57" t="s">
        <v>145</v>
      </c>
      <c r="M754" s="93"/>
      <c r="N754" s="68"/>
      <c r="O754" s="115"/>
      <c r="Q754" s="127"/>
    </row>
    <row r="755" spans="2:17" ht="15" customHeight="1">
      <c r="B755" s="157"/>
      <c r="E755" s="76" t="s">
        <v>106</v>
      </c>
      <c r="F755" s="17" t="s">
        <v>108</v>
      </c>
      <c r="G755" s="99"/>
      <c r="H755" s="99"/>
      <c r="I755" s="99"/>
      <c r="J755" s="267"/>
      <c r="M755" s="93"/>
      <c r="N755" s="68"/>
      <c r="O755" s="115"/>
      <c r="Q755" s="127"/>
    </row>
    <row r="756" spans="2:17" ht="15" customHeight="1">
      <c r="B756" s="157"/>
      <c r="E756" s="266">
        <v>74.400000000000006</v>
      </c>
      <c r="F756" s="99">
        <f>4.2-G729-G743</f>
        <v>3.8</v>
      </c>
      <c r="G756" s="99"/>
      <c r="H756" s="99"/>
      <c r="I756" s="99"/>
      <c r="J756" s="267"/>
      <c r="K756" s="180">
        <f>E756*F756</f>
        <v>282.72000000000003</v>
      </c>
      <c r="M756" s="93"/>
      <c r="N756" s="68"/>
      <c r="O756" s="115"/>
      <c r="Q756" s="127"/>
    </row>
    <row r="757" spans="2:17" ht="15" customHeight="1">
      <c r="B757" s="157"/>
      <c r="E757" s="266"/>
      <c r="F757" s="99"/>
      <c r="G757" s="99"/>
      <c r="H757" s="99"/>
      <c r="I757" s="99"/>
      <c r="J757" s="267"/>
      <c r="M757" s="93"/>
      <c r="N757" s="68"/>
      <c r="O757" s="115"/>
      <c r="Q757" s="127"/>
    </row>
    <row r="758" spans="2:17" ht="57" customHeight="1">
      <c r="B758" s="157" t="s">
        <v>229</v>
      </c>
      <c r="C758" s="26">
        <v>87457</v>
      </c>
      <c r="D758" s="16" t="s">
        <v>8</v>
      </c>
      <c r="E758" s="447" t="str">
        <f>IFERROR(VLOOKUP($C758,'SINAPI JULHO 2018'!$1:$1048576,2,0),IFERROR(VLOOKUP($C758,'5-COMP. PROPRIA'!$B$13:$I$518,4,0),""))</f>
        <v>ALVENARIA DE VEDAÇÃO DE BLOCOS VAZADOS DE CONCRETO DE 19X19X39CM (ESPESSURA 19CM) DE PAREDES COM ÁREA LÍQUIDA MAIOR OU IGUAL A 6M² SEM VÃOS E ARGAMASSA DE ASSENTAMENTO COM PREPARO EM BETONEIRA. AF_06/2014</v>
      </c>
      <c r="F758" s="448"/>
      <c r="G758" s="448"/>
      <c r="H758" s="448"/>
      <c r="I758" s="448"/>
      <c r="J758" s="449"/>
      <c r="K758" s="184">
        <f>K760</f>
        <v>42</v>
      </c>
      <c r="L758" s="57" t="s">
        <v>145</v>
      </c>
      <c r="M758" s="93"/>
      <c r="N758" s="68"/>
      <c r="O758" s="115"/>
      <c r="Q758" s="127"/>
    </row>
    <row r="759" spans="2:17" ht="15" customHeight="1">
      <c r="B759" s="157"/>
      <c r="E759" s="76" t="s">
        <v>106</v>
      </c>
      <c r="F759" s="17" t="s">
        <v>108</v>
      </c>
      <c r="G759" s="99"/>
      <c r="H759" s="99"/>
      <c r="I759" s="99"/>
      <c r="J759" s="267"/>
      <c r="M759" s="93"/>
      <c r="N759" s="68"/>
      <c r="O759" s="115"/>
      <c r="Q759" s="127"/>
    </row>
    <row r="760" spans="2:17" ht="15" customHeight="1">
      <c r="B760" s="157"/>
      <c r="E760" s="266">
        <f>25*0.4</f>
        <v>10</v>
      </c>
      <c r="F760" s="99">
        <v>4.2</v>
      </c>
      <c r="G760" s="99"/>
      <c r="H760" s="99"/>
      <c r="I760" s="99"/>
      <c r="J760" s="267"/>
      <c r="K760" s="180">
        <f>E760*F760</f>
        <v>42</v>
      </c>
      <c r="M760" s="93"/>
      <c r="N760" s="68"/>
      <c r="O760" s="115"/>
      <c r="Q760" s="127"/>
    </row>
    <row r="761" spans="2:17" ht="15" customHeight="1">
      <c r="B761" s="157"/>
      <c r="E761" s="266"/>
      <c r="F761" s="99"/>
      <c r="G761" s="99"/>
      <c r="H761" s="99"/>
      <c r="I761" s="99"/>
      <c r="J761" s="267"/>
      <c r="M761" s="93"/>
      <c r="N761" s="68"/>
      <c r="O761" s="115"/>
      <c r="Q761" s="127"/>
    </row>
    <row r="762" spans="2:17" ht="15" customHeight="1">
      <c r="B762" s="157"/>
      <c r="C762" s="94" t="s">
        <v>167</v>
      </c>
      <c r="D762" s="16" t="s">
        <v>35</v>
      </c>
      <c r="E762" s="447" t="str">
        <f>IFERROR(VLOOKUP($C762,'SINAPI JULHO 2018'!$1:$1048576,2,0),IFERROR(VLOOKUP($C762,'5-COMP. PROPRIA'!$B$13:$I$518,4,0),""))</f>
        <v>LIXAMENTO MANUAL DE CONCRETO APARENTE</v>
      </c>
      <c r="F762" s="448"/>
      <c r="G762" s="448"/>
      <c r="H762" s="448"/>
      <c r="I762" s="448"/>
      <c r="J762" s="449"/>
      <c r="K762" s="184">
        <f>(E756*F760)*2</f>
        <v>624.96</v>
      </c>
      <c r="L762" s="57" t="s">
        <v>145</v>
      </c>
      <c r="M762" s="93"/>
      <c r="N762" s="68"/>
      <c r="O762" s="115"/>
      <c r="Q762" s="127"/>
    </row>
    <row r="763" spans="2:17" ht="15" customHeight="1">
      <c r="B763" s="157"/>
      <c r="E763" s="266"/>
      <c r="F763" s="99"/>
      <c r="G763" s="99"/>
      <c r="H763" s="99"/>
      <c r="I763" s="99"/>
      <c r="J763" s="267"/>
      <c r="M763" s="93"/>
      <c r="N763" s="68"/>
      <c r="O763" s="115"/>
      <c r="Q763" s="127"/>
    </row>
    <row r="764" spans="2:17" ht="15">
      <c r="B764" s="157"/>
      <c r="C764" s="26">
        <v>88485</v>
      </c>
      <c r="D764" s="16" t="s">
        <v>8</v>
      </c>
      <c r="E764" s="447" t="str">
        <f>IFERROR(VLOOKUP($C764,'SINAPI JULHO 2018'!$1:$1048576,2,0),IFERROR(VLOOKUP($C764,'5-COMP. PROPRIA'!$B$13:$I$518,4,0),""))</f>
        <v>APLICAÇÃO DE FUNDO SELADOR ACRÍLICO EM PAREDES, UMA DEMÃO. AF_06/2014</v>
      </c>
      <c r="F764" s="448"/>
      <c r="G764" s="448"/>
      <c r="H764" s="448"/>
      <c r="I764" s="448"/>
      <c r="J764" s="449"/>
      <c r="K764" s="184">
        <f>K762</f>
        <v>624.96</v>
      </c>
      <c r="L764" s="57" t="s">
        <v>145</v>
      </c>
      <c r="M764" s="93"/>
      <c r="N764" s="68"/>
      <c r="O764" s="115"/>
      <c r="Q764" s="127"/>
    </row>
    <row r="765" spans="2:17" ht="15" customHeight="1">
      <c r="B765" s="157"/>
      <c r="E765" s="266"/>
      <c r="F765" s="99"/>
      <c r="G765" s="99"/>
      <c r="H765" s="99"/>
      <c r="I765" s="99"/>
      <c r="J765" s="267"/>
      <c r="M765" s="93"/>
      <c r="N765" s="68"/>
      <c r="O765" s="115"/>
      <c r="Q765" s="127"/>
    </row>
    <row r="766" spans="2:17" ht="15" customHeight="1">
      <c r="B766" s="157"/>
      <c r="C766" s="26">
        <v>88489</v>
      </c>
      <c r="D766" s="16" t="s">
        <v>8</v>
      </c>
      <c r="E766" s="447" t="str">
        <f>IFERROR(VLOOKUP($C766,'SINAPI JULHO 2018'!$1:$1048576,2,0),IFERROR(VLOOKUP($C766,'5-COMP. PROPRIA'!$B$13:$I$518,4,0),""))</f>
        <v>APLICAÇÃO MANUAL DE PINTURA COM TINTA LÁTEX ACRÍLICA EM PAREDES, DUAS DEMÃOS. AF_06/2014</v>
      </c>
      <c r="F766" s="448"/>
      <c r="G766" s="448"/>
      <c r="H766" s="448"/>
      <c r="I766" s="448"/>
      <c r="J766" s="449"/>
      <c r="K766" s="184">
        <f>$E$756*3.2*2</f>
        <v>476.16000000000008</v>
      </c>
      <c r="L766" s="57" t="s">
        <v>145</v>
      </c>
      <c r="M766" s="93"/>
      <c r="N766" s="68"/>
      <c r="O766" s="115"/>
      <c r="Q766" s="127"/>
    </row>
    <row r="767" spans="2:17" ht="15" customHeight="1">
      <c r="B767" s="157"/>
      <c r="E767" s="266"/>
      <c r="F767" s="99"/>
      <c r="G767" s="99"/>
      <c r="H767" s="99"/>
      <c r="I767" s="99"/>
      <c r="J767" s="267"/>
      <c r="M767" s="93"/>
      <c r="N767" s="68"/>
      <c r="O767" s="115"/>
      <c r="Q767" s="127"/>
    </row>
    <row r="768" spans="2:17" ht="15">
      <c r="B768" s="157"/>
      <c r="C768" s="94" t="s">
        <v>168</v>
      </c>
      <c r="D768" s="16" t="s">
        <v>35</v>
      </c>
      <c r="E768" s="447" t="str">
        <f>IFERROR(VLOOKUP($C768,'SINAPI JULHO 2018'!$1:$1048576,2,0),IFERROR(VLOOKUP($C768,'5-COMP. PROPRIA'!$B$13:$I$518,4,0),""))</f>
        <v xml:space="preserve">PINTURA COM TINTA ESMALTE SINTÉTICO </v>
      </c>
      <c r="F768" s="448"/>
      <c r="G768" s="448"/>
      <c r="H768" s="448"/>
      <c r="I768" s="448"/>
      <c r="J768" s="449"/>
      <c r="K768" s="184">
        <f>$E$756*1.2*2</f>
        <v>178.56</v>
      </c>
      <c r="L768" s="57" t="s">
        <v>145</v>
      </c>
      <c r="M768" s="93"/>
      <c r="N768" s="68"/>
      <c r="O768" s="115"/>
      <c r="Q768" s="127"/>
    </row>
    <row r="769" spans="2:17" ht="15" customHeight="1">
      <c r="B769" s="157"/>
      <c r="E769" s="266"/>
      <c r="F769" s="99"/>
      <c r="G769" s="99"/>
      <c r="H769" s="99"/>
      <c r="I769" s="99"/>
      <c r="J769" s="267"/>
      <c r="M769" s="93"/>
      <c r="N769" s="68"/>
      <c r="O769" s="115"/>
      <c r="P769" s="26"/>
      <c r="Q769" s="26"/>
    </row>
    <row r="770" spans="2:17" ht="15" customHeight="1">
      <c r="B770" s="157"/>
      <c r="C770" s="94" t="str">
        <f>'5-COMP. PROPRIA'!B223</f>
        <v>CP-PIN-01</v>
      </c>
      <c r="D770" s="16" t="s">
        <v>35</v>
      </c>
      <c r="E770" s="447" t="str">
        <f>IFERROR(VLOOKUP($C770,'SINAPI JULHO 2018'!$1:$1048576,2,0),IFERROR(VLOOKUP($C770,'5-COMP. PROPRIA'!$B$13:$I$518,4,0),""))</f>
        <v xml:space="preserve">PINTURA DE LOGOMARCA  E NOMENCLATURA </v>
      </c>
      <c r="F770" s="448"/>
      <c r="G770" s="448"/>
      <c r="H770" s="448"/>
      <c r="I770" s="448"/>
      <c r="J770" s="449"/>
      <c r="K770" s="184">
        <v>80</v>
      </c>
      <c r="L770" s="57" t="s">
        <v>145</v>
      </c>
      <c r="M770" s="93"/>
      <c r="N770" s="68"/>
      <c r="O770" s="115"/>
      <c r="P770" s="26"/>
      <c r="Q770" s="26"/>
    </row>
    <row r="771" spans="2:17" ht="15" customHeight="1">
      <c r="B771" s="157"/>
      <c r="E771" s="266"/>
      <c r="F771" s="99"/>
      <c r="G771" s="99"/>
      <c r="H771" s="99"/>
      <c r="I771" s="99"/>
      <c r="J771" s="267"/>
      <c r="M771" s="93"/>
      <c r="N771" s="68"/>
      <c r="O771" s="115"/>
      <c r="P771" s="26"/>
      <c r="Q771" s="26"/>
    </row>
    <row r="772" spans="2:17" ht="27" customHeight="1">
      <c r="B772" s="157"/>
      <c r="C772" s="94" t="str">
        <f>'5-COMP. PROPRIA'!B282</f>
        <v>CP-JUN-01</v>
      </c>
      <c r="D772" s="16" t="s">
        <v>35</v>
      </c>
      <c r="E772" s="447" t="str">
        <f>IFERROR(VLOOKUP($C772,'SINAPI JULHO 2018'!$1:$1048576,2,0),IFERROR(VLOOKUP($C772,'5-COMP. PROPRIA'!$B$13:$I$518,4,0),""))</f>
        <v xml:space="preserve">JUNTA DE DILATAÇÃO COM SELANTE ELASTICO MONOCOMPONENTE A BASE DE POLIURETANO </v>
      </c>
      <c r="F772" s="448"/>
      <c r="G772" s="448"/>
      <c r="H772" s="448"/>
      <c r="I772" s="448"/>
      <c r="J772" s="449"/>
      <c r="K772" s="184">
        <v>7</v>
      </c>
      <c r="L772" s="57" t="s">
        <v>5</v>
      </c>
      <c r="M772" s="93"/>
      <c r="N772" s="68"/>
      <c r="O772" s="115"/>
      <c r="P772" s="26"/>
      <c r="Q772" s="26"/>
    </row>
    <row r="773" spans="2:17" ht="15" customHeight="1">
      <c r="B773" s="157"/>
      <c r="E773" s="266"/>
      <c r="F773" s="99"/>
      <c r="G773" s="99"/>
      <c r="H773" s="99"/>
      <c r="I773" s="99"/>
      <c r="J773" s="267"/>
      <c r="M773" s="93"/>
      <c r="N773" s="68"/>
      <c r="O773" s="115"/>
      <c r="P773" s="26"/>
      <c r="Q773" s="26"/>
    </row>
    <row r="774" spans="2:17" ht="15" customHeight="1">
      <c r="B774" s="157"/>
      <c r="E774" s="453" t="s">
        <v>139</v>
      </c>
      <c r="F774" s="454"/>
      <c r="G774" s="454"/>
      <c r="H774" s="454"/>
      <c r="I774" s="454"/>
      <c r="J774" s="455"/>
      <c r="M774" s="93"/>
      <c r="N774" s="68"/>
      <c r="O774" s="115"/>
      <c r="P774" s="94"/>
      <c r="Q774" s="16"/>
    </row>
    <row r="775" spans="2:17" ht="15" customHeight="1">
      <c r="B775" s="157"/>
      <c r="E775" s="266"/>
      <c r="F775" s="99"/>
      <c r="G775" s="99"/>
      <c r="H775" s="99"/>
      <c r="I775" s="99"/>
      <c r="J775" s="267"/>
      <c r="M775" s="93"/>
      <c r="N775" s="68"/>
      <c r="O775" s="115"/>
      <c r="Q775" s="127"/>
    </row>
    <row r="776" spans="2:17" ht="52.5" customHeight="1">
      <c r="B776" s="157" t="s">
        <v>230</v>
      </c>
      <c r="C776" s="136" t="s">
        <v>231</v>
      </c>
      <c r="D776" s="16" t="s">
        <v>35</v>
      </c>
      <c r="E776" s="447" t="str">
        <f>IFERROR(VLOOKUP($C776,'SINAPI JULHO 2018'!$1:$1048576,2,0),IFERROR(VLOOKUP($C776,'5-COMP. PROPRIA'!$B$13:$I$518,4,0),""))</f>
        <v>ALAMBRADO EM TUBOS DE ACO GALVANIZADO, COM COSTURA, DIN 2440, DIAMETRO 2", ALTURA 2,5 M, FIXADOS A CADA 3 M, COM TELA DE ARAME GALVANIZADO REVESTIDO COM PVC, FIO 12 BWG E MALHA 7,5X7,5CM</v>
      </c>
      <c r="F776" s="448"/>
      <c r="G776" s="448"/>
      <c r="H776" s="448"/>
      <c r="I776" s="448"/>
      <c r="J776" s="449"/>
      <c r="K776" s="184">
        <f>31*2.5</f>
        <v>77.5</v>
      </c>
      <c r="L776" s="58" t="s">
        <v>25</v>
      </c>
      <c r="M776" s="93"/>
      <c r="N776" s="68"/>
      <c r="O776" s="115"/>
      <c r="Q776" s="127"/>
    </row>
    <row r="777" spans="2:17" ht="15" customHeight="1">
      <c r="B777" s="157"/>
      <c r="C777" s="91"/>
      <c r="D777" s="91"/>
      <c r="E777" s="113"/>
      <c r="F777" s="56"/>
      <c r="G777" s="56"/>
      <c r="H777" s="56"/>
      <c r="I777" s="56"/>
      <c r="J777" s="240"/>
      <c r="K777" s="183"/>
      <c r="L777" s="56"/>
      <c r="M777" s="93"/>
      <c r="N777" s="68"/>
      <c r="O777" s="115"/>
      <c r="Q777" s="127"/>
    </row>
    <row r="778" spans="2:17" ht="15" customHeight="1">
      <c r="B778" s="157"/>
      <c r="C778" s="94" t="s">
        <v>141</v>
      </c>
      <c r="D778" s="16" t="s">
        <v>35</v>
      </c>
      <c r="E778" s="447" t="str">
        <f>IFERROR(VLOOKUP($C778,'SINAPI JULHO 2018'!$1:$1048576,2,0),IFERROR(VLOOKUP($C778,'5-COMP. PROPRIA'!$B$13:$I$518,4,0),""))</f>
        <v xml:space="preserve">LIXAMENTO DE SUPERFICIE METÁLICA </v>
      </c>
      <c r="F778" s="448"/>
      <c r="G778" s="448"/>
      <c r="H778" s="448"/>
      <c r="I778" s="448"/>
      <c r="J778" s="449"/>
      <c r="K778" s="184">
        <f>K776*2.5</f>
        <v>193.75</v>
      </c>
      <c r="L778" s="57" t="s">
        <v>145</v>
      </c>
      <c r="M778" s="93"/>
      <c r="N778" s="68"/>
      <c r="O778" s="115"/>
      <c r="Q778" s="127"/>
    </row>
    <row r="779" spans="2:17" ht="15" customHeight="1">
      <c r="B779" s="157"/>
      <c r="C779" s="91"/>
      <c r="D779" s="91"/>
      <c r="E779" s="113"/>
      <c r="F779" s="56"/>
      <c r="G779" s="56"/>
      <c r="H779" s="56"/>
      <c r="I779" s="56"/>
      <c r="J779" s="240"/>
      <c r="K779" s="183"/>
      <c r="L779" s="56"/>
      <c r="M779" s="93"/>
      <c r="N779" s="68"/>
      <c r="O779" s="115"/>
      <c r="Q779" s="127"/>
    </row>
    <row r="780" spans="2:17" ht="28.5" customHeight="1">
      <c r="B780" s="157"/>
      <c r="C780" s="94" t="s">
        <v>142</v>
      </c>
      <c r="D780" s="16" t="s">
        <v>8</v>
      </c>
      <c r="E780" s="447" t="str">
        <f>IFERROR(VLOOKUP($C780,'SINAPI JULHO 2018'!$1:$1048576,2,0),IFERROR(VLOOKUP($C780,'5-COMP. PROPRIA'!$B$13:$I$518,4,0),""))</f>
        <v>PINTURA ESMALTE ALTO BRILHO, DUAS DEMAOS, SOBRE SUPERFICIE METALICA</v>
      </c>
      <c r="F780" s="448"/>
      <c r="G780" s="448"/>
      <c r="H780" s="448"/>
      <c r="I780" s="448"/>
      <c r="J780" s="449"/>
      <c r="K780" s="184">
        <f>K778</f>
        <v>193.75</v>
      </c>
      <c r="L780" s="58" t="s">
        <v>25</v>
      </c>
      <c r="M780" s="93"/>
      <c r="N780" s="68"/>
      <c r="O780" s="115"/>
      <c r="Q780" s="127"/>
    </row>
    <row r="781" spans="2:17" ht="15" customHeight="1">
      <c r="B781" s="157"/>
      <c r="E781" s="266"/>
      <c r="F781" s="99"/>
      <c r="G781" s="99"/>
      <c r="H781" s="99"/>
      <c r="I781" s="99"/>
      <c r="J781" s="267"/>
      <c r="M781" s="93"/>
      <c r="N781" s="68"/>
      <c r="O781" s="115"/>
      <c r="Q781" s="127"/>
    </row>
    <row r="782" spans="2:17" s="320" customFormat="1" ht="15" customHeight="1">
      <c r="B782" s="322"/>
      <c r="C782" s="323"/>
      <c r="D782" s="323"/>
      <c r="E782" s="491" t="s">
        <v>232</v>
      </c>
      <c r="F782" s="492"/>
      <c r="G782" s="492"/>
      <c r="H782" s="492"/>
      <c r="I782" s="492"/>
      <c r="J782" s="493"/>
      <c r="K782" s="324"/>
      <c r="L782" s="325"/>
      <c r="M782" s="326"/>
      <c r="N782" s="327"/>
      <c r="O782" s="319"/>
      <c r="Q782" s="321"/>
    </row>
    <row r="783" spans="2:17" ht="15" customHeight="1">
      <c r="B783" s="157"/>
      <c r="C783" s="188"/>
      <c r="D783" s="188"/>
      <c r="E783" s="277"/>
      <c r="F783" s="278"/>
      <c r="G783" s="278"/>
      <c r="H783" s="278"/>
      <c r="I783" s="278"/>
      <c r="J783" s="279"/>
      <c r="K783" s="262"/>
      <c r="L783" s="263"/>
      <c r="M783" s="301"/>
      <c r="N783" s="68"/>
      <c r="O783" s="115"/>
      <c r="Q783" s="127"/>
    </row>
    <row r="784" spans="2:17" ht="15" customHeight="1">
      <c r="B784" s="268"/>
      <c r="C784" s="269"/>
      <c r="D784" s="269"/>
      <c r="E784" s="462" t="s">
        <v>215</v>
      </c>
      <c r="F784" s="463"/>
      <c r="G784" s="463"/>
      <c r="H784" s="463"/>
      <c r="I784" s="463"/>
      <c r="J784" s="464"/>
      <c r="K784" s="270"/>
      <c r="L784" s="271"/>
      <c r="M784" s="272"/>
      <c r="N784" s="273"/>
      <c r="O784" s="115"/>
      <c r="Q784" s="127"/>
    </row>
    <row r="785" spans="2:17" ht="15" customHeight="1">
      <c r="B785" s="150"/>
      <c r="E785" s="266"/>
      <c r="F785" s="99"/>
      <c r="G785" s="99"/>
      <c r="H785" s="99"/>
      <c r="I785" s="99"/>
      <c r="J785" s="267"/>
      <c r="K785" s="70"/>
      <c r="N785" s="104"/>
      <c r="O785" s="115"/>
      <c r="Q785" s="127"/>
    </row>
    <row r="786" spans="2:17" ht="15" customHeight="1">
      <c r="B786" s="157"/>
      <c r="C786" s="91"/>
      <c r="D786" s="91"/>
      <c r="E786" s="453" t="s">
        <v>216</v>
      </c>
      <c r="F786" s="454"/>
      <c r="G786" s="454"/>
      <c r="H786" s="454"/>
      <c r="I786" s="454"/>
      <c r="J786" s="455"/>
      <c r="K786" s="183"/>
      <c r="L786" s="56"/>
      <c r="M786" s="93"/>
      <c r="N786" s="107"/>
      <c r="O786" s="115"/>
      <c r="Q786" s="127"/>
    </row>
    <row r="787" spans="2:17" ht="15" customHeight="1">
      <c r="B787" s="157"/>
      <c r="C787" s="188"/>
      <c r="D787" s="188"/>
      <c r="E787" s="277"/>
      <c r="F787" s="278"/>
      <c r="G787" s="278"/>
      <c r="H787" s="278"/>
      <c r="I787" s="278"/>
      <c r="J787" s="279"/>
      <c r="K787" s="262"/>
      <c r="L787" s="263"/>
      <c r="M787" s="301"/>
      <c r="N787" s="68"/>
      <c r="O787" s="115"/>
      <c r="Q787" s="127"/>
    </row>
    <row r="788" spans="2:17" ht="35.25" customHeight="1">
      <c r="B788" s="157"/>
      <c r="C788" s="94" t="s">
        <v>233</v>
      </c>
      <c r="D788" s="16" t="s">
        <v>35</v>
      </c>
      <c r="E788" s="447" t="str">
        <f>IFERROR(VLOOKUP($C788,'SINAPI JULHO 2018'!$1:$1048576,2,0),IFERROR(VLOOKUP($C788,'5-COMP. PROPRIA'!$B$13:$I$518,4,0),""))</f>
        <v>ESCAVAÇÃO MECANICA DE ESTACA 40 X 40 CM , PROFUNDIDADE DE 1,5 M DE COMPRIMENTO</v>
      </c>
      <c r="F788" s="448"/>
      <c r="G788" s="448"/>
      <c r="H788" s="448"/>
      <c r="I788" s="448"/>
      <c r="J788" s="449"/>
      <c r="K788" s="184">
        <f>SUM(K790:K790)</f>
        <v>36</v>
      </c>
      <c r="L788" s="58" t="s">
        <v>63</v>
      </c>
      <c r="M788" s="99">
        <f>K788*(0.4*0.4)</f>
        <v>5.7600000000000016</v>
      </c>
      <c r="N788" s="58" t="s">
        <v>65</v>
      </c>
      <c r="O788" s="115"/>
      <c r="Q788" s="127"/>
    </row>
    <row r="789" spans="2:17" ht="15" customHeight="1">
      <c r="B789" s="157"/>
      <c r="E789" s="76" t="s">
        <v>88</v>
      </c>
      <c r="F789" s="51" t="s">
        <v>89</v>
      </c>
      <c r="J789" s="102"/>
      <c r="K789" s="187"/>
      <c r="L789" s="3"/>
      <c r="M789" s="3"/>
      <c r="N789" s="104"/>
      <c r="O789" s="115"/>
      <c r="Q789" s="127"/>
    </row>
    <row r="790" spans="2:17" ht="15" customHeight="1">
      <c r="B790" s="157"/>
      <c r="C790" s="16"/>
      <c r="D790" s="16"/>
      <c r="E790" s="111">
        <v>24</v>
      </c>
      <c r="F790" s="105">
        <v>1.5</v>
      </c>
      <c r="J790" s="102"/>
      <c r="K790" s="70">
        <f>E790*F790</f>
        <v>36</v>
      </c>
      <c r="N790" s="104"/>
      <c r="O790" s="115"/>
      <c r="Q790" s="127"/>
    </row>
    <row r="791" spans="2:17" ht="15" customHeight="1">
      <c r="B791" s="157"/>
      <c r="C791" s="16"/>
      <c r="D791" s="16"/>
      <c r="E791" s="112"/>
      <c r="J791" s="102"/>
      <c r="K791" s="70"/>
      <c r="N791" s="104"/>
      <c r="O791" s="115"/>
      <c r="Q791" s="127"/>
    </row>
    <row r="792" spans="2:17" ht="48.75" customHeight="1">
      <c r="B792" s="157" t="s">
        <v>91</v>
      </c>
      <c r="C792" s="26">
        <v>92759</v>
      </c>
      <c r="D792" s="26" t="s">
        <v>8</v>
      </c>
      <c r="E792" s="447" t="str">
        <f>IFERROR(VLOOKUP($C792,'SINAPI JULHO 2018'!$1:$1048576,2,0),IFERROR(VLOOKUP($C792,'5-COMP. PROPRIA'!$B$13:$I$518,4,0),""))</f>
        <v>ARMAÇÃO DE PILAR OU VIGA DE UMA ESTRUTURA CONVENCIONAL DE CONCRETO ARMADO EM UM EDIFÍCIO DE MÚLTIPLOS PAVIMENTOS UTILIZANDO AÇO CA-60 DE 5,0 MM - MONTAGEM. AF_12/2015</v>
      </c>
      <c r="F792" s="448"/>
      <c r="G792" s="448"/>
      <c r="H792" s="448"/>
      <c r="I792" s="448"/>
      <c r="J792" s="449"/>
      <c r="K792" s="184">
        <f>SUM(K793:K794)</f>
        <v>37.712970000000006</v>
      </c>
      <c r="L792" s="58" t="s">
        <v>92</v>
      </c>
      <c r="M792" s="184"/>
      <c r="N792" s="107"/>
      <c r="O792" s="115"/>
      <c r="Q792" s="127"/>
    </row>
    <row r="793" spans="2:17" ht="15" customHeight="1">
      <c r="B793" s="157"/>
      <c r="E793" s="79" t="s">
        <v>93</v>
      </c>
      <c r="F793" s="67" t="s">
        <v>27</v>
      </c>
      <c r="G793" s="67" t="s">
        <v>94</v>
      </c>
      <c r="H793" s="61" t="s">
        <v>95</v>
      </c>
      <c r="I793" s="67" t="s">
        <v>124</v>
      </c>
      <c r="J793" s="102">
        <f>K792/K801</f>
        <v>6.5473906249999994</v>
      </c>
      <c r="K793" s="70"/>
      <c r="N793" s="104"/>
      <c r="O793" s="115"/>
      <c r="Q793" s="127"/>
    </row>
    <row r="794" spans="2:17" ht="15" customHeight="1">
      <c r="B794" s="157"/>
      <c r="E794" s="101">
        <v>5</v>
      </c>
      <c r="F794" s="51">
        <f>(0.4-0.06)*4</f>
        <v>1.36</v>
      </c>
      <c r="G794" s="51">
        <f>K788/0.2</f>
        <v>180</v>
      </c>
      <c r="H794" s="51">
        <f>((E794/1000)*(E794/1000)*3.14*0.25)*7850</f>
        <v>0.15405625000000003</v>
      </c>
      <c r="J794" s="102"/>
      <c r="K794" s="70">
        <f>G794*H794*F794</f>
        <v>37.712970000000006</v>
      </c>
      <c r="N794" s="104"/>
      <c r="O794" s="115"/>
      <c r="Q794" s="127"/>
    </row>
    <row r="795" spans="2:17" ht="15" customHeight="1">
      <c r="B795" s="157"/>
      <c r="E795" s="118"/>
      <c r="J795" s="102"/>
      <c r="K795" s="183"/>
      <c r="N795" s="104"/>
      <c r="O795" s="115"/>
      <c r="Q795" s="127"/>
    </row>
    <row r="796" spans="2:17" ht="51" customHeight="1">
      <c r="B796" s="157"/>
      <c r="C796" s="26">
        <v>92762</v>
      </c>
      <c r="D796" s="26" t="s">
        <v>8</v>
      </c>
      <c r="E796" s="447" t="str">
        <f>IFERROR(VLOOKUP($C796,'SINAPI JULHO 2018'!$1:$1048576,2,0),IFERROR(VLOOKUP($C796,'5-COMP. PROPRIA'!$B$13:$I$518,4,0),""))</f>
        <v>ARMAÇÃO DE PILAR OU VIGA DE UMA ESTRUTURA CONVENCIONAL DE CONCRETO ARMADO EM UM EDIFÍCIO DE MÚLTIPLOS PAVIMENTOS UTILIZANDO AÇO CA-50 DE 10,0 MM - MONTAGEM. AF_12/2015</v>
      </c>
      <c r="F796" s="448"/>
      <c r="G796" s="448"/>
      <c r="H796" s="448"/>
      <c r="I796" s="448"/>
      <c r="J796" s="449"/>
      <c r="K796" s="184">
        <f>SUM(K799:K799)</f>
        <v>106.48368000000004</v>
      </c>
      <c r="L796" s="58" t="s">
        <v>92</v>
      </c>
      <c r="N796" s="104"/>
      <c r="O796" s="115"/>
      <c r="Q796" s="127"/>
    </row>
    <row r="797" spans="2:17" ht="15" customHeight="1">
      <c r="B797" s="157"/>
      <c r="E797" s="118"/>
      <c r="H797" s="51" t="s">
        <v>96</v>
      </c>
      <c r="I797" s="51">
        <f>K796/K801</f>
        <v>18.486750000000001</v>
      </c>
      <c r="J797" s="102"/>
      <c r="N797" s="104"/>
      <c r="O797" s="115"/>
      <c r="Q797" s="127"/>
    </row>
    <row r="798" spans="2:17" ht="15" customHeight="1">
      <c r="B798" s="157"/>
      <c r="E798" s="79" t="s">
        <v>93</v>
      </c>
      <c r="F798" s="67" t="s">
        <v>27</v>
      </c>
      <c r="G798" s="67" t="s">
        <v>94</v>
      </c>
      <c r="H798" s="61" t="s">
        <v>95</v>
      </c>
      <c r="I798" s="61"/>
      <c r="J798" s="102"/>
      <c r="K798" s="70"/>
      <c r="N798" s="104"/>
      <c r="O798" s="115"/>
      <c r="Q798" s="127"/>
    </row>
    <row r="799" spans="2:17" ht="15" customHeight="1">
      <c r="B799" s="157"/>
      <c r="E799" s="101">
        <v>10</v>
      </c>
      <c r="F799" s="51">
        <f>F790+0.3</f>
        <v>1.8</v>
      </c>
      <c r="G799" s="51">
        <f>E790*4</f>
        <v>96</v>
      </c>
      <c r="H799" s="51">
        <f>((E799/1000)*(E799/1000)*3.14*0.25)*7850</f>
        <v>0.61622500000000013</v>
      </c>
      <c r="J799" s="102"/>
      <c r="K799" s="70">
        <f>G799*H799*F799</f>
        <v>106.48368000000004</v>
      </c>
      <c r="N799" s="104"/>
      <c r="O799" s="115"/>
      <c r="Q799" s="127"/>
    </row>
    <row r="800" spans="2:17" ht="15" customHeight="1">
      <c r="B800" s="157"/>
      <c r="C800" s="188"/>
      <c r="D800" s="188"/>
      <c r="E800" s="277"/>
      <c r="F800" s="278"/>
      <c r="G800" s="278"/>
      <c r="H800" s="278"/>
      <c r="I800" s="278"/>
      <c r="J800" s="279"/>
      <c r="K800" s="262"/>
      <c r="L800" s="263"/>
      <c r="M800" s="301"/>
      <c r="N800" s="68"/>
      <c r="O800" s="115"/>
      <c r="Q800" s="127"/>
    </row>
    <row r="801" spans="2:17" ht="44.25" customHeight="1">
      <c r="B801" s="157"/>
      <c r="C801" s="26">
        <v>94965</v>
      </c>
      <c r="D801" s="16" t="s">
        <v>8</v>
      </c>
      <c r="E801" s="447" t="str">
        <f>IFERROR(VLOOKUP($C801,'SINAPI JULHO 2018'!$1:$1048576,2,0),IFERROR(VLOOKUP($C801,'5-COMP. PROPRIA'!$B$13:$I$518,4,0),""))</f>
        <v>CONCRETO FCK = 25MPA, TRAÇO 1:2,3:2,7 (CIMENTO/ AREIA MÉDIA/ BRITA 1)  - PREPARO MECÂNICO COM BETONEIRA 400 L. AF_07/2016</v>
      </c>
      <c r="F801" s="448"/>
      <c r="G801" s="448"/>
      <c r="H801" s="448"/>
      <c r="I801" s="448"/>
      <c r="J801" s="449"/>
      <c r="K801" s="184">
        <f>K803</f>
        <v>5.7600000000000016</v>
      </c>
      <c r="L801" s="58" t="s">
        <v>65</v>
      </c>
      <c r="M801" s="301"/>
      <c r="N801" s="68"/>
      <c r="O801" s="115"/>
      <c r="Q801" s="127"/>
    </row>
    <row r="802" spans="2:17" ht="15" customHeight="1">
      <c r="B802" s="157"/>
      <c r="E802" s="76" t="s">
        <v>218</v>
      </c>
      <c r="F802" s="17" t="s">
        <v>4</v>
      </c>
      <c r="G802" s="17"/>
      <c r="H802" s="67"/>
      <c r="I802" s="221"/>
      <c r="J802" s="222"/>
      <c r="K802" s="183"/>
      <c r="M802" s="301"/>
      <c r="N802" s="68"/>
      <c r="O802" s="115"/>
      <c r="Q802" s="127"/>
    </row>
    <row r="803" spans="2:17" ht="15" customHeight="1">
      <c r="B803" s="157"/>
      <c r="E803" s="111">
        <f>0.4*0.4*F790</f>
        <v>0.24000000000000005</v>
      </c>
      <c r="F803" s="74">
        <f>E790</f>
        <v>24</v>
      </c>
      <c r="G803" s="278"/>
      <c r="H803" s="278"/>
      <c r="J803" s="102"/>
      <c r="K803" s="70">
        <f>E803*F803</f>
        <v>5.7600000000000016</v>
      </c>
      <c r="M803" s="301"/>
      <c r="N803" s="68"/>
      <c r="O803" s="115"/>
      <c r="Q803" s="127"/>
    </row>
    <row r="804" spans="2:17" ht="15" customHeight="1">
      <c r="B804" s="157"/>
      <c r="E804" s="112"/>
      <c r="F804" s="17"/>
      <c r="G804" s="278"/>
      <c r="H804" s="278"/>
      <c r="J804" s="102"/>
      <c r="K804" s="70"/>
      <c r="M804" s="301"/>
      <c r="N804" s="68"/>
      <c r="O804" s="115"/>
      <c r="Q804" s="127"/>
    </row>
    <row r="805" spans="2:17" ht="15">
      <c r="B805" s="157"/>
      <c r="C805" s="16" t="s">
        <v>111</v>
      </c>
      <c r="D805" s="16" t="s">
        <v>8</v>
      </c>
      <c r="E805" s="447" t="str">
        <f>IFERROR(VLOOKUP($C805,'SINAPI JULHO 2018'!$1:$1048576,2,0),IFERROR(VLOOKUP($C805,'5-COMP. PROPRIA'!$B$13:$I$518,4,0),""))</f>
        <v>LANCAMENTO/APLICACAO MANUAL DE CONCRETO EM FUNDACOES</v>
      </c>
      <c r="F805" s="448"/>
      <c r="G805" s="448"/>
      <c r="H805" s="448"/>
      <c r="I805" s="448"/>
      <c r="J805" s="449"/>
      <c r="K805" s="184">
        <f>K801</f>
        <v>5.7600000000000016</v>
      </c>
      <c r="L805" s="58" t="s">
        <v>65</v>
      </c>
      <c r="M805" s="301"/>
      <c r="N805" s="68"/>
      <c r="O805" s="115"/>
      <c r="Q805" s="127"/>
    </row>
    <row r="806" spans="2:17" ht="15" customHeight="1">
      <c r="B806" s="157"/>
      <c r="E806" s="266"/>
      <c r="F806" s="99"/>
      <c r="G806" s="99"/>
      <c r="H806" s="99"/>
      <c r="I806" s="99"/>
      <c r="J806" s="267"/>
      <c r="M806" s="93"/>
      <c r="N806" s="68"/>
      <c r="O806" s="115"/>
      <c r="Q806" s="127"/>
    </row>
    <row r="807" spans="2:17" ht="15" customHeight="1">
      <c r="B807" s="157"/>
      <c r="C807" s="91"/>
      <c r="D807" s="91"/>
      <c r="E807" s="453" t="s">
        <v>103</v>
      </c>
      <c r="F807" s="454"/>
      <c r="G807" s="454"/>
      <c r="H807" s="454"/>
      <c r="I807" s="454"/>
      <c r="J807" s="455"/>
      <c r="K807" s="183"/>
      <c r="L807" s="56"/>
      <c r="M807" s="93"/>
      <c r="N807" s="68"/>
      <c r="O807" s="115"/>
      <c r="Q807" s="127"/>
    </row>
    <row r="808" spans="2:17" ht="15" customHeight="1">
      <c r="B808" s="157"/>
      <c r="C808" s="91"/>
      <c r="D808" s="91"/>
      <c r="E808" s="266"/>
      <c r="F808" s="99"/>
      <c r="G808" s="99"/>
      <c r="H808" s="123"/>
      <c r="J808" s="117"/>
      <c r="K808" s="183"/>
      <c r="L808" s="56"/>
      <c r="M808" s="93"/>
      <c r="N808" s="68"/>
      <c r="O808" s="115"/>
      <c r="Q808" s="127"/>
    </row>
    <row r="809" spans="2:17" ht="15" customHeight="1">
      <c r="B809" s="157"/>
      <c r="C809" s="26">
        <v>96527</v>
      </c>
      <c r="D809" s="16" t="s">
        <v>8</v>
      </c>
      <c r="E809" s="447" t="str">
        <f>IFERROR(VLOOKUP($C809,'SINAPI JULHO 2018'!$1:$1048576,2,0),IFERROR(VLOOKUP($C809,'5-COMP. PROPRIA'!$B$13:$I$518,4,0),""))</f>
        <v>ESCAVAÇÃO MANUAL DE VALA PARA VIGA BALDRAME, COM PREVISÃO DE FÔRMA. AF_06/2017</v>
      </c>
      <c r="F809" s="448"/>
      <c r="G809" s="448"/>
      <c r="H809" s="448"/>
      <c r="I809" s="448"/>
      <c r="J809" s="449"/>
      <c r="K809" s="184">
        <f>SUM(K811:K811)*1.3</f>
        <v>19.565000000000005</v>
      </c>
      <c r="L809" s="58" t="s">
        <v>65</v>
      </c>
      <c r="M809" s="93"/>
      <c r="N809" s="68"/>
      <c r="O809" s="115"/>
      <c r="Q809" s="127"/>
    </row>
    <row r="810" spans="2:17" ht="15" customHeight="1">
      <c r="B810" s="157"/>
      <c r="E810" s="76" t="s">
        <v>106</v>
      </c>
      <c r="F810" s="17" t="s">
        <v>107</v>
      </c>
      <c r="G810" s="17" t="s">
        <v>108</v>
      </c>
      <c r="H810" s="67" t="s">
        <v>47</v>
      </c>
      <c r="I810" s="221"/>
      <c r="J810" s="222"/>
      <c r="K810" s="186"/>
      <c r="M810" s="93"/>
      <c r="N810" s="68"/>
      <c r="O810" s="115"/>
      <c r="Q810" s="127"/>
    </row>
    <row r="811" spans="2:17" ht="15" customHeight="1">
      <c r="B811" s="157"/>
      <c r="E811" s="105">
        <f>E819</f>
        <v>70</v>
      </c>
      <c r="F811" s="105">
        <f>F819+0.3</f>
        <v>0.5</v>
      </c>
      <c r="G811" s="105">
        <f>G819+0.03</f>
        <v>0.43000000000000005</v>
      </c>
      <c r="H811" s="105">
        <v>1</v>
      </c>
      <c r="J811" s="102"/>
      <c r="K811" s="70">
        <f>E811*F811*G811*H811</f>
        <v>15.050000000000002</v>
      </c>
      <c r="M811" s="93"/>
      <c r="N811" s="68"/>
      <c r="O811" s="115"/>
      <c r="Q811" s="127"/>
    </row>
    <row r="812" spans="2:17" ht="15" customHeight="1">
      <c r="B812" s="157"/>
      <c r="E812" s="118"/>
      <c r="J812" s="102"/>
      <c r="K812" s="183"/>
      <c r="M812" s="93"/>
      <c r="N812" s="68"/>
      <c r="O812" s="115"/>
      <c r="Q812" s="127"/>
    </row>
    <row r="813" spans="2:17" ht="15" customHeight="1">
      <c r="B813" s="157"/>
      <c r="C813" s="26">
        <v>96617</v>
      </c>
      <c r="D813" s="16" t="s">
        <v>8</v>
      </c>
      <c r="E813" s="447" t="str">
        <f>IFERROR(VLOOKUP($C813,'SINAPI JULHO 2018'!$1:$1048576,2,0),IFERROR(VLOOKUP($C813,'5-COMP. PROPRIA'!$B$13:$I$518,4,0),""))</f>
        <v>LASTRO DE CONCRETO MAGRO, APLICADO EM BLOCOS DE COROAMENTO OU SAPATAS, ESPESSURA DE 3 CM. AF_08/2017</v>
      </c>
      <c r="F813" s="448"/>
      <c r="G813" s="448"/>
      <c r="H813" s="448"/>
      <c r="I813" s="448"/>
      <c r="J813" s="449"/>
      <c r="K813" s="184">
        <f>SUM(K815:K815)</f>
        <v>14</v>
      </c>
      <c r="L813" s="57" t="s">
        <v>25</v>
      </c>
      <c r="M813" s="52">
        <f>K813*0.03</f>
        <v>0.42</v>
      </c>
      <c r="N813" s="68"/>
      <c r="O813" s="115"/>
      <c r="Q813" s="127"/>
    </row>
    <row r="814" spans="2:17" ht="15" customHeight="1">
      <c r="B814" s="157"/>
      <c r="E814" s="76" t="s">
        <v>106</v>
      </c>
      <c r="F814" s="17" t="s">
        <v>107</v>
      </c>
      <c r="H814" s="67" t="s">
        <v>47</v>
      </c>
      <c r="J814" s="102"/>
      <c r="N814" s="68"/>
      <c r="O814" s="115"/>
      <c r="Q814" s="127"/>
    </row>
    <row r="815" spans="2:17" ht="15" customHeight="1">
      <c r="B815" s="157"/>
      <c r="E815" s="105">
        <f>E811</f>
        <v>70</v>
      </c>
      <c r="F815" s="105">
        <f>F819</f>
        <v>0.2</v>
      </c>
      <c r="H815" s="105">
        <f>H811</f>
        <v>1</v>
      </c>
      <c r="J815" s="102"/>
      <c r="K815" s="70">
        <f>H815*F815*E815</f>
        <v>14</v>
      </c>
      <c r="N815" s="68"/>
      <c r="O815" s="115"/>
      <c r="Q815" s="127"/>
    </row>
    <row r="816" spans="2:17" ht="15" customHeight="1">
      <c r="B816" s="157"/>
      <c r="E816" s="118"/>
      <c r="J816" s="102"/>
      <c r="K816" s="183"/>
      <c r="M816" s="93"/>
      <c r="N816" s="68"/>
      <c r="O816" s="115"/>
      <c r="Q816" s="127"/>
    </row>
    <row r="817" spans="2:17" ht="30.75" customHeight="1">
      <c r="B817" s="157"/>
      <c r="C817" s="26">
        <v>94965</v>
      </c>
      <c r="D817" s="16" t="s">
        <v>8</v>
      </c>
      <c r="E817" s="447" t="str">
        <f>IFERROR(VLOOKUP($C817,'SINAPI JULHO 2018'!$1:$1048576,2,0),IFERROR(VLOOKUP($C817,'5-COMP. PROPRIA'!$B$13:$I$518,4,0),""))</f>
        <v>CONCRETO FCK = 25MPA, TRAÇO 1:2,3:2,7 (CIMENTO/ AREIA MÉDIA/ BRITA 1)  - PREPARO MECÂNICO COM BETONEIRA 400 L. AF_07/2016</v>
      </c>
      <c r="F817" s="448"/>
      <c r="G817" s="448"/>
      <c r="H817" s="448"/>
      <c r="I817" s="448"/>
      <c r="J817" s="449"/>
      <c r="K817" s="184">
        <f>SUM(K819:K819)</f>
        <v>5.6000000000000005</v>
      </c>
      <c r="L817" s="58" t="s">
        <v>65</v>
      </c>
      <c r="M817" s="93"/>
      <c r="N817" s="68"/>
      <c r="O817" s="115"/>
      <c r="Q817" s="127"/>
    </row>
    <row r="818" spans="2:17" ht="15" customHeight="1">
      <c r="B818" s="157"/>
      <c r="E818" s="76" t="s">
        <v>106</v>
      </c>
      <c r="F818" s="17" t="s">
        <v>107</v>
      </c>
      <c r="G818" s="17" t="s">
        <v>108</v>
      </c>
      <c r="H818" s="67" t="s">
        <v>47</v>
      </c>
      <c r="I818" s="221"/>
      <c r="J818" s="222"/>
      <c r="K818" s="183"/>
      <c r="M818" s="93"/>
      <c r="N818" s="68"/>
      <c r="O818" s="115"/>
      <c r="Q818" s="127"/>
    </row>
    <row r="819" spans="2:17" ht="15" customHeight="1">
      <c r="B819" s="157"/>
      <c r="E819" s="111">
        <v>70</v>
      </c>
      <c r="F819" s="74">
        <v>0.2</v>
      </c>
      <c r="G819" s="74">
        <v>0.4</v>
      </c>
      <c r="H819" s="74">
        <v>1</v>
      </c>
      <c r="J819" s="102"/>
      <c r="K819" s="70">
        <f>E819*F819*G819*H819</f>
        <v>5.6000000000000005</v>
      </c>
      <c r="M819" s="93"/>
      <c r="N819" s="68"/>
      <c r="O819" s="115"/>
      <c r="Q819" s="127"/>
    </row>
    <row r="820" spans="2:17" ht="15" customHeight="1">
      <c r="B820" s="157"/>
      <c r="E820" s="112"/>
      <c r="J820" s="102"/>
      <c r="K820" s="183"/>
      <c r="M820" s="93"/>
      <c r="N820" s="68"/>
      <c r="O820" s="115"/>
      <c r="Q820" s="127"/>
    </row>
    <row r="821" spans="2:17" ht="15" customHeight="1">
      <c r="B821" s="157"/>
      <c r="C821" s="26" t="s">
        <v>111</v>
      </c>
      <c r="D821" s="16" t="s">
        <v>8</v>
      </c>
      <c r="E821" s="447" t="str">
        <f>IFERROR(VLOOKUP($C821,'SINAPI JULHO 2018'!$1:$1048576,2,0),IFERROR(VLOOKUP($C821,'5-COMP. PROPRIA'!$B$13:$I$518,4,0),""))</f>
        <v>LANCAMENTO/APLICACAO MANUAL DE CONCRETO EM FUNDACOES</v>
      </c>
      <c r="F821" s="448"/>
      <c r="G821" s="448"/>
      <c r="H821" s="448"/>
      <c r="I821" s="448"/>
      <c r="J821" s="449"/>
      <c r="K821" s="184">
        <f>K817</f>
        <v>5.6000000000000005</v>
      </c>
      <c r="L821" s="58" t="s">
        <v>65</v>
      </c>
      <c r="M821" s="93"/>
      <c r="N821" s="68"/>
      <c r="O821" s="115"/>
      <c r="Q821" s="127"/>
    </row>
    <row r="822" spans="2:17" ht="15" customHeight="1">
      <c r="B822" s="157"/>
      <c r="E822" s="118"/>
      <c r="J822" s="102"/>
      <c r="M822" s="93"/>
      <c r="N822" s="68"/>
      <c r="O822" s="115"/>
      <c r="Q822" s="127"/>
    </row>
    <row r="823" spans="2:17" ht="28.5" customHeight="1">
      <c r="B823" s="157" t="s">
        <v>219</v>
      </c>
      <c r="C823" s="26">
        <v>96543</v>
      </c>
      <c r="D823" s="16" t="s">
        <v>8</v>
      </c>
      <c r="E823" s="447" t="str">
        <f>IFERROR(VLOOKUP($C823,'SINAPI JULHO 2018'!$1:$1048576,2,0),IFERROR(VLOOKUP($C823,'5-COMP. PROPRIA'!$B$13:$I$518,4,0),""))</f>
        <v>ARMAÇÃO DE BLOCO, VIGA BALDRAME E SAPATA UTILIZANDO AÇO CA-60 DE 5 MM - MONTAGEM. AF_06/2017</v>
      </c>
      <c r="F823" s="448"/>
      <c r="G823" s="448"/>
      <c r="H823" s="448"/>
      <c r="I823" s="448"/>
      <c r="J823" s="449"/>
      <c r="K823" s="184">
        <f>SUM(K826:K826)</f>
        <v>95.258114583333366</v>
      </c>
      <c r="L823" s="58" t="s">
        <v>92</v>
      </c>
      <c r="M823" s="52">
        <v>0</v>
      </c>
      <c r="N823" s="68"/>
      <c r="O823" s="115"/>
      <c r="Q823" s="127"/>
    </row>
    <row r="824" spans="2:17" ht="15" customHeight="1">
      <c r="B824" s="157"/>
      <c r="E824" s="118"/>
      <c r="H824" s="70" t="s">
        <v>112</v>
      </c>
      <c r="I824" s="69">
        <f>K823/K817</f>
        <v>17.010377604166671</v>
      </c>
      <c r="J824" s="102"/>
      <c r="K824" s="70"/>
      <c r="M824" s="93"/>
      <c r="N824" s="68"/>
      <c r="O824" s="115"/>
      <c r="Q824" s="127"/>
    </row>
    <row r="825" spans="2:17" ht="15" customHeight="1">
      <c r="B825" s="157"/>
      <c r="E825" s="79" t="s">
        <v>93</v>
      </c>
      <c r="F825" s="67" t="s">
        <v>27</v>
      </c>
      <c r="G825" s="67" t="s">
        <v>94</v>
      </c>
      <c r="H825" s="61" t="s">
        <v>95</v>
      </c>
      <c r="I825" s="17" t="s">
        <v>54</v>
      </c>
      <c r="J825" s="102"/>
      <c r="K825" s="70"/>
      <c r="M825" s="93"/>
      <c r="N825" s="68"/>
      <c r="O825" s="115"/>
      <c r="Q825" s="127"/>
    </row>
    <row r="826" spans="2:17" ht="15" customHeight="1">
      <c r="B826" s="157"/>
      <c r="E826" s="101">
        <v>5</v>
      </c>
      <c r="F826" s="51">
        <f>(F819-0.06)*2+(G819-0.06)*2+0.1</f>
        <v>1.06</v>
      </c>
      <c r="G826" s="51">
        <f>E811/0.12</f>
        <v>583.33333333333337</v>
      </c>
      <c r="H826" s="51">
        <f>((E826/1000)*(E826/1000)*3.14*0.25)*7850</f>
        <v>0.15405625000000003</v>
      </c>
      <c r="I826" s="51">
        <f>$H$138</f>
        <v>1</v>
      </c>
      <c r="J826" s="102"/>
      <c r="K826" s="70">
        <f>G826*H826*F826*I826</f>
        <v>95.258114583333366</v>
      </c>
      <c r="M826" s="93"/>
      <c r="N826" s="68"/>
      <c r="O826" s="115"/>
      <c r="Q826" s="127"/>
    </row>
    <row r="827" spans="2:17" ht="15" customHeight="1">
      <c r="B827" s="157"/>
      <c r="E827" s="118"/>
      <c r="J827" s="102"/>
      <c r="M827" s="93"/>
      <c r="N827" s="68"/>
      <c r="O827" s="115"/>
      <c r="Q827" s="127"/>
    </row>
    <row r="828" spans="2:17" ht="42" customHeight="1">
      <c r="B828" s="157"/>
      <c r="C828" s="26">
        <v>92762</v>
      </c>
      <c r="D828" s="16" t="s">
        <v>8</v>
      </c>
      <c r="E828" s="447" t="str">
        <f>IFERROR(VLOOKUP($C828,'SINAPI JULHO 2018'!$1:$1048576,2,0),IFERROR(VLOOKUP($C828,'5-COMP. PROPRIA'!$B$13:$I$518,4,0),""))</f>
        <v>ARMAÇÃO DE PILAR OU VIGA DE UMA ESTRUTURA CONVENCIONAL DE CONCRETO ARMADO EM UM EDIFÍCIO DE MÚLTIPLOS PAVIMENTOS UTILIZANDO AÇO CA-50 DE 10,0 MM - MONTAGEM. AF_12/2015</v>
      </c>
      <c r="F828" s="448"/>
      <c r="G828" s="448"/>
      <c r="H828" s="448"/>
      <c r="I828" s="448"/>
      <c r="J828" s="449"/>
      <c r="K828" s="184">
        <f>SUM(K831:K831)</f>
        <v>172.54300000000003</v>
      </c>
      <c r="L828" s="58" t="s">
        <v>92</v>
      </c>
      <c r="M828" s="52">
        <v>0</v>
      </c>
      <c r="N828" s="68"/>
      <c r="O828" s="115"/>
      <c r="Q828" s="127"/>
    </row>
    <row r="829" spans="2:17" ht="15" customHeight="1">
      <c r="B829" s="157"/>
      <c r="E829" s="118"/>
      <c r="H829" s="70" t="s">
        <v>112</v>
      </c>
      <c r="I829" s="69">
        <f>K828/K821</f>
        <v>30.811250000000005</v>
      </c>
      <c r="J829" s="102"/>
      <c r="K829" s="70"/>
      <c r="M829" s="93"/>
      <c r="N829" s="68"/>
      <c r="O829" s="115"/>
      <c r="Q829" s="127"/>
    </row>
    <row r="830" spans="2:17" ht="15" customHeight="1">
      <c r="B830" s="157"/>
      <c r="E830" s="79" t="s">
        <v>93</v>
      </c>
      <c r="F830" s="67" t="s">
        <v>27</v>
      </c>
      <c r="G830" s="67" t="s">
        <v>28</v>
      </c>
      <c r="H830" s="61" t="s">
        <v>95</v>
      </c>
      <c r="I830" s="17" t="s">
        <v>54</v>
      </c>
      <c r="J830" s="102"/>
      <c r="K830" s="70"/>
      <c r="M830" s="93"/>
      <c r="N830" s="68"/>
      <c r="O830" s="115"/>
      <c r="Q830" s="127"/>
    </row>
    <row r="831" spans="2:17" ht="15" customHeight="1">
      <c r="B831" s="157"/>
      <c r="E831" s="101">
        <v>10</v>
      </c>
      <c r="F831" s="51">
        <f>E819</f>
        <v>70</v>
      </c>
      <c r="G831" s="51">
        <v>1</v>
      </c>
      <c r="H831" s="51">
        <f>((E831/1000)*(E831/1000)*3.14*0.25)*7850</f>
        <v>0.61622500000000013</v>
      </c>
      <c r="I831" s="51">
        <v>4</v>
      </c>
      <c r="J831" s="102"/>
      <c r="K831" s="70">
        <f>G831*H831*F831*I831</f>
        <v>172.54300000000003</v>
      </c>
      <c r="M831" s="93"/>
      <c r="N831" s="68"/>
      <c r="O831" s="115"/>
      <c r="Q831" s="127"/>
    </row>
    <row r="832" spans="2:17" ht="15" customHeight="1">
      <c r="B832" s="157"/>
      <c r="E832" s="118"/>
      <c r="J832" s="102"/>
      <c r="K832" s="183"/>
      <c r="M832" s="93"/>
      <c r="N832" s="68"/>
      <c r="O832" s="115"/>
      <c r="Q832" s="127"/>
    </row>
    <row r="833" spans="2:17" ht="30.75" customHeight="1">
      <c r="B833" s="157"/>
      <c r="C833" s="26">
        <v>96536</v>
      </c>
      <c r="D833" s="16" t="s">
        <v>8</v>
      </c>
      <c r="E833" s="447" t="str">
        <f>IFERROR(VLOOKUP($C833,'SINAPI JULHO 2018'!$1:$1048576,2,0),IFERROR(VLOOKUP($C833,'5-COMP. PROPRIA'!$B$13:$I$518,4,0),""))</f>
        <v>FABRICAÇÃO, MONTAGEM E DESMONTAGEM DE FÔRMA PARA VIGA BALDRAME, EM MADEIRA SERRADA, E=25 MM, 4 UTILIZAÇÕES. AF_06/2017</v>
      </c>
      <c r="F833" s="448"/>
      <c r="G833" s="448"/>
      <c r="H833" s="448"/>
      <c r="I833" s="448"/>
      <c r="J833" s="449"/>
      <c r="K833" s="184">
        <f>SUM(K835:K835)</f>
        <v>56</v>
      </c>
      <c r="L833" s="58" t="s">
        <v>25</v>
      </c>
      <c r="M833" s="93"/>
      <c r="N833" s="68"/>
      <c r="O833" s="115"/>
      <c r="Q833" s="127"/>
    </row>
    <row r="834" spans="2:17" ht="15" customHeight="1">
      <c r="B834" s="157"/>
      <c r="D834" s="51"/>
      <c r="E834" s="76" t="s">
        <v>106</v>
      </c>
      <c r="F834" s="17" t="s">
        <v>107</v>
      </c>
      <c r="G834" s="17" t="s">
        <v>108</v>
      </c>
      <c r="H834" s="67" t="s">
        <v>47</v>
      </c>
      <c r="I834" s="221"/>
      <c r="J834" s="222"/>
      <c r="K834" s="186"/>
      <c r="L834" s="100"/>
      <c r="M834" s="93"/>
      <c r="N834" s="68"/>
      <c r="O834" s="115"/>
      <c r="Q834" s="127"/>
    </row>
    <row r="835" spans="2:17" ht="15" customHeight="1">
      <c r="B835" s="157"/>
      <c r="E835" s="118">
        <f>E819</f>
        <v>70</v>
      </c>
      <c r="F835" s="51">
        <f>F819</f>
        <v>0.2</v>
      </c>
      <c r="G835" s="51">
        <f>G819</f>
        <v>0.4</v>
      </c>
      <c r="H835" s="51">
        <f>H819</f>
        <v>1</v>
      </c>
      <c r="J835" s="102"/>
      <c r="K835" s="70">
        <f>E835*(G835*2)*H835</f>
        <v>56</v>
      </c>
      <c r="M835" s="93"/>
      <c r="N835" s="68"/>
      <c r="O835" s="115"/>
      <c r="Q835" s="127"/>
    </row>
    <row r="836" spans="2:17" ht="15" customHeight="1">
      <c r="B836" s="157"/>
      <c r="E836" s="118"/>
      <c r="J836" s="102"/>
      <c r="M836" s="93"/>
      <c r="N836" s="68"/>
      <c r="O836" s="115"/>
      <c r="Q836" s="127"/>
    </row>
    <row r="837" spans="2:17" ht="15" customHeight="1">
      <c r="B837" s="157"/>
      <c r="C837" s="16">
        <v>93382</v>
      </c>
      <c r="D837" s="16" t="s">
        <v>8</v>
      </c>
      <c r="E837" s="447" t="str">
        <f>IFERROR(VLOOKUP($C837,'SINAPI JULHO 2018'!$1:$1048576,2,0),IFERROR(VLOOKUP($C837,'5-COMP. PROPRIA'!$B$13:$I$518,4,0),""))</f>
        <v>REATERRO MANUAL DE VALAS COM COMPACTAÇÃO MECANIZADA. AF_04/2016</v>
      </c>
      <c r="F837" s="448"/>
      <c r="G837" s="448"/>
      <c r="H837" s="448"/>
      <c r="I837" s="448"/>
      <c r="J837" s="449"/>
      <c r="K837" s="184">
        <f>SUM(K839)</f>
        <v>13.965000000000003</v>
      </c>
      <c r="L837" s="58" t="s">
        <v>65</v>
      </c>
      <c r="M837" s="93"/>
      <c r="N837" s="68"/>
      <c r="O837" s="115"/>
      <c r="Q837" s="127"/>
    </row>
    <row r="838" spans="2:17" ht="15" customHeight="1">
      <c r="B838" s="157"/>
      <c r="E838" s="79" t="s">
        <v>115</v>
      </c>
      <c r="F838" s="67" t="s">
        <v>116</v>
      </c>
      <c r="J838" s="102"/>
      <c r="K838" s="184"/>
      <c r="M838" s="93"/>
      <c r="N838" s="68"/>
      <c r="O838" s="115"/>
      <c r="Q838" s="127"/>
    </row>
    <row r="839" spans="2:17" ht="15" customHeight="1">
      <c r="B839" s="157"/>
      <c r="E839" s="112">
        <f>K809</f>
        <v>19.565000000000005</v>
      </c>
      <c r="F839" s="51">
        <f>K817</f>
        <v>5.6000000000000005</v>
      </c>
      <c r="J839" s="102"/>
      <c r="K839" s="70">
        <f>E839-F839</f>
        <v>13.965000000000003</v>
      </c>
      <c r="M839" s="93"/>
      <c r="N839" s="68"/>
      <c r="O839" s="115"/>
      <c r="Q839" s="127"/>
    </row>
    <row r="840" spans="2:17" ht="15" customHeight="1">
      <c r="B840" s="157"/>
      <c r="E840" s="118"/>
      <c r="J840" s="102"/>
      <c r="M840" s="93"/>
      <c r="N840" s="68"/>
      <c r="O840" s="115"/>
      <c r="Q840" s="127"/>
    </row>
    <row r="841" spans="2:17" ht="27.75" customHeight="1">
      <c r="B841" s="157" t="s">
        <v>220</v>
      </c>
      <c r="C841" s="16" t="s">
        <v>117</v>
      </c>
      <c r="D841" s="16" t="s">
        <v>8</v>
      </c>
      <c r="E841" s="447" t="str">
        <f>IFERROR(VLOOKUP($C841,'SINAPI JULHO 2018'!$1:$1048576,2,0),IFERROR(VLOOKUP($C841,'5-COMP. PROPRIA'!$B$13:$I$518,4,0),""))</f>
        <v>IMPERMEABILIZACAO DE ESTRUTURAS ENTERRADAS, COM TINTA ASFALTICA, DUAS DEMAOS.</v>
      </c>
      <c r="F841" s="448"/>
      <c r="G841" s="448"/>
      <c r="H841" s="448"/>
      <c r="I841" s="448"/>
      <c r="J841" s="449"/>
      <c r="K841" s="184">
        <f>K833+(75*0.2)</f>
        <v>71</v>
      </c>
      <c r="L841" s="57" t="s">
        <v>25</v>
      </c>
      <c r="M841" s="52"/>
      <c r="N841" s="68"/>
      <c r="O841" s="115"/>
      <c r="Q841" s="127"/>
    </row>
    <row r="842" spans="2:17" ht="15" customHeight="1">
      <c r="B842" s="157"/>
      <c r="E842" s="112"/>
      <c r="J842" s="102"/>
      <c r="K842" s="183"/>
      <c r="L842" s="57"/>
      <c r="M842" s="93"/>
      <c r="N842" s="68"/>
      <c r="O842" s="115"/>
      <c r="Q842" s="127"/>
    </row>
    <row r="843" spans="2:17" ht="15" customHeight="1">
      <c r="B843" s="157"/>
      <c r="E843" s="112"/>
      <c r="J843" s="102"/>
      <c r="K843" s="183"/>
      <c r="L843" s="57"/>
      <c r="M843" s="93"/>
      <c r="N843" s="68"/>
      <c r="O843" s="115"/>
      <c r="Q843" s="127"/>
    </row>
    <row r="844" spans="2:17" ht="15" customHeight="1">
      <c r="B844" s="157"/>
      <c r="C844" s="26">
        <v>72897</v>
      </c>
      <c r="D844" s="16" t="s">
        <v>8</v>
      </c>
      <c r="E844" s="447" t="str">
        <f>IFERROR(VLOOKUP($C844,'SINAPI JULHO 2018'!$1:$1048576,2,0),IFERROR(VLOOKUP($C844,'5-COMP. PROPRIA'!$B$13:$I$518,4,0),""))</f>
        <v>CARGA MANUAL DE ENTULHO EM CAMINHAO BASCULANTE 6 M3</v>
      </c>
      <c r="F844" s="448"/>
      <c r="G844" s="448"/>
      <c r="H844" s="448"/>
      <c r="I844" s="448"/>
      <c r="J844" s="449"/>
      <c r="K844" s="184">
        <f>SUM(K846:K846)</f>
        <v>7.2800000000000011</v>
      </c>
      <c r="L844" s="58" t="s">
        <v>65</v>
      </c>
      <c r="M844" s="93"/>
      <c r="N844" s="68"/>
      <c r="O844" s="115"/>
      <c r="Q844" s="127"/>
    </row>
    <row r="845" spans="2:17" ht="15" customHeight="1">
      <c r="B845" s="157"/>
      <c r="E845" s="79"/>
      <c r="F845" s="67" t="s">
        <v>116</v>
      </c>
      <c r="G845" s="17"/>
      <c r="H845" s="67" t="s">
        <v>119</v>
      </c>
      <c r="J845" s="220"/>
      <c r="K845" s="70"/>
      <c r="M845" s="93"/>
      <c r="N845" s="68"/>
      <c r="O845" s="115"/>
      <c r="Q845" s="127"/>
    </row>
    <row r="846" spans="2:17" ht="15" customHeight="1">
      <c r="B846" s="157"/>
      <c r="E846" s="118"/>
      <c r="F846" s="17">
        <f>K817</f>
        <v>5.6000000000000005</v>
      </c>
      <c r="G846" s="17"/>
      <c r="H846" s="17">
        <v>1.3</v>
      </c>
      <c r="J846" s="68"/>
      <c r="K846" s="70">
        <f>H846*F846</f>
        <v>7.2800000000000011</v>
      </c>
      <c r="M846" s="93"/>
      <c r="N846" s="68"/>
      <c r="O846" s="115"/>
      <c r="Q846" s="127"/>
    </row>
    <row r="847" spans="2:17" ht="15" customHeight="1">
      <c r="B847" s="157"/>
      <c r="E847" s="118"/>
      <c r="F847" s="17"/>
      <c r="G847" s="17"/>
      <c r="I847" s="17"/>
      <c r="J847" s="68"/>
      <c r="K847" s="70"/>
      <c r="M847" s="93"/>
      <c r="N847" s="68"/>
      <c r="O847" s="115"/>
      <c r="Q847" s="127"/>
    </row>
    <row r="848" spans="2:17" ht="35.25" customHeight="1">
      <c r="B848" s="157"/>
      <c r="C848" s="16">
        <v>97914</v>
      </c>
      <c r="D848" s="16" t="s">
        <v>8</v>
      </c>
      <c r="E848" s="447" t="str">
        <f>IFERROR(VLOOKUP($C848,'SINAPI JULHO 2018'!$1:$1048576,2,0),IFERROR(VLOOKUP($C848,'5-COMP. PROPRIA'!$B$13:$I$518,4,0),""))</f>
        <v>TRANSPORTE COM CAMINHÃO BASCULANTE DE 6 M3, EM VIA URBANA PAVIMENTADA, DMT ATÉ 30 KM (UNIDADE: M3XKM). AF_01/2018</v>
      </c>
      <c r="F848" s="448"/>
      <c r="G848" s="448"/>
      <c r="H848" s="448"/>
      <c r="I848" s="448"/>
      <c r="J848" s="449"/>
      <c r="K848" s="184">
        <f>K850</f>
        <v>54.600000000000009</v>
      </c>
      <c r="L848" s="57" t="s">
        <v>78</v>
      </c>
      <c r="M848" s="93"/>
      <c r="N848" s="68"/>
      <c r="O848" s="115"/>
      <c r="Q848" s="127"/>
    </row>
    <row r="849" spans="2:17" ht="15" customHeight="1">
      <c r="B849" s="157"/>
      <c r="E849" s="79" t="s">
        <v>80</v>
      </c>
      <c r="H849" s="67" t="s">
        <v>81</v>
      </c>
      <c r="J849" s="102"/>
      <c r="M849" s="93"/>
      <c r="N849" s="68"/>
      <c r="O849" s="115"/>
      <c r="Q849" s="127"/>
    </row>
    <row r="850" spans="2:17" ht="15" customHeight="1">
      <c r="B850" s="157"/>
      <c r="E850" s="79">
        <f>K844</f>
        <v>7.2800000000000011</v>
      </c>
      <c r="H850" s="67">
        <v>7.5</v>
      </c>
      <c r="J850" s="102"/>
      <c r="K850" s="180">
        <f>E850*H850</f>
        <v>54.600000000000009</v>
      </c>
      <c r="M850" s="93"/>
      <c r="N850" s="68"/>
      <c r="O850" s="115"/>
      <c r="Q850" s="127"/>
    </row>
    <row r="851" spans="2:17" ht="15" customHeight="1">
      <c r="B851" s="157"/>
      <c r="E851" s="79"/>
      <c r="H851" s="67"/>
      <c r="J851" s="102"/>
      <c r="M851" s="93"/>
      <c r="N851" s="68"/>
      <c r="O851" s="115"/>
      <c r="Q851" s="127"/>
    </row>
    <row r="852" spans="2:17" ht="15" customHeight="1">
      <c r="B852" s="268"/>
      <c r="C852" s="269"/>
      <c r="D852" s="269"/>
      <c r="E852" s="462" t="s">
        <v>221</v>
      </c>
      <c r="F852" s="463"/>
      <c r="G852" s="463"/>
      <c r="H852" s="463"/>
      <c r="I852" s="463"/>
      <c r="J852" s="464"/>
      <c r="K852" s="270"/>
      <c r="L852" s="271"/>
      <c r="M852" s="272"/>
      <c r="N852" s="273"/>
      <c r="O852" s="115"/>
      <c r="Q852" s="127"/>
    </row>
    <row r="853" spans="2:17" ht="15" customHeight="1">
      <c r="B853" s="157"/>
      <c r="E853" s="79"/>
      <c r="H853" s="67"/>
      <c r="J853" s="102"/>
      <c r="M853" s="93"/>
      <c r="N853" s="68"/>
      <c r="O853" s="115"/>
      <c r="Q853" s="127"/>
    </row>
    <row r="854" spans="2:17" ht="15" customHeight="1">
      <c r="B854" s="157"/>
      <c r="E854" s="453" t="s">
        <v>222</v>
      </c>
      <c r="F854" s="454"/>
      <c r="G854" s="454"/>
      <c r="H854" s="454"/>
      <c r="I854" s="454"/>
      <c r="J854" s="455"/>
      <c r="M854" s="93"/>
      <c r="N854" s="68"/>
      <c r="O854" s="115"/>
      <c r="Q854" s="127"/>
    </row>
    <row r="855" spans="2:17" ht="15" customHeight="1">
      <c r="B855" s="157"/>
      <c r="E855" s="266"/>
      <c r="F855" s="99"/>
      <c r="G855" s="99"/>
      <c r="H855" s="99"/>
      <c r="I855" s="99"/>
      <c r="J855" s="267"/>
      <c r="M855" s="93"/>
      <c r="N855" s="68"/>
      <c r="O855" s="115"/>
      <c r="Q855" s="127"/>
    </row>
    <row r="856" spans="2:17" ht="15" customHeight="1">
      <c r="B856" s="157"/>
      <c r="C856" s="26">
        <v>89993</v>
      </c>
      <c r="D856" s="16" t="s">
        <v>8</v>
      </c>
      <c r="E856" s="447" t="str">
        <f>IFERROR(VLOOKUP($C856,'SINAPI JULHO 2018'!$1:$1048576,2,0),IFERROR(VLOOKUP($C856,'5-COMP. PROPRIA'!$B$13:$I$518,4,0),""))</f>
        <v>GRAUTEAMENTO VERTICAL EM ALVENARIA ESTRUTURAL. AF_01/2015</v>
      </c>
      <c r="F856" s="448"/>
      <c r="G856" s="448"/>
      <c r="H856" s="448"/>
      <c r="I856" s="448"/>
      <c r="J856" s="449"/>
      <c r="K856" s="184">
        <f>SUM(K858:K858)</f>
        <v>16.128000000000004</v>
      </c>
      <c r="L856" s="58" t="s">
        <v>65</v>
      </c>
      <c r="M856" s="93"/>
      <c r="N856" s="68"/>
      <c r="O856" s="115"/>
      <c r="Q856" s="127"/>
    </row>
    <row r="857" spans="2:17" ht="15" customHeight="1">
      <c r="B857" s="157"/>
      <c r="E857" s="76" t="s">
        <v>106</v>
      </c>
      <c r="F857" s="17" t="s">
        <v>107</v>
      </c>
      <c r="G857" s="17" t="s">
        <v>108</v>
      </c>
      <c r="H857" s="67" t="s">
        <v>47</v>
      </c>
      <c r="I857" s="99"/>
      <c r="J857" s="267"/>
      <c r="M857" s="93"/>
      <c r="N857" s="68"/>
      <c r="O857" s="115"/>
      <c r="Q857" s="127"/>
    </row>
    <row r="858" spans="2:17" ht="15" customHeight="1">
      <c r="B858" s="157"/>
      <c r="E858" s="118">
        <v>0.4</v>
      </c>
      <c r="F858" s="51">
        <v>0.4</v>
      </c>
      <c r="G858" s="51">
        <v>4.2</v>
      </c>
      <c r="H858" s="51">
        <v>24</v>
      </c>
      <c r="I858" s="99"/>
      <c r="J858" s="267"/>
      <c r="K858" s="70">
        <f>E858*F858*G858*H858</f>
        <v>16.128000000000004</v>
      </c>
      <c r="M858" s="93"/>
      <c r="N858" s="68"/>
      <c r="O858" s="115"/>
      <c r="Q858" s="127"/>
    </row>
    <row r="859" spans="2:17" ht="15" customHeight="1">
      <c r="B859" s="157"/>
      <c r="E859" s="266"/>
      <c r="F859" s="99"/>
      <c r="G859" s="99"/>
      <c r="H859" s="99"/>
      <c r="I859" s="99"/>
      <c r="J859" s="267"/>
      <c r="M859" s="93"/>
      <c r="N859" s="68"/>
      <c r="O859" s="115"/>
      <c r="Q859" s="127"/>
    </row>
    <row r="860" spans="2:17" ht="15" customHeight="1">
      <c r="B860" s="157"/>
      <c r="C860" s="26">
        <v>89996</v>
      </c>
      <c r="D860" s="16" t="s">
        <v>8</v>
      </c>
      <c r="E860" s="447" t="str">
        <f>IFERROR(VLOOKUP($C860,'SINAPI JULHO 2018'!$1:$1048576,2,0),IFERROR(VLOOKUP($C860,'5-COMP. PROPRIA'!$B$13:$I$518,4,0),""))</f>
        <v>ARMAÇÃO VERTICAL DE ALVENARIA ESTRUTURAL; DIÂMETRO DE 10,0 MM. AF_01/2015</v>
      </c>
      <c r="F860" s="448"/>
      <c r="G860" s="448"/>
      <c r="H860" s="448"/>
      <c r="I860" s="448"/>
      <c r="J860" s="449"/>
      <c r="K860" s="184">
        <f>K863</f>
        <v>272.1249600000001</v>
      </c>
      <c r="L860" s="58" t="s">
        <v>92</v>
      </c>
      <c r="M860" s="93"/>
      <c r="N860" s="68"/>
      <c r="O860" s="115"/>
      <c r="Q860" s="127"/>
    </row>
    <row r="861" spans="2:17" ht="15" customHeight="1">
      <c r="B861" s="157"/>
      <c r="E861" s="118"/>
      <c r="H861" s="70" t="s">
        <v>112</v>
      </c>
      <c r="I861" s="69" t="e">
        <f>K860/K853</f>
        <v>#DIV/0!</v>
      </c>
      <c r="J861" s="102"/>
      <c r="K861" s="70"/>
      <c r="M861" s="93"/>
      <c r="N861" s="68"/>
      <c r="O861" s="115"/>
      <c r="Q861" s="127"/>
    </row>
    <row r="862" spans="2:17" ht="15" customHeight="1">
      <c r="B862" s="157"/>
      <c r="E862" s="79" t="s">
        <v>93</v>
      </c>
      <c r="F862" s="67" t="s">
        <v>27</v>
      </c>
      <c r="G862" s="67" t="s">
        <v>28</v>
      </c>
      <c r="H862" s="61" t="s">
        <v>95</v>
      </c>
      <c r="I862" s="17" t="s">
        <v>54</v>
      </c>
      <c r="J862" s="102"/>
      <c r="K862" s="70"/>
      <c r="M862" s="93"/>
      <c r="N862" s="68"/>
      <c r="O862" s="115"/>
      <c r="Q862" s="127"/>
    </row>
    <row r="863" spans="2:17" ht="15" customHeight="1">
      <c r="B863" s="157"/>
      <c r="E863" s="101">
        <v>10</v>
      </c>
      <c r="F863" s="51">
        <f>G858+0.4</f>
        <v>4.6000000000000005</v>
      </c>
      <c r="G863" s="51">
        <v>4</v>
      </c>
      <c r="H863" s="51">
        <f>((E863/1000)*(E863/1000)*3.14*0.25)*7850</f>
        <v>0.61622500000000013</v>
      </c>
      <c r="I863" s="51">
        <f>H858</f>
        <v>24</v>
      </c>
      <c r="J863" s="102"/>
      <c r="K863" s="70">
        <f>G863*H863*F863*I863</f>
        <v>272.1249600000001</v>
      </c>
      <c r="M863" s="93"/>
      <c r="N863" s="68"/>
      <c r="O863" s="115"/>
      <c r="Q863" s="127"/>
    </row>
    <row r="864" spans="2:17" ht="15" customHeight="1">
      <c r="B864" s="157"/>
      <c r="E864" s="266"/>
      <c r="F864" s="99"/>
      <c r="G864" s="99"/>
      <c r="H864" s="99"/>
      <c r="I864" s="99"/>
      <c r="J864" s="267"/>
      <c r="M864" s="93"/>
      <c r="N864" s="68"/>
      <c r="O864" s="115"/>
      <c r="Q864" s="127"/>
    </row>
    <row r="865" spans="2:17" ht="15" customHeight="1">
      <c r="B865" s="157"/>
      <c r="E865" s="453" t="s">
        <v>224</v>
      </c>
      <c r="F865" s="454"/>
      <c r="G865" s="454"/>
      <c r="H865" s="454"/>
      <c r="I865" s="454"/>
      <c r="J865" s="455"/>
      <c r="M865" s="93"/>
      <c r="N865" s="68"/>
      <c r="O865" s="115"/>
      <c r="Q865" s="127"/>
    </row>
    <row r="866" spans="2:17" ht="15" customHeight="1">
      <c r="B866" s="157"/>
      <c r="E866" s="266"/>
      <c r="F866" s="99"/>
      <c r="G866" s="99"/>
      <c r="H866" s="99"/>
      <c r="I866" s="99"/>
      <c r="J866" s="267"/>
      <c r="M866" s="93"/>
      <c r="N866" s="68"/>
      <c r="O866" s="115"/>
      <c r="Q866" s="127"/>
    </row>
    <row r="867" spans="2:17" ht="15" customHeight="1">
      <c r="B867" s="157"/>
      <c r="C867" s="26">
        <v>89994</v>
      </c>
      <c r="D867" s="16" t="s">
        <v>8</v>
      </c>
      <c r="E867" s="447" t="str">
        <f>IFERROR(VLOOKUP($C867,'SINAPI JULHO 2018'!$1:$1048576,2,0),IFERROR(VLOOKUP($C867,'5-COMP. PROPRIA'!$B$13:$I$518,4,0),""))</f>
        <v>GRAUTEAMENTO DE CINTA INTERMEDIÁRIA OU DE CONTRAVERGA EM ALVENARIA ESTRUTURAL. AF_01/2015</v>
      </c>
      <c r="F867" s="448"/>
      <c r="G867" s="448"/>
      <c r="H867" s="448"/>
      <c r="I867" s="448"/>
      <c r="J867" s="449"/>
      <c r="K867" s="184">
        <f>SUM(K869:K869)</f>
        <v>2.8000000000000003</v>
      </c>
      <c r="L867" s="58" t="s">
        <v>65</v>
      </c>
      <c r="M867" s="93"/>
      <c r="N867" s="68"/>
      <c r="O867" s="115"/>
      <c r="Q867" s="127"/>
    </row>
    <row r="868" spans="2:17" ht="15" customHeight="1">
      <c r="B868" s="157"/>
      <c r="E868" s="76" t="s">
        <v>106</v>
      </c>
      <c r="F868" s="17" t="s">
        <v>107</v>
      </c>
      <c r="G868" s="17" t="s">
        <v>108</v>
      </c>
      <c r="H868" s="67" t="s">
        <v>47</v>
      </c>
      <c r="I868" s="99"/>
      <c r="J868" s="267"/>
      <c r="M868" s="93"/>
      <c r="N868" s="68"/>
      <c r="O868" s="115"/>
      <c r="Q868" s="127"/>
    </row>
    <row r="869" spans="2:17" ht="15" customHeight="1">
      <c r="B869" s="157"/>
      <c r="E869" s="118">
        <v>70</v>
      </c>
      <c r="F869" s="51">
        <v>0.2</v>
      </c>
      <c r="G869" s="51">
        <v>0.2</v>
      </c>
      <c r="H869" s="51">
        <v>1</v>
      </c>
      <c r="I869" s="99"/>
      <c r="J869" s="267"/>
      <c r="K869" s="70">
        <f>E869*F869*G869*H869</f>
        <v>2.8000000000000003</v>
      </c>
      <c r="M869" s="93"/>
      <c r="N869" s="68"/>
      <c r="O869" s="115"/>
      <c r="Q869" s="127"/>
    </row>
    <row r="870" spans="2:17" ht="15" customHeight="1">
      <c r="B870" s="157"/>
      <c r="E870" s="266"/>
      <c r="F870" s="99"/>
      <c r="G870" s="99"/>
      <c r="H870" s="99"/>
      <c r="I870" s="99"/>
      <c r="J870" s="267"/>
      <c r="M870" s="93"/>
      <c r="N870" s="68"/>
      <c r="O870" s="115"/>
      <c r="Q870" s="127"/>
    </row>
    <row r="871" spans="2:17" ht="15" customHeight="1">
      <c r="B871" s="157"/>
      <c r="C871" s="26">
        <v>89998</v>
      </c>
      <c r="D871" s="16" t="s">
        <v>8</v>
      </c>
      <c r="E871" s="447" t="str">
        <f>IFERROR(VLOOKUP($C871,'SINAPI JULHO 2018'!$1:$1048576,2,0),IFERROR(VLOOKUP($C871,'5-COMP. PROPRIA'!$B$13:$I$518,4,0),""))</f>
        <v>ARMAÇÃO DE CINTA DE ALVENARIA ESTRUTURAL; DIÂMETRO DE 10,0 MM. AF_01/2015</v>
      </c>
      <c r="F871" s="448"/>
      <c r="G871" s="448"/>
      <c r="H871" s="448"/>
      <c r="I871" s="448"/>
      <c r="J871" s="449"/>
      <c r="K871" s="184">
        <f>K874</f>
        <v>86.271500000000017</v>
      </c>
      <c r="L871" s="58" t="s">
        <v>92</v>
      </c>
      <c r="M871" s="93"/>
      <c r="N871" s="68"/>
      <c r="O871" s="115"/>
      <c r="Q871" s="127"/>
    </row>
    <row r="872" spans="2:17" ht="15" customHeight="1">
      <c r="B872" s="157"/>
      <c r="E872" s="118"/>
      <c r="H872" s="70" t="s">
        <v>112</v>
      </c>
      <c r="I872" s="69">
        <f>K871/K867</f>
        <v>30.811250000000005</v>
      </c>
      <c r="J872" s="102"/>
      <c r="K872" s="70"/>
      <c r="M872" s="93"/>
      <c r="N872" s="68"/>
      <c r="O872" s="115"/>
      <c r="Q872" s="127"/>
    </row>
    <row r="873" spans="2:17" ht="15" customHeight="1">
      <c r="B873" s="157"/>
      <c r="E873" s="79" t="s">
        <v>93</v>
      </c>
      <c r="F873" s="67" t="s">
        <v>27</v>
      </c>
      <c r="G873" s="67" t="s">
        <v>28</v>
      </c>
      <c r="H873" s="61" t="s">
        <v>95</v>
      </c>
      <c r="I873" s="17" t="s">
        <v>54</v>
      </c>
      <c r="J873" s="102"/>
      <c r="K873" s="70"/>
      <c r="M873" s="93"/>
      <c r="N873" s="68"/>
      <c r="O873" s="115"/>
      <c r="Q873" s="127"/>
    </row>
    <row r="874" spans="2:17" ht="15" customHeight="1">
      <c r="B874" s="157"/>
      <c r="E874" s="101">
        <v>10</v>
      </c>
      <c r="F874" s="51">
        <f>E869</f>
        <v>70</v>
      </c>
      <c r="G874" s="51">
        <v>2</v>
      </c>
      <c r="H874" s="51">
        <f>((E874/1000)*(E874/1000)*3.14*0.25)*7850</f>
        <v>0.61622500000000013</v>
      </c>
      <c r="I874" s="51">
        <f>H869</f>
        <v>1</v>
      </c>
      <c r="J874" s="102"/>
      <c r="K874" s="70">
        <f>G874*H874*F874*I874</f>
        <v>86.271500000000017</v>
      </c>
      <c r="M874" s="93"/>
      <c r="N874" s="68"/>
      <c r="O874" s="115"/>
      <c r="Q874" s="127"/>
    </row>
    <row r="875" spans="2:17" ht="15" customHeight="1">
      <c r="B875" s="157"/>
      <c r="E875" s="266"/>
      <c r="F875" s="99"/>
      <c r="G875" s="99"/>
      <c r="H875" s="99"/>
      <c r="I875" s="99"/>
      <c r="J875" s="267"/>
      <c r="M875" s="93"/>
      <c r="N875" s="68"/>
      <c r="O875" s="115"/>
      <c r="Q875" s="127"/>
    </row>
    <row r="876" spans="2:17" ht="30" customHeight="1">
      <c r="B876" s="157"/>
      <c r="C876" s="94" t="s">
        <v>225</v>
      </c>
      <c r="D876" s="16" t="s">
        <v>35</v>
      </c>
      <c r="E876" s="447" t="str">
        <f>IFERROR(VLOOKUP($C876,'SINAPI JULHO 2018'!$1:$1048576,2,0),IFERROR(VLOOKUP($C876,'5-COMP. PROPRIA'!$B$13:$I$518,4,0),""))</f>
        <v>CINTA DE AMARRAÇÃO DE ALVENARIA MOLDADA IN LOCO COM UTILIZAÇÃO DE BLOCOS CANALETA</v>
      </c>
      <c r="F876" s="448"/>
      <c r="G876" s="448"/>
      <c r="H876" s="448"/>
      <c r="I876" s="448"/>
      <c r="J876" s="449"/>
      <c r="K876" s="184">
        <f>E869</f>
        <v>70</v>
      </c>
      <c r="L876" s="57" t="s">
        <v>172</v>
      </c>
      <c r="M876" s="93"/>
      <c r="N876" s="68"/>
      <c r="O876" s="115"/>
      <c r="Q876" s="127"/>
    </row>
    <row r="877" spans="2:17" ht="15" customHeight="1">
      <c r="B877" s="157"/>
      <c r="E877" s="266"/>
      <c r="F877" s="99"/>
      <c r="G877" s="99"/>
      <c r="H877" s="99"/>
      <c r="I877" s="99"/>
      <c r="J877" s="267"/>
      <c r="M877" s="93"/>
      <c r="N877" s="68"/>
      <c r="O877" s="115"/>
      <c r="Q877" s="127"/>
    </row>
    <row r="878" spans="2:17" ht="15" customHeight="1">
      <c r="B878" s="157"/>
      <c r="E878" s="453" t="s">
        <v>226</v>
      </c>
      <c r="F878" s="454"/>
      <c r="G878" s="454"/>
      <c r="H878" s="454"/>
      <c r="I878" s="454"/>
      <c r="J878" s="455"/>
      <c r="M878" s="93"/>
      <c r="N878" s="68"/>
      <c r="O878" s="115"/>
      <c r="Q878" s="127"/>
    </row>
    <row r="879" spans="2:17" ht="15" customHeight="1">
      <c r="B879" s="157"/>
      <c r="E879" s="266"/>
      <c r="F879" s="99"/>
      <c r="G879" s="99"/>
      <c r="H879" s="99"/>
      <c r="I879" s="99"/>
      <c r="J879" s="267"/>
      <c r="M879" s="93"/>
      <c r="N879" s="68"/>
      <c r="O879" s="115"/>
      <c r="Q879" s="127"/>
    </row>
    <row r="880" spans="2:17" ht="15" customHeight="1">
      <c r="B880" s="157"/>
      <c r="C880" s="26">
        <v>89995</v>
      </c>
      <c r="D880" s="16" t="s">
        <v>8</v>
      </c>
      <c r="E880" s="447" t="str">
        <f>IFERROR(VLOOKUP($C880,'SINAPI JULHO 2018'!$1:$1048576,2,0),IFERROR(VLOOKUP($C880,'5-COMP. PROPRIA'!$B$13:$I$518,4,0),""))</f>
        <v>GRAUTEAMENTO DE CINTA SUPERIOR OU DE VERGA EM ALVENARIA ESTRUTURAL. AF_01/2015</v>
      </c>
      <c r="F880" s="448"/>
      <c r="G880" s="448"/>
      <c r="H880" s="448"/>
      <c r="I880" s="448"/>
      <c r="J880" s="449"/>
      <c r="K880" s="184">
        <f>SUM(K882:K882)</f>
        <v>2.8000000000000003</v>
      </c>
      <c r="L880" s="58" t="s">
        <v>65</v>
      </c>
      <c r="M880" s="93"/>
      <c r="N880" s="68"/>
      <c r="O880" s="115"/>
      <c r="Q880" s="127"/>
    </row>
    <row r="881" spans="2:17" ht="15" customHeight="1">
      <c r="B881" s="157"/>
      <c r="E881" s="76" t="s">
        <v>106</v>
      </c>
      <c r="F881" s="17" t="s">
        <v>107</v>
      </c>
      <c r="G881" s="17" t="s">
        <v>108</v>
      </c>
      <c r="H881" s="67" t="s">
        <v>47</v>
      </c>
      <c r="I881" s="99"/>
      <c r="J881" s="267"/>
      <c r="M881" s="93"/>
      <c r="N881" s="68"/>
      <c r="O881" s="115"/>
      <c r="Q881" s="127"/>
    </row>
    <row r="882" spans="2:17" ht="15" customHeight="1">
      <c r="B882" s="157"/>
      <c r="E882" s="118">
        <v>70</v>
      </c>
      <c r="F882" s="51">
        <v>0.2</v>
      </c>
      <c r="G882" s="51">
        <v>0.2</v>
      </c>
      <c r="H882" s="51">
        <v>1</v>
      </c>
      <c r="I882" s="99"/>
      <c r="J882" s="267"/>
      <c r="K882" s="70">
        <f>E882*F882*G882*H882</f>
        <v>2.8000000000000003</v>
      </c>
      <c r="M882" s="93"/>
      <c r="N882" s="68"/>
      <c r="O882" s="115"/>
      <c r="Q882" s="127"/>
    </row>
    <row r="883" spans="2:17" ht="15" customHeight="1">
      <c r="B883" s="157"/>
      <c r="E883" s="266"/>
      <c r="F883" s="99"/>
      <c r="G883" s="99"/>
      <c r="H883" s="99"/>
      <c r="I883" s="99"/>
      <c r="J883" s="267"/>
      <c r="M883" s="93"/>
      <c r="N883" s="68"/>
      <c r="O883" s="115"/>
      <c r="Q883" s="127"/>
    </row>
    <row r="884" spans="2:17" ht="15" customHeight="1">
      <c r="B884" s="157"/>
      <c r="C884" s="26">
        <v>89998</v>
      </c>
      <c r="D884" s="16" t="s">
        <v>8</v>
      </c>
      <c r="E884" s="447" t="str">
        <f>IFERROR(VLOOKUP($C884,'SINAPI JULHO 2018'!$1:$1048576,2,0),IFERROR(VLOOKUP($C884,'5-COMP. PROPRIA'!$B$13:$I$518,4,0),""))</f>
        <v>ARMAÇÃO DE CINTA DE ALVENARIA ESTRUTURAL; DIÂMETRO DE 10,0 MM. AF_01/2015</v>
      </c>
      <c r="F884" s="448"/>
      <c r="G884" s="448"/>
      <c r="H884" s="448"/>
      <c r="I884" s="448"/>
      <c r="J884" s="449"/>
      <c r="K884" s="184">
        <f>K887</f>
        <v>86.271500000000017</v>
      </c>
      <c r="L884" s="58" t="s">
        <v>92</v>
      </c>
      <c r="M884" s="93"/>
      <c r="N884" s="68"/>
      <c r="O884" s="115"/>
      <c r="Q884" s="127"/>
    </row>
    <row r="885" spans="2:17" ht="15" customHeight="1">
      <c r="B885" s="157"/>
      <c r="E885" s="118"/>
      <c r="H885" s="70" t="s">
        <v>112</v>
      </c>
      <c r="I885" s="69">
        <f>K884/K880</f>
        <v>30.811250000000005</v>
      </c>
      <c r="J885" s="102"/>
      <c r="K885" s="70"/>
      <c r="M885" s="93"/>
      <c r="N885" s="68"/>
      <c r="O885" s="115"/>
      <c r="Q885" s="127"/>
    </row>
    <row r="886" spans="2:17" ht="15" customHeight="1">
      <c r="B886" s="157"/>
      <c r="E886" s="79" t="s">
        <v>93</v>
      </c>
      <c r="F886" s="67" t="s">
        <v>27</v>
      </c>
      <c r="G886" s="67" t="s">
        <v>28</v>
      </c>
      <c r="H886" s="61" t="s">
        <v>95</v>
      </c>
      <c r="I886" s="17" t="s">
        <v>54</v>
      </c>
      <c r="J886" s="102"/>
      <c r="K886" s="70"/>
      <c r="M886" s="93"/>
      <c r="N886" s="68"/>
      <c r="O886" s="115"/>
      <c r="Q886" s="127"/>
    </row>
    <row r="887" spans="2:17" ht="15" customHeight="1">
      <c r="B887" s="157"/>
      <c r="E887" s="101">
        <v>10</v>
      </c>
      <c r="F887" s="51">
        <f>E882</f>
        <v>70</v>
      </c>
      <c r="G887" s="51">
        <v>2</v>
      </c>
      <c r="H887" s="51">
        <f>((E887/1000)*(E887/1000)*3.14*0.25)*7850</f>
        <v>0.61622500000000013</v>
      </c>
      <c r="I887" s="51">
        <f>H882</f>
        <v>1</v>
      </c>
      <c r="J887" s="102"/>
      <c r="K887" s="70">
        <f>G887*H887*F887*I887</f>
        <v>86.271500000000017</v>
      </c>
      <c r="M887" s="93"/>
      <c r="N887" s="68"/>
      <c r="O887" s="115"/>
      <c r="Q887" s="127"/>
    </row>
    <row r="888" spans="2:17" ht="15" customHeight="1">
      <c r="B888" s="157"/>
      <c r="E888" s="266"/>
      <c r="F888" s="99"/>
      <c r="G888" s="99"/>
      <c r="H888" s="99"/>
      <c r="I888" s="99"/>
      <c r="J888" s="267"/>
      <c r="M888" s="93"/>
      <c r="N888" s="68"/>
      <c r="O888" s="115"/>
      <c r="Q888" s="127"/>
    </row>
    <row r="889" spans="2:17" ht="15" customHeight="1">
      <c r="B889" s="157"/>
      <c r="C889" s="94" t="s">
        <v>225</v>
      </c>
      <c r="D889" s="16" t="s">
        <v>35</v>
      </c>
      <c r="E889" s="447" t="str">
        <f>IFERROR(VLOOKUP($C889,'SINAPI JULHO 2018'!$1:$1048576,2,0),IFERROR(VLOOKUP($C889,'5-COMP. PROPRIA'!$B$13:$I$518,4,0),""))</f>
        <v>CINTA DE AMARRAÇÃO DE ALVENARIA MOLDADA IN LOCO COM UTILIZAÇÃO DE BLOCOS CANALETA</v>
      </c>
      <c r="F889" s="448"/>
      <c r="G889" s="448"/>
      <c r="H889" s="448"/>
      <c r="I889" s="448"/>
      <c r="J889" s="449"/>
      <c r="K889" s="184">
        <f>E882</f>
        <v>70</v>
      </c>
      <c r="L889" s="57" t="s">
        <v>172</v>
      </c>
      <c r="M889" s="93"/>
      <c r="N889" s="68"/>
      <c r="O889" s="115"/>
      <c r="Q889" s="127"/>
    </row>
    <row r="890" spans="2:17" ht="15" customHeight="1">
      <c r="B890" s="157"/>
      <c r="E890" s="266"/>
      <c r="F890" s="99"/>
      <c r="G890" s="99"/>
      <c r="H890" s="99"/>
      <c r="I890" s="99"/>
      <c r="J890" s="267"/>
      <c r="M890" s="93"/>
      <c r="N890" s="68"/>
      <c r="O890" s="115"/>
      <c r="Q890" s="127"/>
    </row>
    <row r="891" spans="2:17" ht="15" customHeight="1">
      <c r="B891" s="157"/>
      <c r="E891" s="453" t="s">
        <v>227</v>
      </c>
      <c r="F891" s="454"/>
      <c r="G891" s="454"/>
      <c r="H891" s="454"/>
      <c r="I891" s="454"/>
      <c r="J891" s="455"/>
      <c r="M891" s="93"/>
      <c r="N891" s="68"/>
      <c r="O891" s="115"/>
      <c r="Q891" s="127"/>
    </row>
    <row r="892" spans="2:17" ht="15" customHeight="1">
      <c r="B892" s="157"/>
      <c r="E892" s="266"/>
      <c r="F892" s="99"/>
      <c r="G892" s="99"/>
      <c r="H892" s="99"/>
      <c r="I892" s="99"/>
      <c r="J892" s="267"/>
      <c r="M892" s="93"/>
      <c r="N892" s="68"/>
      <c r="O892" s="115"/>
      <c r="Q892" s="127"/>
    </row>
    <row r="893" spans="2:17" ht="15" customHeight="1">
      <c r="B893" s="157"/>
      <c r="C893" s="26">
        <v>87457</v>
      </c>
      <c r="D893" s="16" t="s">
        <v>8</v>
      </c>
      <c r="E893" s="447" t="str">
        <f>IFERROR(VLOOKUP($C893,'SINAPI JULHO 2018'!$1:$1048576,2,0),IFERROR(VLOOKUP($C893,'5-COMP. PROPRIA'!$B$13:$I$518,4,0),""))</f>
        <v>ALVENARIA DE VEDAÇÃO DE BLOCOS VAZADOS DE CONCRETO DE 19X19X39CM (ESPESSURA 19CM) DE PAREDES COM ÁREA LÍQUIDA MAIOR OU IGUAL A 6M² SEM VÃOS E ARGAMASSA DE ASSENTAMENTO COM PREPARO EM BETONEIRA. AF_06/2014</v>
      </c>
      <c r="F893" s="448"/>
      <c r="G893" s="448"/>
      <c r="H893" s="448"/>
      <c r="I893" s="448"/>
      <c r="J893" s="449"/>
      <c r="K893" s="184">
        <f>K895</f>
        <v>266</v>
      </c>
      <c r="L893" s="57" t="s">
        <v>145</v>
      </c>
      <c r="M893" s="93"/>
      <c r="N893" s="68"/>
      <c r="O893" s="115"/>
      <c r="Q893" s="127"/>
    </row>
    <row r="894" spans="2:17" ht="15" customHeight="1">
      <c r="B894" s="157"/>
      <c r="E894" s="76" t="s">
        <v>106</v>
      </c>
      <c r="F894" s="17" t="s">
        <v>108</v>
      </c>
      <c r="G894" s="99"/>
      <c r="H894" s="99"/>
      <c r="I894" s="99"/>
      <c r="J894" s="267"/>
      <c r="M894" s="93"/>
      <c r="N894" s="68"/>
      <c r="O894" s="115"/>
      <c r="Q894" s="127"/>
    </row>
    <row r="895" spans="2:17" ht="15" customHeight="1">
      <c r="B895" s="157"/>
      <c r="E895" s="266">
        <v>70</v>
      </c>
      <c r="F895" s="99">
        <v>3.8</v>
      </c>
      <c r="G895" s="99"/>
      <c r="H895" s="99"/>
      <c r="I895" s="99"/>
      <c r="J895" s="267"/>
      <c r="K895" s="180">
        <f>E895*F895</f>
        <v>266</v>
      </c>
      <c r="M895" s="93"/>
      <c r="N895" s="68"/>
      <c r="O895" s="115"/>
      <c r="Q895" s="127"/>
    </row>
    <row r="896" spans="2:17" ht="15" customHeight="1">
      <c r="B896" s="157"/>
      <c r="E896" s="266"/>
      <c r="F896" s="99"/>
      <c r="G896" s="99"/>
      <c r="H896" s="99"/>
      <c r="I896" s="99"/>
      <c r="J896" s="267"/>
      <c r="M896" s="93"/>
      <c r="N896" s="68"/>
      <c r="O896" s="115"/>
      <c r="Q896" s="127"/>
    </row>
    <row r="897" spans="2:17" ht="15" customHeight="1">
      <c r="B897" s="157"/>
      <c r="C897" s="26">
        <v>87457</v>
      </c>
      <c r="D897" s="16" t="s">
        <v>8</v>
      </c>
      <c r="E897" s="447" t="str">
        <f>IFERROR(VLOOKUP($C897,'SINAPI JULHO 2018'!$1:$1048576,2,0),IFERROR(VLOOKUP($C897,'5-COMP. PROPRIA'!$B$13:$I$518,4,0),""))</f>
        <v>ALVENARIA DE VEDAÇÃO DE BLOCOS VAZADOS DE CONCRETO DE 19X19X39CM (ESPESSURA 19CM) DE PAREDES COM ÁREA LÍQUIDA MAIOR OU IGUAL A 6M² SEM VÃOS E ARGAMASSA DE ASSENTAMENTO COM PREPARO EM BETONEIRA. AF_06/2014</v>
      </c>
      <c r="F897" s="448"/>
      <c r="G897" s="448"/>
      <c r="H897" s="448"/>
      <c r="I897" s="448"/>
      <c r="J897" s="449"/>
      <c r="K897" s="184">
        <f>K899</f>
        <v>40.320000000000007</v>
      </c>
      <c r="L897" s="57" t="s">
        <v>145</v>
      </c>
      <c r="M897" s="93"/>
      <c r="N897" s="68"/>
      <c r="O897" s="115"/>
      <c r="Q897" s="127"/>
    </row>
    <row r="898" spans="2:17" ht="15" customHeight="1">
      <c r="B898" s="157"/>
      <c r="E898" s="76" t="s">
        <v>106</v>
      </c>
      <c r="F898" s="17" t="s">
        <v>108</v>
      </c>
      <c r="G898" s="99"/>
      <c r="H898" s="99"/>
      <c r="I898" s="99"/>
      <c r="J898" s="267"/>
      <c r="M898" s="93"/>
      <c r="N898" s="68"/>
      <c r="O898" s="115"/>
      <c r="Q898" s="127"/>
    </row>
    <row r="899" spans="2:17" ht="15" customHeight="1">
      <c r="B899" s="157"/>
      <c r="E899" s="266">
        <f>24*0.4</f>
        <v>9.6000000000000014</v>
      </c>
      <c r="F899" s="99">
        <v>4.2</v>
      </c>
      <c r="G899" s="99"/>
      <c r="H899" s="99"/>
      <c r="I899" s="99"/>
      <c r="J899" s="267"/>
      <c r="K899" s="180">
        <f>E899*F899</f>
        <v>40.320000000000007</v>
      </c>
      <c r="M899" s="93"/>
      <c r="N899" s="68"/>
      <c r="O899" s="115"/>
      <c r="Q899" s="127"/>
    </row>
    <row r="900" spans="2:17" ht="15" customHeight="1">
      <c r="B900" s="157"/>
      <c r="E900" s="266"/>
      <c r="F900" s="99"/>
      <c r="G900" s="99"/>
      <c r="H900" s="99"/>
      <c r="I900" s="99"/>
      <c r="J900" s="267"/>
      <c r="M900" s="93"/>
      <c r="N900" s="68"/>
      <c r="O900" s="115"/>
      <c r="Q900" s="127"/>
    </row>
    <row r="901" spans="2:17" ht="15" customHeight="1">
      <c r="B901" s="157"/>
      <c r="C901" s="16" t="s">
        <v>167</v>
      </c>
      <c r="D901" s="16" t="s">
        <v>35</v>
      </c>
      <c r="E901" s="447" t="str">
        <f>IFERROR(VLOOKUP($C901,'SINAPI JULHO 2018'!$1:$1048576,2,0),IFERROR(VLOOKUP($C901,'5-COMP. PROPRIA'!$B$13:$I$518,4,0),""))</f>
        <v>LIXAMENTO MANUAL DE CONCRETO APARENTE</v>
      </c>
      <c r="F901" s="448"/>
      <c r="G901" s="448"/>
      <c r="H901" s="448"/>
      <c r="I901" s="448"/>
      <c r="J901" s="449"/>
      <c r="K901" s="184">
        <f>(E895*F899)*2</f>
        <v>588</v>
      </c>
      <c r="L901" s="57" t="s">
        <v>145</v>
      </c>
      <c r="M901" s="93"/>
      <c r="N901" s="68"/>
      <c r="O901" s="115"/>
      <c r="Q901" s="127"/>
    </row>
    <row r="902" spans="2:17" ht="15" customHeight="1">
      <c r="B902" s="157"/>
      <c r="E902" s="266"/>
      <c r="F902" s="99"/>
      <c r="G902" s="99"/>
      <c r="H902" s="99"/>
      <c r="I902" s="99"/>
      <c r="J902" s="267"/>
      <c r="M902" s="93"/>
      <c r="N902" s="68"/>
      <c r="O902" s="115"/>
      <c r="Q902" s="127"/>
    </row>
    <row r="903" spans="2:17" ht="15" customHeight="1">
      <c r="B903" s="157"/>
      <c r="C903" s="26">
        <v>88485</v>
      </c>
      <c r="D903" s="16" t="s">
        <v>8</v>
      </c>
      <c r="E903" s="447" t="str">
        <f>IFERROR(VLOOKUP($C903,'SINAPI JULHO 2018'!$1:$1048576,2,0),IFERROR(VLOOKUP($C903,'5-COMP. PROPRIA'!$B$13:$I$518,4,0),""))</f>
        <v>APLICAÇÃO DE FUNDO SELADOR ACRÍLICO EM PAREDES, UMA DEMÃO. AF_06/2014</v>
      </c>
      <c r="F903" s="448"/>
      <c r="G903" s="448"/>
      <c r="H903" s="448"/>
      <c r="I903" s="448"/>
      <c r="J903" s="449"/>
      <c r="K903" s="184">
        <f>K901</f>
        <v>588</v>
      </c>
      <c r="L903" s="57" t="s">
        <v>145</v>
      </c>
      <c r="M903" s="93"/>
      <c r="N903" s="68"/>
      <c r="O903" s="115"/>
      <c r="Q903" s="127"/>
    </row>
    <row r="904" spans="2:17" ht="15" customHeight="1">
      <c r="B904" s="157"/>
      <c r="E904" s="266"/>
      <c r="F904" s="99"/>
      <c r="G904" s="99"/>
      <c r="H904" s="99"/>
      <c r="I904" s="99"/>
      <c r="J904" s="267"/>
      <c r="M904" s="93"/>
      <c r="N904" s="68"/>
      <c r="O904" s="115"/>
      <c r="Q904" s="127"/>
    </row>
    <row r="905" spans="2:17" ht="15" customHeight="1">
      <c r="B905" s="157"/>
      <c r="C905" s="26">
        <v>88489</v>
      </c>
      <c r="D905" s="16" t="s">
        <v>8</v>
      </c>
      <c r="E905" s="447" t="str">
        <f>IFERROR(VLOOKUP($C905,'SINAPI JULHO 2018'!$1:$1048576,2,0),IFERROR(VLOOKUP($C905,'5-COMP. PROPRIA'!$B$13:$I$518,4,0),""))</f>
        <v>APLICAÇÃO MANUAL DE PINTURA COM TINTA LÁTEX ACRÍLICA EM PAREDES, DUAS DEMÃOS. AF_06/2014</v>
      </c>
      <c r="F905" s="448"/>
      <c r="G905" s="448"/>
      <c r="H905" s="448"/>
      <c r="I905" s="448"/>
      <c r="J905" s="449"/>
      <c r="K905" s="184">
        <f>E895*3.2*2</f>
        <v>448</v>
      </c>
      <c r="L905" s="57" t="s">
        <v>145</v>
      </c>
      <c r="M905" s="93"/>
      <c r="N905" s="68"/>
      <c r="O905" s="115"/>
      <c r="Q905" s="127"/>
    </row>
    <row r="906" spans="2:17" ht="15" customHeight="1">
      <c r="B906" s="157"/>
      <c r="D906" s="16"/>
      <c r="E906" s="276"/>
      <c r="F906" s="221"/>
      <c r="G906" s="221"/>
      <c r="H906" s="221"/>
      <c r="I906" s="221"/>
      <c r="J906" s="222"/>
      <c r="K906" s="184"/>
      <c r="L906" s="57"/>
      <c r="M906" s="93"/>
      <c r="N906" s="68"/>
      <c r="O906" s="115"/>
      <c r="Q906" s="127"/>
    </row>
    <row r="907" spans="2:17" ht="15" customHeight="1">
      <c r="B907" s="157"/>
      <c r="C907" s="16" t="s">
        <v>168</v>
      </c>
      <c r="D907" s="16" t="s">
        <v>35</v>
      </c>
      <c r="E907" s="447" t="str">
        <f>IFERROR(VLOOKUP($C907,'SINAPI JULHO 2018'!$1:$1048576,2,0),IFERROR(VLOOKUP($C907,'5-COMP. PROPRIA'!$B$13:$I$518,4,0),""))</f>
        <v xml:space="preserve">PINTURA COM TINTA ESMALTE SINTÉTICO </v>
      </c>
      <c r="F907" s="448"/>
      <c r="G907" s="448"/>
      <c r="H907" s="448"/>
      <c r="I907" s="448"/>
      <c r="J907" s="449"/>
      <c r="K907" s="184">
        <f>E895*1.2*2</f>
        <v>168</v>
      </c>
      <c r="L907" s="57" t="s">
        <v>145</v>
      </c>
      <c r="M907" s="93"/>
      <c r="N907" s="68"/>
      <c r="O907" s="115"/>
      <c r="Q907" s="127"/>
    </row>
    <row r="908" spans="2:17" ht="15" customHeight="1">
      <c r="B908" s="157"/>
      <c r="C908" s="16"/>
      <c r="D908" s="16"/>
      <c r="E908" s="276"/>
      <c r="F908" s="221"/>
      <c r="G908" s="221"/>
      <c r="H908" s="221"/>
      <c r="I908" s="221"/>
      <c r="J908" s="222"/>
      <c r="K908" s="184"/>
      <c r="L908" s="57"/>
      <c r="M908" s="93"/>
      <c r="N908" s="68"/>
      <c r="O908" s="115"/>
      <c r="Q908" s="127"/>
    </row>
    <row r="909" spans="2:17" ht="15" customHeight="1">
      <c r="B909" s="157"/>
      <c r="C909" s="94" t="str">
        <f>'5-COMP. PROPRIA'!B282</f>
        <v>CP-JUN-01</v>
      </c>
      <c r="D909" s="16" t="s">
        <v>35</v>
      </c>
      <c r="E909" s="447" t="str">
        <f>IFERROR(VLOOKUP($C909,'SINAPI JULHO 2018'!$1:$1048576,2,0),IFERROR(VLOOKUP($C909,'5-COMP. PROPRIA'!$B$13:$I$518,4,0),""))</f>
        <v xml:space="preserve">JUNTA DE DILATAÇÃO COM SELANTE ELASTICO MONOCOMPONENTE A BASE DE POLIURETANO </v>
      </c>
      <c r="F909" s="448"/>
      <c r="G909" s="448"/>
      <c r="H909" s="448"/>
      <c r="I909" s="448"/>
      <c r="J909" s="449"/>
      <c r="K909" s="184">
        <v>7</v>
      </c>
      <c r="L909" s="57" t="s">
        <v>5</v>
      </c>
      <c r="M909" s="93"/>
      <c r="N909" s="68"/>
      <c r="O909" s="115"/>
      <c r="Q909" s="127"/>
    </row>
    <row r="910" spans="2:17" ht="15" customHeight="1">
      <c r="B910" s="157"/>
      <c r="C910" s="94"/>
      <c r="D910" s="16"/>
      <c r="E910" s="276"/>
      <c r="F910" s="221"/>
      <c r="G910" s="221"/>
      <c r="H910" s="221"/>
      <c r="I910" s="221"/>
      <c r="J910" s="222"/>
      <c r="K910" s="184"/>
      <c r="L910" s="57"/>
      <c r="M910" s="93"/>
      <c r="N910" s="68"/>
      <c r="O910" s="115"/>
      <c r="Q910" s="127"/>
    </row>
    <row r="911" spans="2:17" ht="15" customHeight="1">
      <c r="B911" s="157"/>
      <c r="E911" s="453" t="s">
        <v>139</v>
      </c>
      <c r="F911" s="454"/>
      <c r="G911" s="454"/>
      <c r="H911" s="454"/>
      <c r="I911" s="454"/>
      <c r="J911" s="455"/>
      <c r="M911" s="93"/>
      <c r="N911" s="68"/>
      <c r="O911" s="115"/>
      <c r="Q911" s="127"/>
    </row>
    <row r="912" spans="2:17" ht="15" customHeight="1">
      <c r="B912" s="157"/>
      <c r="E912" s="266"/>
      <c r="F912" s="99"/>
      <c r="G912" s="99"/>
      <c r="H912" s="99"/>
      <c r="I912" s="99"/>
      <c r="J912" s="267"/>
      <c r="M912" s="93"/>
      <c r="N912" s="68"/>
      <c r="O912" s="115"/>
      <c r="Q912" s="127"/>
    </row>
    <row r="913" spans="1:17" ht="15" customHeight="1">
      <c r="B913" s="157"/>
      <c r="C913" s="136" t="s">
        <v>231</v>
      </c>
      <c r="D913" s="16" t="s">
        <v>35</v>
      </c>
      <c r="E913" s="447" t="str">
        <f>IFERROR(VLOOKUP($C913,'SINAPI JULHO 2018'!$1:$1048576,2,0),IFERROR(VLOOKUP($C913,'5-COMP. PROPRIA'!$B$13:$I$518,4,0),""))</f>
        <v>ALAMBRADO EM TUBOS DE ACO GALVANIZADO, COM COSTURA, DIN 2440, DIAMETRO 2", ALTURA 2,5 M, FIXADOS A CADA 3 M, COM TELA DE ARAME GALVANIZADO REVESTIDO COM PVC, FIO 12 BWG E MALHA 7,5X7,5CM</v>
      </c>
      <c r="F913" s="448"/>
      <c r="G913" s="448"/>
      <c r="H913" s="448"/>
      <c r="I913" s="448"/>
      <c r="J913" s="449"/>
      <c r="K913" s="184">
        <f>31*2.5</f>
        <v>77.5</v>
      </c>
      <c r="L913" s="58" t="s">
        <v>25</v>
      </c>
      <c r="M913" s="93"/>
      <c r="N913" s="68"/>
      <c r="O913" s="115"/>
      <c r="Q913" s="127"/>
    </row>
    <row r="914" spans="1:17" ht="15" customHeight="1">
      <c r="B914" s="157"/>
      <c r="C914" s="91"/>
      <c r="D914" s="91"/>
      <c r="E914" s="113"/>
      <c r="F914" s="56"/>
      <c r="G914" s="56"/>
      <c r="H914" s="56"/>
      <c r="I914" s="56"/>
      <c r="J914" s="240"/>
      <c r="K914" s="183"/>
      <c r="L914" s="56"/>
      <c r="M914" s="93"/>
      <c r="N914" s="68"/>
      <c r="O914" s="115"/>
      <c r="Q914" s="127"/>
    </row>
    <row r="915" spans="1:17" ht="15" customHeight="1">
      <c r="B915" s="157"/>
      <c r="C915" s="136" t="s">
        <v>141</v>
      </c>
      <c r="D915" s="16" t="s">
        <v>35</v>
      </c>
      <c r="E915" s="447" t="str">
        <f>IFERROR(VLOOKUP($C915,'SINAPI JULHO 2018'!$1:$1048576,2,0),IFERROR(VLOOKUP($C915,'5-COMP. PROPRIA'!$B$13:$I$518,4,0),""))</f>
        <v xml:space="preserve">LIXAMENTO DE SUPERFICIE METÁLICA </v>
      </c>
      <c r="F915" s="448"/>
      <c r="G915" s="448"/>
      <c r="H915" s="448"/>
      <c r="I915" s="448"/>
      <c r="J915" s="449"/>
      <c r="K915" s="184">
        <f>K917</f>
        <v>193.75</v>
      </c>
      <c r="L915" s="58" t="s">
        <v>25</v>
      </c>
      <c r="M915" s="93"/>
      <c r="N915" s="68"/>
      <c r="O915" s="115"/>
      <c r="Q915" s="127"/>
    </row>
    <row r="916" spans="1:17" ht="15" customHeight="1">
      <c r="B916" s="157"/>
      <c r="C916" s="91"/>
      <c r="D916" s="91"/>
      <c r="E916" s="113"/>
      <c r="F916" s="56"/>
      <c r="G916" s="56"/>
      <c r="H916" s="56"/>
      <c r="I916" s="56"/>
      <c r="J916" s="240"/>
      <c r="K916" s="183"/>
      <c r="L916" s="56"/>
      <c r="M916" s="93"/>
      <c r="N916" s="68"/>
      <c r="O916" s="115"/>
      <c r="Q916" s="127"/>
    </row>
    <row r="917" spans="1:17" ht="15" customHeight="1">
      <c r="B917" s="157"/>
      <c r="C917" s="94" t="s">
        <v>142</v>
      </c>
      <c r="D917" s="16" t="s">
        <v>8</v>
      </c>
      <c r="E917" s="447" t="str">
        <f>IFERROR(VLOOKUP($C917,'SINAPI JULHO 2018'!$1:$1048576,2,0),IFERROR(VLOOKUP($C917,'5-COMP. PROPRIA'!$B$13:$I$518,4,0),""))</f>
        <v>PINTURA ESMALTE ALTO BRILHO, DUAS DEMAOS, SOBRE SUPERFICIE METALICA</v>
      </c>
      <c r="F917" s="448"/>
      <c r="G917" s="448"/>
      <c r="H917" s="448"/>
      <c r="I917" s="448"/>
      <c r="J917" s="449"/>
      <c r="K917" s="184">
        <f>K913*2.5</f>
        <v>193.75</v>
      </c>
      <c r="L917" s="58" t="s">
        <v>25</v>
      </c>
      <c r="M917" s="93"/>
      <c r="N917" s="68"/>
      <c r="O917" s="115"/>
      <c r="Q917" s="127"/>
    </row>
    <row r="918" spans="1:17" ht="15" customHeight="1">
      <c r="B918" s="157"/>
      <c r="E918" s="266"/>
      <c r="F918" s="99"/>
      <c r="G918" s="99"/>
      <c r="H918" s="99"/>
      <c r="I918" s="99"/>
      <c r="J918" s="267"/>
      <c r="M918" s="93"/>
      <c r="N918" s="68"/>
      <c r="O918" s="115"/>
      <c r="Q918" s="127"/>
    </row>
    <row r="919" spans="1:17" s="359" customFormat="1" ht="15" customHeight="1">
      <c r="B919" s="315"/>
      <c r="C919" s="316"/>
      <c r="D919" s="316"/>
      <c r="E919" s="494" t="s">
        <v>234</v>
      </c>
      <c r="F919" s="495"/>
      <c r="G919" s="495"/>
      <c r="H919" s="495"/>
      <c r="I919" s="495"/>
      <c r="J919" s="496"/>
      <c r="K919" s="355"/>
      <c r="L919" s="317"/>
      <c r="M919" s="356"/>
      <c r="N919" s="357"/>
      <c r="O919" s="358"/>
      <c r="Q919" s="360"/>
    </row>
    <row r="920" spans="1:17" ht="15" customHeight="1">
      <c r="B920" s="157"/>
      <c r="E920" s="266"/>
      <c r="F920" s="99"/>
      <c r="G920" s="99"/>
      <c r="H920" s="99"/>
      <c r="I920" s="99"/>
      <c r="J920" s="267"/>
      <c r="M920" s="93"/>
      <c r="N920" s="68"/>
      <c r="O920" s="115"/>
      <c r="Q920" s="127"/>
    </row>
    <row r="921" spans="1:17" ht="15" customHeight="1">
      <c r="A921" s="371"/>
      <c r="B921" s="372"/>
      <c r="C921" s="373"/>
      <c r="D921" s="373"/>
      <c r="E921" s="497" t="s">
        <v>235</v>
      </c>
      <c r="F921" s="498"/>
      <c r="G921" s="498"/>
      <c r="H921" s="498"/>
      <c r="I921" s="498"/>
      <c r="J921" s="499"/>
      <c r="K921" s="374"/>
      <c r="L921" s="375"/>
      <c r="M921" s="376"/>
      <c r="N921" s="377"/>
      <c r="O921" s="115"/>
      <c r="Q921" s="127"/>
    </row>
    <row r="922" spans="1:17" ht="15" customHeight="1">
      <c r="B922" s="157"/>
      <c r="E922" s="266"/>
      <c r="F922" s="99"/>
      <c r="G922" s="99"/>
      <c r="H922" s="99"/>
      <c r="I922" s="99"/>
      <c r="J922" s="267"/>
      <c r="M922" s="93"/>
      <c r="N922" s="68"/>
      <c r="O922" s="115"/>
      <c r="Q922" s="127"/>
    </row>
    <row r="923" spans="1:17" ht="15" customHeight="1">
      <c r="B923" s="157"/>
      <c r="E923" s="266"/>
      <c r="F923" s="99"/>
      <c r="G923" s="99"/>
      <c r="H923" s="99"/>
      <c r="I923" s="99"/>
      <c r="J923" s="267"/>
      <c r="M923" s="93"/>
      <c r="N923" s="68"/>
      <c r="O923" s="115"/>
      <c r="Q923" s="127"/>
    </row>
    <row r="924" spans="1:17" ht="15" customHeight="1">
      <c r="B924" s="157"/>
      <c r="E924" s="453" t="s">
        <v>216</v>
      </c>
      <c r="F924" s="454"/>
      <c r="G924" s="454"/>
      <c r="H924" s="454"/>
      <c r="I924" s="454"/>
      <c r="J924" s="455"/>
      <c r="M924" s="93"/>
      <c r="N924" s="68"/>
      <c r="O924" s="115"/>
      <c r="Q924" s="127"/>
    </row>
    <row r="925" spans="1:17" ht="15" customHeight="1">
      <c r="B925" s="157"/>
      <c r="E925" s="266"/>
      <c r="F925" s="99"/>
      <c r="G925" s="99"/>
      <c r="H925" s="99"/>
      <c r="I925" s="99"/>
      <c r="J925" s="267"/>
      <c r="M925" s="93"/>
      <c r="N925" s="68"/>
      <c r="O925" s="115"/>
      <c r="Q925" s="127"/>
    </row>
    <row r="926" spans="1:17" ht="15">
      <c r="B926" s="157"/>
      <c r="C926" s="94" t="s">
        <v>233</v>
      </c>
      <c r="D926" s="16" t="s">
        <v>35</v>
      </c>
      <c r="E926" s="447" t="str">
        <f>IFERROR(VLOOKUP($C926,'SINAPI JULHO 2018'!$1:$1048576,2,0),IFERROR(VLOOKUP($C926,'5-COMP. PROPRIA'!$B$13:$I$518,4,0),""))</f>
        <v>ESCAVAÇÃO MECANICA DE ESTACA 40 X 40 CM , PROFUNDIDADE DE 1,5 M DE COMPRIMENTO</v>
      </c>
      <c r="F926" s="448"/>
      <c r="G926" s="448"/>
      <c r="H926" s="448"/>
      <c r="I926" s="448"/>
      <c r="J926" s="449"/>
      <c r="K926" s="184">
        <f>SUM(K928:K928)</f>
        <v>42</v>
      </c>
      <c r="L926" s="58" t="s">
        <v>63</v>
      </c>
      <c r="M926" s="99">
        <f>K926*(0.4*0.4)</f>
        <v>6.7200000000000015</v>
      </c>
      <c r="N926" s="58" t="s">
        <v>65</v>
      </c>
      <c r="O926" s="115"/>
      <c r="Q926" s="127"/>
    </row>
    <row r="927" spans="1:17" ht="15" customHeight="1">
      <c r="B927" s="157"/>
      <c r="E927" s="76" t="s">
        <v>88</v>
      </c>
      <c r="F927" s="51" t="s">
        <v>89</v>
      </c>
      <c r="J927" s="102"/>
      <c r="K927" s="187"/>
      <c r="L927" s="3"/>
      <c r="M927" s="3"/>
      <c r="N927" s="104"/>
      <c r="O927" s="115"/>
      <c r="Q927" s="127"/>
    </row>
    <row r="928" spans="1:17" ht="15" customHeight="1">
      <c r="B928" s="157"/>
      <c r="C928" s="16"/>
      <c r="D928" s="16"/>
      <c r="E928" s="111">
        <v>28</v>
      </c>
      <c r="F928" s="105">
        <v>1.5</v>
      </c>
      <c r="J928" s="102"/>
      <c r="K928" s="70">
        <f>E928*F928</f>
        <v>42</v>
      </c>
      <c r="N928" s="104"/>
      <c r="O928" s="115"/>
      <c r="Q928" s="127"/>
    </row>
    <row r="929" spans="2:17" ht="15" customHeight="1">
      <c r="B929" s="157"/>
      <c r="C929" s="16"/>
      <c r="D929" s="16"/>
      <c r="E929" s="112"/>
      <c r="J929" s="102"/>
      <c r="K929" s="70"/>
      <c r="N929" s="104"/>
      <c r="O929" s="115"/>
      <c r="Q929" s="127"/>
    </row>
    <row r="930" spans="2:17" ht="45" customHeight="1">
      <c r="B930" s="157" t="s">
        <v>91</v>
      </c>
      <c r="C930" s="26">
        <v>92759</v>
      </c>
      <c r="D930" s="26" t="s">
        <v>8</v>
      </c>
      <c r="E930" s="447" t="str">
        <f>IFERROR(VLOOKUP($C930,'SINAPI JULHO 2018'!$1:$1048576,2,0),IFERROR(VLOOKUP($C930,'5-COMP. PROPRIA'!$B$13:$I$518,4,0),""))</f>
        <v>ARMAÇÃO DE PILAR OU VIGA DE UMA ESTRUTURA CONVENCIONAL DE CONCRETO ARMADO EM UM EDIFÍCIO DE MÚLTIPLOS PAVIMENTOS UTILIZANDO AÇO CA-60 DE 5,0 MM - MONTAGEM. AF_12/2015</v>
      </c>
      <c r="F930" s="448"/>
      <c r="G930" s="448"/>
      <c r="H930" s="448"/>
      <c r="I930" s="448"/>
      <c r="J930" s="449"/>
      <c r="K930" s="184">
        <f>SUM(K931:K932)</f>
        <v>43.998465000000017</v>
      </c>
      <c r="L930" s="58" t="s">
        <v>92</v>
      </c>
      <c r="M930" s="184"/>
      <c r="N930" s="107"/>
      <c r="O930" s="115"/>
      <c r="Q930" s="127"/>
    </row>
    <row r="931" spans="2:17" ht="15" customHeight="1">
      <c r="B931" s="157"/>
      <c r="E931" s="79" t="s">
        <v>93</v>
      </c>
      <c r="F931" s="67" t="s">
        <v>27</v>
      </c>
      <c r="G931" s="67" t="s">
        <v>94</v>
      </c>
      <c r="H931" s="61" t="s">
        <v>95</v>
      </c>
      <c r="I931" s="67" t="s">
        <v>124</v>
      </c>
      <c r="J931" s="102">
        <f>K930/K939</f>
        <v>6.5473906250000011</v>
      </c>
      <c r="K931" s="70"/>
      <c r="N931" s="104"/>
      <c r="O931" s="115"/>
      <c r="Q931" s="127"/>
    </row>
    <row r="932" spans="2:17" ht="15" customHeight="1">
      <c r="B932" s="157"/>
      <c r="E932" s="101">
        <v>5</v>
      </c>
      <c r="F932" s="51">
        <f>(0.4-0.06)*4</f>
        <v>1.36</v>
      </c>
      <c r="G932" s="51">
        <f>K926/0.2</f>
        <v>210</v>
      </c>
      <c r="H932" s="51">
        <f>((E932/1000)*(E932/1000)*3.14*0.25)*7850</f>
        <v>0.15405625000000003</v>
      </c>
      <c r="J932" s="102"/>
      <c r="K932" s="70">
        <f>G932*H932*F932</f>
        <v>43.998465000000017</v>
      </c>
      <c r="N932" s="104"/>
      <c r="O932" s="115"/>
      <c r="Q932" s="127"/>
    </row>
    <row r="933" spans="2:17" ht="15" customHeight="1">
      <c r="B933" s="157"/>
      <c r="E933" s="118"/>
      <c r="J933" s="102"/>
      <c r="K933" s="183"/>
      <c r="N933" s="104"/>
      <c r="O933" s="115"/>
      <c r="Q933" s="127"/>
    </row>
    <row r="934" spans="2:17" ht="39.75" customHeight="1">
      <c r="B934" s="157"/>
      <c r="C934" s="26">
        <v>92762</v>
      </c>
      <c r="D934" s="26" t="s">
        <v>8</v>
      </c>
      <c r="E934" s="447" t="str">
        <f>IFERROR(VLOOKUP($C934,'SINAPI JULHO 2018'!$1:$1048576,2,0),IFERROR(VLOOKUP($C934,'5-COMP. PROPRIA'!$B$13:$I$518,4,0),""))</f>
        <v>ARMAÇÃO DE PILAR OU VIGA DE UMA ESTRUTURA CONVENCIONAL DE CONCRETO ARMADO EM UM EDIFÍCIO DE MÚLTIPLOS PAVIMENTOS UTILIZANDO AÇO CA-50 DE 10,0 MM - MONTAGEM. AF_12/2015</v>
      </c>
      <c r="F934" s="448"/>
      <c r="G934" s="448"/>
      <c r="H934" s="448"/>
      <c r="I934" s="448"/>
      <c r="J934" s="449"/>
      <c r="K934" s="184">
        <f>SUM(K937:K937)</f>
        <v>124.23096000000004</v>
      </c>
      <c r="L934" s="58" t="s">
        <v>92</v>
      </c>
      <c r="N934" s="104"/>
      <c r="O934" s="115"/>
      <c r="Q934" s="127"/>
    </row>
    <row r="935" spans="2:17" ht="15" customHeight="1">
      <c r="B935" s="157"/>
      <c r="E935" s="118"/>
      <c r="H935" s="51" t="s">
        <v>96</v>
      </c>
      <c r="I935" s="51">
        <f>K934/K939</f>
        <v>18.486750000000001</v>
      </c>
      <c r="J935" s="102"/>
      <c r="N935" s="104"/>
      <c r="O935" s="115"/>
      <c r="Q935" s="127"/>
    </row>
    <row r="936" spans="2:17" ht="15" customHeight="1">
      <c r="B936" s="157"/>
      <c r="E936" s="79" t="s">
        <v>93</v>
      </c>
      <c r="F936" s="67" t="s">
        <v>27</v>
      </c>
      <c r="G936" s="67" t="s">
        <v>94</v>
      </c>
      <c r="H936" s="61" t="s">
        <v>95</v>
      </c>
      <c r="I936" s="61"/>
      <c r="J936" s="102"/>
      <c r="K936" s="70"/>
      <c r="N936" s="104"/>
      <c r="O936" s="115"/>
      <c r="Q936" s="127"/>
    </row>
    <row r="937" spans="2:17" ht="15" customHeight="1">
      <c r="B937" s="157"/>
      <c r="E937" s="101">
        <v>10</v>
      </c>
      <c r="F937" s="51">
        <f>F928+0.3</f>
        <v>1.8</v>
      </c>
      <c r="G937" s="51">
        <f>E928*4</f>
        <v>112</v>
      </c>
      <c r="H937" s="51">
        <f>((E937/1000)*(E937/1000)*3.14*0.25)*7850</f>
        <v>0.61622500000000013</v>
      </c>
      <c r="J937" s="102"/>
      <c r="K937" s="70">
        <f>G937*H937*F937</f>
        <v>124.23096000000004</v>
      </c>
      <c r="N937" s="104"/>
      <c r="O937" s="115"/>
      <c r="Q937" s="127"/>
    </row>
    <row r="938" spans="2:17" ht="15" customHeight="1">
      <c r="B938" s="157"/>
      <c r="C938" s="188"/>
      <c r="D938" s="188"/>
      <c r="E938" s="277"/>
      <c r="F938" s="278"/>
      <c r="G938" s="278"/>
      <c r="H938" s="278"/>
      <c r="I938" s="278"/>
      <c r="J938" s="279"/>
      <c r="K938" s="262"/>
      <c r="L938" s="263"/>
      <c r="M938" s="301"/>
      <c r="N938" s="68"/>
      <c r="O938" s="115"/>
      <c r="Q938" s="127"/>
    </row>
    <row r="939" spans="2:17" ht="34.5" customHeight="1">
      <c r="B939" s="157"/>
      <c r="C939" s="26">
        <v>94965</v>
      </c>
      <c r="D939" s="16" t="s">
        <v>8</v>
      </c>
      <c r="E939" s="447" t="str">
        <f>IFERROR(VLOOKUP($C939,'SINAPI JULHO 2018'!$1:$1048576,2,0),IFERROR(VLOOKUP($C939,'5-COMP. PROPRIA'!$B$13:$I$518,4,0),""))</f>
        <v>CONCRETO FCK = 25MPA, TRAÇO 1:2,3:2,7 (CIMENTO/ AREIA MÉDIA/ BRITA 1)  - PREPARO MECÂNICO COM BETONEIRA 400 L. AF_07/2016</v>
      </c>
      <c r="F939" s="448"/>
      <c r="G939" s="448"/>
      <c r="H939" s="448"/>
      <c r="I939" s="448"/>
      <c r="J939" s="449"/>
      <c r="K939" s="184">
        <f>K941</f>
        <v>6.7200000000000015</v>
      </c>
      <c r="L939" s="58" t="s">
        <v>65</v>
      </c>
      <c r="M939" s="301"/>
      <c r="N939" s="68"/>
      <c r="O939" s="115"/>
      <c r="Q939" s="127"/>
    </row>
    <row r="940" spans="2:17" ht="15" customHeight="1">
      <c r="B940" s="157"/>
      <c r="E940" s="76" t="s">
        <v>218</v>
      </c>
      <c r="F940" s="17" t="s">
        <v>4</v>
      </c>
      <c r="G940" s="17"/>
      <c r="H940" s="67"/>
      <c r="I940" s="221"/>
      <c r="J940" s="222"/>
      <c r="K940" s="183"/>
      <c r="M940" s="301"/>
      <c r="N940" s="68"/>
      <c r="O940" s="115"/>
      <c r="Q940" s="127"/>
    </row>
    <row r="941" spans="2:17" ht="15" customHeight="1">
      <c r="B941" s="157"/>
      <c r="E941" s="111">
        <f>0.4*0.4*F928</f>
        <v>0.24000000000000005</v>
      </c>
      <c r="F941" s="74">
        <f>E928</f>
        <v>28</v>
      </c>
      <c r="G941" s="278"/>
      <c r="H941" s="278"/>
      <c r="J941" s="102"/>
      <c r="K941" s="70">
        <f>E941*F941</f>
        <v>6.7200000000000015</v>
      </c>
      <c r="M941" s="301"/>
      <c r="N941" s="68"/>
      <c r="O941" s="115"/>
      <c r="Q941" s="127"/>
    </row>
    <row r="942" spans="2:17" ht="15" customHeight="1">
      <c r="B942" s="157"/>
      <c r="E942" s="112"/>
      <c r="F942" s="17"/>
      <c r="G942" s="278"/>
      <c r="H942" s="278"/>
      <c r="J942" s="102"/>
      <c r="K942" s="70"/>
      <c r="M942" s="301"/>
      <c r="N942" s="68"/>
      <c r="O942" s="115"/>
      <c r="Q942" s="127"/>
    </row>
    <row r="943" spans="2:17" ht="15" customHeight="1">
      <c r="B943" s="157"/>
      <c r="C943" s="16" t="s">
        <v>111</v>
      </c>
      <c r="D943" s="16" t="s">
        <v>8</v>
      </c>
      <c r="E943" s="447" t="str">
        <f>IFERROR(VLOOKUP($C943,'SINAPI JULHO 2018'!$1:$1048576,2,0),IFERROR(VLOOKUP($C943,'5-COMP. PROPRIA'!$B$13:$I$518,4,0),""))</f>
        <v>LANCAMENTO/APLICACAO MANUAL DE CONCRETO EM FUNDACOES</v>
      </c>
      <c r="F943" s="448"/>
      <c r="G943" s="448"/>
      <c r="H943" s="448"/>
      <c r="I943" s="448"/>
      <c r="J943" s="449"/>
      <c r="K943" s="184">
        <f>K939</f>
        <v>6.7200000000000015</v>
      </c>
      <c r="L943" s="58" t="s">
        <v>65</v>
      </c>
      <c r="M943" s="301"/>
      <c r="N943" s="68"/>
      <c r="O943" s="115"/>
      <c r="Q943" s="127"/>
    </row>
    <row r="944" spans="2:17" ht="15" customHeight="1">
      <c r="B944" s="157"/>
      <c r="E944" s="266"/>
      <c r="F944" s="99"/>
      <c r="G944" s="99"/>
      <c r="H944" s="99"/>
      <c r="I944" s="99"/>
      <c r="J944" s="267"/>
      <c r="M944" s="93"/>
      <c r="N944" s="68"/>
      <c r="O944" s="115"/>
      <c r="Q944" s="127"/>
    </row>
    <row r="945" spans="2:17" ht="15" customHeight="1">
      <c r="B945" s="157"/>
      <c r="C945" s="91"/>
      <c r="D945" s="91"/>
      <c r="E945" s="453" t="s">
        <v>103</v>
      </c>
      <c r="F945" s="454"/>
      <c r="G945" s="454"/>
      <c r="H945" s="454"/>
      <c r="I945" s="454"/>
      <c r="J945" s="455"/>
      <c r="K945" s="183"/>
      <c r="L945" s="56"/>
      <c r="M945" s="93"/>
      <c r="N945" s="68"/>
      <c r="O945" s="115"/>
      <c r="Q945" s="127"/>
    </row>
    <row r="946" spans="2:17" ht="15" customHeight="1">
      <c r="B946" s="157"/>
      <c r="C946" s="91"/>
      <c r="D946" s="91"/>
      <c r="E946" s="266"/>
      <c r="F946" s="99"/>
      <c r="G946" s="99"/>
      <c r="H946" s="123"/>
      <c r="J946" s="117"/>
      <c r="K946" s="183"/>
      <c r="L946" s="56"/>
      <c r="M946" s="93"/>
      <c r="N946" s="68"/>
      <c r="O946" s="115"/>
      <c r="Q946" s="127"/>
    </row>
    <row r="947" spans="2:17" ht="15" customHeight="1">
      <c r="B947" s="157"/>
      <c r="C947" s="26">
        <v>96527</v>
      </c>
      <c r="D947" s="16" t="s">
        <v>8</v>
      </c>
      <c r="E947" s="447" t="str">
        <f>IFERROR(VLOOKUP($C947,'SINAPI JULHO 2018'!$1:$1048576,2,0),IFERROR(VLOOKUP($C947,'5-COMP. PROPRIA'!$B$13:$I$518,4,0),""))</f>
        <v>ESCAVAÇÃO MANUAL DE VALA PARA VIGA BALDRAME, COM PREVISÃO DE FÔRMA. AF_06/2017</v>
      </c>
      <c r="F947" s="448"/>
      <c r="G947" s="448"/>
      <c r="H947" s="448"/>
      <c r="I947" s="448"/>
      <c r="J947" s="449"/>
      <c r="K947" s="184">
        <f>SUM(K949:K949)*1.3</f>
        <v>23.519925000000004</v>
      </c>
      <c r="L947" s="58" t="s">
        <v>65</v>
      </c>
      <c r="M947" s="93"/>
      <c r="N947" s="68"/>
      <c r="O947" s="115"/>
      <c r="Q947" s="127"/>
    </row>
    <row r="948" spans="2:17" ht="15" customHeight="1">
      <c r="B948" s="157"/>
      <c r="E948" s="76" t="s">
        <v>106</v>
      </c>
      <c r="F948" s="17" t="s">
        <v>107</v>
      </c>
      <c r="G948" s="17" t="s">
        <v>108</v>
      </c>
      <c r="H948" s="67" t="s">
        <v>47</v>
      </c>
      <c r="I948" s="221"/>
      <c r="J948" s="222"/>
      <c r="K948" s="186"/>
      <c r="M948" s="93"/>
      <c r="N948" s="68"/>
      <c r="O948" s="115"/>
      <c r="Q948" s="127"/>
    </row>
    <row r="949" spans="2:17" ht="15" customHeight="1">
      <c r="B949" s="157"/>
      <c r="E949" s="105">
        <f>E957</f>
        <v>84.15</v>
      </c>
      <c r="F949" s="105">
        <f>F957+0.3</f>
        <v>0.5</v>
      </c>
      <c r="G949" s="105">
        <f>G957+0.03</f>
        <v>0.43000000000000005</v>
      </c>
      <c r="H949" s="105">
        <v>1</v>
      </c>
      <c r="J949" s="102"/>
      <c r="K949" s="70">
        <f>E949*F949*G949*H949</f>
        <v>18.092250000000003</v>
      </c>
      <c r="M949" s="93"/>
      <c r="N949" s="68"/>
      <c r="O949" s="115"/>
      <c r="Q949" s="127"/>
    </row>
    <row r="950" spans="2:17" ht="15" customHeight="1">
      <c r="B950" s="157"/>
      <c r="E950" s="118"/>
      <c r="J950" s="102"/>
      <c r="K950" s="183"/>
      <c r="M950" s="93"/>
      <c r="N950" s="68"/>
      <c r="O950" s="115"/>
      <c r="Q950" s="127"/>
    </row>
    <row r="951" spans="2:17" ht="39" customHeight="1">
      <c r="B951" s="157"/>
      <c r="C951" s="26">
        <v>96617</v>
      </c>
      <c r="D951" s="16" t="s">
        <v>8</v>
      </c>
      <c r="E951" s="447" t="str">
        <f>IFERROR(VLOOKUP($C951,'SINAPI JULHO 2018'!$1:$1048576,2,0),IFERROR(VLOOKUP($C951,'5-COMP. PROPRIA'!$B$13:$I$518,4,0),""))</f>
        <v>LASTRO DE CONCRETO MAGRO, APLICADO EM BLOCOS DE COROAMENTO OU SAPATAS, ESPESSURA DE 3 CM. AF_08/2017</v>
      </c>
      <c r="F951" s="448"/>
      <c r="G951" s="448"/>
      <c r="H951" s="448"/>
      <c r="I951" s="448"/>
      <c r="J951" s="449"/>
      <c r="K951" s="184">
        <f>SUM(K953:K953)</f>
        <v>16.830000000000002</v>
      </c>
      <c r="L951" s="57" t="s">
        <v>25</v>
      </c>
      <c r="M951" s="52">
        <f>K951*0.03</f>
        <v>0.50490000000000002</v>
      </c>
      <c r="N951" s="68"/>
      <c r="O951" s="115"/>
      <c r="Q951" s="127"/>
    </row>
    <row r="952" spans="2:17" ht="15" customHeight="1">
      <c r="B952" s="157"/>
      <c r="E952" s="76" t="s">
        <v>106</v>
      </c>
      <c r="F952" s="17" t="s">
        <v>107</v>
      </c>
      <c r="H952" s="67" t="s">
        <v>47</v>
      </c>
      <c r="J952" s="102"/>
      <c r="N952" s="68"/>
      <c r="O952" s="115"/>
      <c r="Q952" s="127"/>
    </row>
    <row r="953" spans="2:17" ht="15" customHeight="1">
      <c r="B953" s="157"/>
      <c r="E953" s="105">
        <f>E949</f>
        <v>84.15</v>
      </c>
      <c r="F953" s="105">
        <f>F957</f>
        <v>0.2</v>
      </c>
      <c r="H953" s="105">
        <f>H949</f>
        <v>1</v>
      </c>
      <c r="J953" s="102"/>
      <c r="K953" s="70">
        <f>H953*F953*E953</f>
        <v>16.830000000000002</v>
      </c>
      <c r="N953" s="68"/>
      <c r="O953" s="115"/>
      <c r="Q953" s="127"/>
    </row>
    <row r="954" spans="2:17" ht="15" customHeight="1">
      <c r="B954" s="157"/>
      <c r="E954" s="118"/>
      <c r="J954" s="102"/>
      <c r="K954" s="183"/>
      <c r="M954" s="93"/>
      <c r="N954" s="68"/>
      <c r="O954" s="115"/>
      <c r="Q954" s="127"/>
    </row>
    <row r="955" spans="2:17" ht="30" customHeight="1">
      <c r="B955" s="157"/>
      <c r="C955" s="26">
        <v>94965</v>
      </c>
      <c r="D955" s="16" t="s">
        <v>8</v>
      </c>
      <c r="E955" s="447" t="str">
        <f>IFERROR(VLOOKUP($C955,'SINAPI JULHO 2018'!$1:$1048576,2,0),IFERROR(VLOOKUP($C955,'5-COMP. PROPRIA'!$B$13:$I$518,4,0),""))</f>
        <v>CONCRETO FCK = 25MPA, TRAÇO 1:2,3:2,7 (CIMENTO/ AREIA MÉDIA/ BRITA 1)  - PREPARO MECÂNICO COM BETONEIRA 400 L. AF_07/2016</v>
      </c>
      <c r="F955" s="448"/>
      <c r="G955" s="448"/>
      <c r="H955" s="448"/>
      <c r="I955" s="448"/>
      <c r="J955" s="449"/>
      <c r="K955" s="184">
        <f>SUM(K957:K957)</f>
        <v>6.7320000000000011</v>
      </c>
      <c r="L955" s="58" t="s">
        <v>65</v>
      </c>
      <c r="M955" s="93"/>
      <c r="N955" s="68"/>
      <c r="O955" s="115"/>
      <c r="Q955" s="127"/>
    </row>
    <row r="956" spans="2:17" ht="15" customHeight="1">
      <c r="B956" s="157"/>
      <c r="E956" s="76" t="s">
        <v>106</v>
      </c>
      <c r="F956" s="17" t="s">
        <v>107</v>
      </c>
      <c r="G956" s="17" t="s">
        <v>108</v>
      </c>
      <c r="H956" s="67" t="s">
        <v>47</v>
      </c>
      <c r="I956" s="221"/>
      <c r="J956" s="222"/>
      <c r="K956" s="183"/>
      <c r="M956" s="93"/>
      <c r="N956" s="68"/>
      <c r="O956" s="115"/>
      <c r="Q956" s="127"/>
    </row>
    <row r="957" spans="2:17" ht="15" customHeight="1">
      <c r="B957" s="157"/>
      <c r="E957" s="111">
        <v>84.15</v>
      </c>
      <c r="F957" s="74">
        <v>0.2</v>
      </c>
      <c r="G957" s="74">
        <v>0.4</v>
      </c>
      <c r="H957" s="74">
        <v>1</v>
      </c>
      <c r="J957" s="102"/>
      <c r="K957" s="70">
        <f>E957*F957*G957*H957</f>
        <v>6.7320000000000011</v>
      </c>
      <c r="M957" s="93"/>
      <c r="N957" s="68"/>
      <c r="O957" s="115"/>
      <c r="Q957" s="127"/>
    </row>
    <row r="958" spans="2:17" ht="15" customHeight="1">
      <c r="B958" s="157"/>
      <c r="E958" s="112"/>
      <c r="J958" s="102"/>
      <c r="K958" s="183"/>
      <c r="M958" s="93"/>
      <c r="N958" s="68"/>
      <c r="O958" s="115"/>
      <c r="Q958" s="127"/>
    </row>
    <row r="959" spans="2:17" ht="15" customHeight="1">
      <c r="B959" s="157"/>
      <c r="C959" s="26" t="s">
        <v>111</v>
      </c>
      <c r="D959" s="16" t="s">
        <v>8</v>
      </c>
      <c r="E959" s="447" t="str">
        <f>IFERROR(VLOOKUP($C959,'SINAPI JULHO 2018'!$1:$1048576,2,0),IFERROR(VLOOKUP($C959,'5-COMP. PROPRIA'!$B$13:$I$518,4,0),""))</f>
        <v>LANCAMENTO/APLICACAO MANUAL DE CONCRETO EM FUNDACOES</v>
      </c>
      <c r="F959" s="448"/>
      <c r="G959" s="448"/>
      <c r="H959" s="448"/>
      <c r="I959" s="448"/>
      <c r="J959" s="449"/>
      <c r="K959" s="184">
        <f>K955</f>
        <v>6.7320000000000011</v>
      </c>
      <c r="L959" s="58" t="s">
        <v>65</v>
      </c>
      <c r="M959" s="93"/>
      <c r="N959" s="68"/>
      <c r="O959" s="115"/>
      <c r="Q959" s="127"/>
    </row>
    <row r="960" spans="2:17" ht="15" customHeight="1">
      <c r="B960" s="157"/>
      <c r="E960" s="118"/>
      <c r="J960" s="102"/>
      <c r="M960" s="93"/>
      <c r="N960" s="68"/>
      <c r="O960" s="115"/>
      <c r="Q960" s="127"/>
    </row>
    <row r="961" spans="2:17" ht="30" customHeight="1">
      <c r="B961" s="157" t="s">
        <v>219</v>
      </c>
      <c r="C961" s="26">
        <v>96543</v>
      </c>
      <c r="D961" s="16" t="s">
        <v>8</v>
      </c>
      <c r="E961" s="447" t="str">
        <f>IFERROR(VLOOKUP($C961,'SINAPI JULHO 2018'!$1:$1048576,2,0),IFERROR(VLOOKUP($C961,'5-COMP. PROPRIA'!$B$13:$I$518,4,0),""))</f>
        <v>ARMAÇÃO DE BLOCO, VIGA BALDRAME E SAPATA UTILIZANDO AÇO CA-60 DE 5 MM - MONTAGEM. AF_06/2017</v>
      </c>
      <c r="F961" s="448"/>
      <c r="G961" s="448"/>
      <c r="H961" s="448"/>
      <c r="I961" s="448"/>
      <c r="J961" s="449"/>
      <c r="K961" s="184">
        <f>SUM(K964:K964)</f>
        <v>114.51386203125006</v>
      </c>
      <c r="L961" s="58" t="s">
        <v>92</v>
      </c>
      <c r="M961" s="52"/>
      <c r="N961" s="68"/>
      <c r="O961" s="115"/>
      <c r="Q961" s="127"/>
    </row>
    <row r="962" spans="2:17" ht="15" customHeight="1">
      <c r="B962" s="157"/>
      <c r="E962" s="118"/>
      <c r="H962" s="70" t="s">
        <v>112</v>
      </c>
      <c r="I962" s="69">
        <f>K961/K955</f>
        <v>17.010377604166671</v>
      </c>
      <c r="J962" s="102"/>
      <c r="K962" s="70"/>
      <c r="M962" s="93"/>
      <c r="N962" s="68"/>
      <c r="O962" s="115"/>
      <c r="Q962" s="127"/>
    </row>
    <row r="963" spans="2:17" ht="15" customHeight="1">
      <c r="B963" s="157"/>
      <c r="E963" s="79" t="s">
        <v>93</v>
      </c>
      <c r="F963" s="67" t="s">
        <v>27</v>
      </c>
      <c r="G963" s="67" t="s">
        <v>94</v>
      </c>
      <c r="H963" s="61" t="s">
        <v>95</v>
      </c>
      <c r="I963" s="17" t="s">
        <v>54</v>
      </c>
      <c r="J963" s="102"/>
      <c r="K963" s="70"/>
      <c r="M963" s="93"/>
      <c r="N963" s="68"/>
      <c r="O963" s="115"/>
      <c r="Q963" s="127"/>
    </row>
    <row r="964" spans="2:17" ht="15" customHeight="1">
      <c r="B964" s="157"/>
      <c r="E964" s="101">
        <v>5</v>
      </c>
      <c r="F964" s="51">
        <f>(F957-0.06)*2+(G957-0.06)*2+0.1</f>
        <v>1.06</v>
      </c>
      <c r="G964" s="51">
        <f>E949/0.12</f>
        <v>701.25000000000011</v>
      </c>
      <c r="H964" s="51">
        <f>((E964/1000)*(E964/1000)*3.14*0.25)*7850</f>
        <v>0.15405625000000003</v>
      </c>
      <c r="I964" s="51">
        <f>$H$138</f>
        <v>1</v>
      </c>
      <c r="J964" s="102"/>
      <c r="K964" s="70">
        <f>G964*H964*F964*I964</f>
        <v>114.51386203125006</v>
      </c>
      <c r="M964" s="93"/>
      <c r="N964" s="68"/>
      <c r="O964" s="115"/>
      <c r="Q964" s="127"/>
    </row>
    <row r="965" spans="2:17" ht="15" customHeight="1">
      <c r="B965" s="157"/>
      <c r="E965" s="118"/>
      <c r="J965" s="102"/>
      <c r="M965" s="93"/>
      <c r="N965" s="68"/>
      <c r="O965" s="115"/>
      <c r="Q965" s="127"/>
    </row>
    <row r="966" spans="2:17" ht="48" customHeight="1">
      <c r="B966" s="157"/>
      <c r="C966" s="26">
        <v>92762</v>
      </c>
      <c r="D966" s="16" t="s">
        <v>8</v>
      </c>
      <c r="E966" s="447" t="str">
        <f>IFERROR(VLOOKUP($C966,'SINAPI JULHO 2018'!$1:$1048576,2,0),IFERROR(VLOOKUP($C966,'5-COMP. PROPRIA'!$B$13:$I$518,4,0),""))</f>
        <v>ARMAÇÃO DE PILAR OU VIGA DE UMA ESTRUTURA CONVENCIONAL DE CONCRETO ARMADO EM UM EDIFÍCIO DE MÚLTIPLOS PAVIMENTOS UTILIZANDO AÇO CA-50 DE 10,0 MM - MONTAGEM. AF_12/2015</v>
      </c>
      <c r="F966" s="448"/>
      <c r="G966" s="448"/>
      <c r="H966" s="448"/>
      <c r="I966" s="448"/>
      <c r="J966" s="449"/>
      <c r="K966" s="184">
        <f>SUM(K969:K969)</f>
        <v>207.42133500000006</v>
      </c>
      <c r="L966" s="58" t="s">
        <v>92</v>
      </c>
      <c r="M966" s="52"/>
      <c r="N966" s="68"/>
      <c r="O966" s="115"/>
      <c r="Q966" s="127"/>
    </row>
    <row r="967" spans="2:17" ht="15" customHeight="1">
      <c r="B967" s="157"/>
      <c r="E967" s="118"/>
      <c r="H967" s="70" t="s">
        <v>112</v>
      </c>
      <c r="I967" s="69">
        <f>K966/K959</f>
        <v>30.811250000000005</v>
      </c>
      <c r="J967" s="102"/>
      <c r="K967" s="70"/>
      <c r="M967" s="93"/>
      <c r="N967" s="68"/>
      <c r="O967" s="115"/>
      <c r="Q967" s="127"/>
    </row>
    <row r="968" spans="2:17" ht="15" customHeight="1">
      <c r="B968" s="157"/>
      <c r="E968" s="79" t="s">
        <v>93</v>
      </c>
      <c r="F968" s="67" t="s">
        <v>27</v>
      </c>
      <c r="G968" s="67" t="s">
        <v>28</v>
      </c>
      <c r="H968" s="61" t="s">
        <v>95</v>
      </c>
      <c r="I968" s="17" t="s">
        <v>54</v>
      </c>
      <c r="J968" s="102"/>
      <c r="K968" s="70"/>
      <c r="M968" s="93"/>
      <c r="N968" s="68"/>
      <c r="O968" s="115"/>
      <c r="Q968" s="127"/>
    </row>
    <row r="969" spans="2:17" ht="15" customHeight="1">
      <c r="B969" s="157"/>
      <c r="E969" s="101">
        <v>10</v>
      </c>
      <c r="F969" s="51">
        <f>E957</f>
        <v>84.15</v>
      </c>
      <c r="G969" s="51">
        <v>1</v>
      </c>
      <c r="H969" s="51">
        <f>((E969/1000)*(E969/1000)*3.14*0.25)*7850</f>
        <v>0.61622500000000013</v>
      </c>
      <c r="I969" s="51">
        <v>4</v>
      </c>
      <c r="J969" s="102"/>
      <c r="K969" s="70">
        <f>G969*H969*F969*I969</f>
        <v>207.42133500000006</v>
      </c>
      <c r="M969" s="93"/>
      <c r="N969" s="68"/>
      <c r="O969" s="115"/>
      <c r="Q969" s="127"/>
    </row>
    <row r="970" spans="2:17" ht="15" customHeight="1">
      <c r="B970" s="157"/>
      <c r="E970" s="118"/>
      <c r="J970" s="102"/>
      <c r="K970" s="183"/>
      <c r="M970" s="93"/>
      <c r="N970" s="68"/>
      <c r="O970" s="115"/>
      <c r="Q970" s="127"/>
    </row>
    <row r="971" spans="2:17" ht="15" customHeight="1">
      <c r="B971" s="157"/>
      <c r="C971" s="26">
        <v>96536</v>
      </c>
      <c r="D971" s="16" t="s">
        <v>8</v>
      </c>
      <c r="E971" s="447" t="str">
        <f>IFERROR(VLOOKUP($C971,'SINAPI JULHO 2018'!$1:$1048576,2,0),IFERROR(VLOOKUP($C971,'5-COMP. PROPRIA'!$B$13:$I$518,4,0),""))</f>
        <v>FABRICAÇÃO, MONTAGEM E DESMONTAGEM DE FÔRMA PARA VIGA BALDRAME, EM MADEIRA SERRADA, E=25 MM, 4 UTILIZAÇÕES. AF_06/2017</v>
      </c>
      <c r="F971" s="448"/>
      <c r="G971" s="448"/>
      <c r="H971" s="448"/>
      <c r="I971" s="448"/>
      <c r="J971" s="449"/>
      <c r="K971" s="184">
        <f>SUM(K973:K973)</f>
        <v>67.320000000000007</v>
      </c>
      <c r="L971" s="58" t="s">
        <v>25</v>
      </c>
      <c r="M971" s="93"/>
      <c r="N971" s="68"/>
      <c r="O971" s="115"/>
      <c r="Q971" s="127"/>
    </row>
    <row r="972" spans="2:17" ht="15" customHeight="1">
      <c r="B972" s="157"/>
      <c r="D972" s="51"/>
      <c r="E972" s="76" t="s">
        <v>106</v>
      </c>
      <c r="F972" s="17" t="s">
        <v>107</v>
      </c>
      <c r="G972" s="17" t="s">
        <v>108</v>
      </c>
      <c r="H972" s="67" t="s">
        <v>47</v>
      </c>
      <c r="I972" s="221"/>
      <c r="J972" s="222"/>
      <c r="K972" s="186"/>
      <c r="L972" s="100"/>
      <c r="M972" s="93"/>
      <c r="N972" s="68"/>
      <c r="O972" s="115"/>
      <c r="Q972" s="127"/>
    </row>
    <row r="973" spans="2:17" ht="15" customHeight="1">
      <c r="B973" s="157"/>
      <c r="E973" s="118">
        <f>E957</f>
        <v>84.15</v>
      </c>
      <c r="F973" s="51">
        <f>F957</f>
        <v>0.2</v>
      </c>
      <c r="G973" s="51">
        <f>G957</f>
        <v>0.4</v>
      </c>
      <c r="H973" s="51">
        <f>H957</f>
        <v>1</v>
      </c>
      <c r="J973" s="102"/>
      <c r="K973" s="70">
        <f>E973*(G973*2)*H973</f>
        <v>67.320000000000007</v>
      </c>
      <c r="M973" s="93"/>
      <c r="N973" s="68"/>
      <c r="O973" s="115"/>
      <c r="Q973" s="127"/>
    </row>
    <row r="974" spans="2:17" ht="15" customHeight="1">
      <c r="B974" s="157"/>
      <c r="E974" s="118"/>
      <c r="J974" s="102"/>
      <c r="M974" s="93"/>
      <c r="N974" s="68"/>
      <c r="O974" s="115"/>
      <c r="Q974" s="127"/>
    </row>
    <row r="975" spans="2:17" ht="15" customHeight="1">
      <c r="B975" s="157"/>
      <c r="C975" s="16">
        <v>93382</v>
      </c>
      <c r="D975" s="16" t="s">
        <v>8</v>
      </c>
      <c r="E975" s="447" t="str">
        <f>IFERROR(VLOOKUP($C975,'SINAPI JULHO 2018'!$1:$1048576,2,0),IFERROR(VLOOKUP($C975,'5-COMP. PROPRIA'!$B$13:$I$518,4,0),""))</f>
        <v>REATERRO MANUAL DE VALAS COM COMPACTAÇÃO MECANIZADA. AF_04/2016</v>
      </c>
      <c r="F975" s="448"/>
      <c r="G975" s="448"/>
      <c r="H975" s="448"/>
      <c r="I975" s="448"/>
      <c r="J975" s="449"/>
      <c r="K975" s="184">
        <f>SUM(K977)</f>
        <v>16.787925000000001</v>
      </c>
      <c r="L975" s="58" t="s">
        <v>65</v>
      </c>
      <c r="M975" s="93"/>
      <c r="N975" s="68"/>
      <c r="O975" s="115"/>
      <c r="Q975" s="127"/>
    </row>
    <row r="976" spans="2:17" ht="15" customHeight="1">
      <c r="B976" s="157"/>
      <c r="E976" s="79" t="s">
        <v>115</v>
      </c>
      <c r="F976" s="67" t="s">
        <v>116</v>
      </c>
      <c r="J976" s="102"/>
      <c r="K976" s="184"/>
      <c r="M976" s="93"/>
      <c r="N976" s="68"/>
      <c r="O976" s="115"/>
      <c r="Q976" s="127"/>
    </row>
    <row r="977" spans="2:17" ht="15" customHeight="1">
      <c r="B977" s="157"/>
      <c r="E977" s="112">
        <f>K947</f>
        <v>23.519925000000004</v>
      </c>
      <c r="F977" s="51">
        <f>K955</f>
        <v>6.7320000000000011</v>
      </c>
      <c r="J977" s="102"/>
      <c r="K977" s="70">
        <f>E977-F977</f>
        <v>16.787925000000001</v>
      </c>
      <c r="M977" s="93"/>
      <c r="N977" s="68"/>
      <c r="O977" s="115"/>
      <c r="Q977" s="127"/>
    </row>
    <row r="978" spans="2:17" ht="15" customHeight="1">
      <c r="B978" s="157"/>
      <c r="E978" s="118"/>
      <c r="J978" s="102"/>
      <c r="M978" s="93"/>
      <c r="N978" s="68"/>
      <c r="O978" s="115"/>
      <c r="Q978" s="127"/>
    </row>
    <row r="979" spans="2:17" ht="15" customHeight="1">
      <c r="B979" s="157" t="s">
        <v>220</v>
      </c>
      <c r="C979" s="16" t="s">
        <v>117</v>
      </c>
      <c r="D979" s="16" t="s">
        <v>8</v>
      </c>
      <c r="E979" s="447" t="str">
        <f>IFERROR(VLOOKUP($C979,'SINAPI JULHO 2018'!$1:$1048576,2,0),IFERROR(VLOOKUP($C979,'5-COMP. PROPRIA'!$B$13:$I$518,4,0),""))</f>
        <v>IMPERMEABILIZACAO DE ESTRUTURAS ENTERRADAS, COM TINTA ASFALTICA, DUAS DEMAOS.</v>
      </c>
      <c r="F979" s="448"/>
      <c r="G979" s="448"/>
      <c r="H979" s="448"/>
      <c r="I979" s="448"/>
      <c r="J979" s="449"/>
      <c r="K979" s="184">
        <f>K971+(84.15*0.2)</f>
        <v>84.15</v>
      </c>
      <c r="L979" s="57" t="s">
        <v>25</v>
      </c>
      <c r="M979" s="52"/>
      <c r="N979" s="68"/>
      <c r="O979" s="115"/>
      <c r="Q979" s="127"/>
    </row>
    <row r="980" spans="2:17" ht="15" customHeight="1">
      <c r="B980" s="157"/>
      <c r="E980" s="112"/>
      <c r="J980" s="102"/>
      <c r="K980" s="183"/>
      <c r="L980" s="57"/>
      <c r="M980" s="93"/>
      <c r="N980" s="68"/>
      <c r="O980" s="115"/>
      <c r="Q980" s="127"/>
    </row>
    <row r="981" spans="2:17" ht="15" customHeight="1">
      <c r="B981" s="157"/>
      <c r="C981" s="26">
        <v>72897</v>
      </c>
      <c r="D981" s="16" t="s">
        <v>8</v>
      </c>
      <c r="E981" s="447" t="str">
        <f>IFERROR(VLOOKUP($C981,'SINAPI JULHO 2018'!$1:$1048576,2,0),IFERROR(VLOOKUP($C981,'5-COMP. PROPRIA'!$B$13:$I$518,4,0),""))</f>
        <v>CARGA MANUAL DE ENTULHO EM CAMINHAO BASCULANTE 6 M3</v>
      </c>
      <c r="F981" s="448"/>
      <c r="G981" s="448"/>
      <c r="H981" s="448"/>
      <c r="I981" s="448"/>
      <c r="J981" s="449"/>
      <c r="K981" s="184">
        <f>SUM(K983:K983)</f>
        <v>8.7516000000000016</v>
      </c>
      <c r="L981" s="58" t="s">
        <v>65</v>
      </c>
      <c r="M981" s="93"/>
      <c r="N981" s="68"/>
      <c r="O981" s="115"/>
      <c r="Q981" s="127"/>
    </row>
    <row r="982" spans="2:17" ht="15" customHeight="1">
      <c r="B982" s="157"/>
      <c r="E982" s="79"/>
      <c r="F982" s="67" t="s">
        <v>116</v>
      </c>
      <c r="G982" s="17"/>
      <c r="H982" s="67" t="s">
        <v>119</v>
      </c>
      <c r="J982" s="220"/>
      <c r="K982" s="70"/>
      <c r="M982" s="93"/>
      <c r="N982" s="68"/>
      <c r="O982" s="115"/>
      <c r="Q982" s="127"/>
    </row>
    <row r="983" spans="2:17" ht="15" customHeight="1">
      <c r="B983" s="157"/>
      <c r="E983" s="118"/>
      <c r="F983" s="17">
        <f>K955</f>
        <v>6.7320000000000011</v>
      </c>
      <c r="G983" s="17"/>
      <c r="H983" s="17">
        <v>1.3</v>
      </c>
      <c r="J983" s="68"/>
      <c r="K983" s="70">
        <f>H983*F983</f>
        <v>8.7516000000000016</v>
      </c>
      <c r="M983" s="93"/>
      <c r="N983" s="68"/>
      <c r="O983" s="115"/>
      <c r="Q983" s="127"/>
    </row>
    <row r="984" spans="2:17" ht="15" customHeight="1">
      <c r="B984" s="157"/>
      <c r="E984" s="118"/>
      <c r="F984" s="17"/>
      <c r="G984" s="17"/>
      <c r="I984" s="17"/>
      <c r="J984" s="68"/>
      <c r="K984" s="70"/>
      <c r="M984" s="93"/>
      <c r="N984" s="68"/>
      <c r="O984" s="115"/>
      <c r="Q984" s="127"/>
    </row>
    <row r="985" spans="2:17" ht="15" customHeight="1">
      <c r="B985" s="157"/>
      <c r="C985" s="16">
        <v>97914</v>
      </c>
      <c r="D985" s="16" t="s">
        <v>8</v>
      </c>
      <c r="E985" s="447" t="str">
        <f>IFERROR(VLOOKUP($C985,'SINAPI JULHO 2018'!$1:$1048576,2,0),IFERROR(VLOOKUP($C985,'5-COMP. PROPRIA'!$B$13:$I$518,4,0),""))</f>
        <v>TRANSPORTE COM CAMINHÃO BASCULANTE DE 6 M3, EM VIA URBANA PAVIMENTADA, DMT ATÉ 30 KM (UNIDADE: M3XKM). AF_01/2018</v>
      </c>
      <c r="F985" s="448"/>
      <c r="G985" s="448"/>
      <c r="H985" s="448"/>
      <c r="I985" s="448"/>
      <c r="J985" s="449"/>
      <c r="K985" s="184">
        <f>K987</f>
        <v>65.637000000000015</v>
      </c>
      <c r="L985" s="57" t="s">
        <v>78</v>
      </c>
      <c r="M985" s="93"/>
      <c r="N985" s="68"/>
      <c r="O985" s="115"/>
      <c r="Q985" s="127"/>
    </row>
    <row r="986" spans="2:17" ht="25.5" customHeight="1">
      <c r="B986" s="157"/>
      <c r="E986" s="79" t="s">
        <v>80</v>
      </c>
      <c r="H986" s="67" t="s">
        <v>81</v>
      </c>
      <c r="J986" s="102"/>
      <c r="M986" s="93"/>
      <c r="N986" s="68"/>
      <c r="O986" s="115"/>
      <c r="Q986" s="127"/>
    </row>
    <row r="987" spans="2:17" ht="15" customHeight="1">
      <c r="B987" s="157"/>
      <c r="E987" s="79">
        <f>K981</f>
        <v>8.7516000000000016</v>
      </c>
      <c r="H987" s="67">
        <v>7.5</v>
      </c>
      <c r="J987" s="102"/>
      <c r="K987" s="180">
        <f>E987*H987</f>
        <v>65.637000000000015</v>
      </c>
      <c r="M987" s="93"/>
      <c r="N987" s="68"/>
      <c r="O987" s="115"/>
      <c r="Q987" s="127"/>
    </row>
    <row r="988" spans="2:17" ht="15" customHeight="1">
      <c r="B988" s="157"/>
      <c r="E988" s="266"/>
      <c r="F988" s="99"/>
      <c r="G988" s="99"/>
      <c r="H988" s="99"/>
      <c r="I988" s="99"/>
      <c r="J988" s="267"/>
      <c r="M988" s="93"/>
      <c r="N988" s="68"/>
      <c r="O988" s="115"/>
      <c r="Q988" s="127"/>
    </row>
    <row r="989" spans="2:17" ht="15" customHeight="1">
      <c r="B989" s="268"/>
      <c r="C989" s="269"/>
      <c r="D989" s="269"/>
      <c r="E989" s="462" t="s">
        <v>221</v>
      </c>
      <c r="F989" s="463"/>
      <c r="G989" s="463"/>
      <c r="H989" s="463"/>
      <c r="I989" s="463"/>
      <c r="J989" s="464"/>
      <c r="K989" s="270"/>
      <c r="L989" s="271"/>
      <c r="M989" s="272"/>
      <c r="N989" s="273"/>
      <c r="O989" s="115"/>
      <c r="Q989" s="127"/>
    </row>
    <row r="990" spans="2:17" ht="15" customHeight="1">
      <c r="B990" s="157"/>
      <c r="E990" s="79"/>
      <c r="H990" s="67"/>
      <c r="J990" s="102"/>
      <c r="M990" s="93"/>
      <c r="N990" s="68"/>
      <c r="O990" s="115"/>
      <c r="Q990" s="127"/>
    </row>
    <row r="991" spans="2:17" ht="15" customHeight="1">
      <c r="B991" s="157"/>
      <c r="E991" s="453" t="s">
        <v>222</v>
      </c>
      <c r="F991" s="454"/>
      <c r="G991" s="454"/>
      <c r="H991" s="454"/>
      <c r="I991" s="454"/>
      <c r="J991" s="455"/>
      <c r="M991" s="93"/>
      <c r="N991" s="68"/>
      <c r="O991" s="115"/>
      <c r="Q991" s="127"/>
    </row>
    <row r="992" spans="2:17" ht="15" customHeight="1">
      <c r="B992" s="157"/>
      <c r="E992" s="266"/>
      <c r="F992" s="99"/>
      <c r="G992" s="99"/>
      <c r="H992" s="99"/>
      <c r="I992" s="99"/>
      <c r="J992" s="267"/>
      <c r="M992" s="93"/>
      <c r="N992" s="68"/>
      <c r="O992" s="115"/>
      <c r="Q992" s="127"/>
    </row>
    <row r="993" spans="2:17" ht="15" customHeight="1">
      <c r="B993" s="157"/>
      <c r="C993" s="26">
        <v>89993</v>
      </c>
      <c r="D993" s="16" t="s">
        <v>8</v>
      </c>
      <c r="E993" s="447" t="str">
        <f>IFERROR(VLOOKUP($C993,'SINAPI JULHO 2018'!$1:$1048576,2,0),IFERROR(VLOOKUP($C993,'5-COMP. PROPRIA'!$B$13:$I$518,4,0),""))</f>
        <v>GRAUTEAMENTO VERTICAL EM ALVENARIA ESTRUTURAL. AF_01/2015</v>
      </c>
      <c r="F993" s="448"/>
      <c r="G993" s="448"/>
      <c r="H993" s="448"/>
      <c r="I993" s="448"/>
      <c r="J993" s="449"/>
      <c r="K993" s="184">
        <f>SUM(K995:K995)</f>
        <v>18.816000000000003</v>
      </c>
      <c r="L993" s="58" t="s">
        <v>65</v>
      </c>
      <c r="M993" s="93"/>
      <c r="N993" s="68"/>
      <c r="O993" s="115"/>
      <c r="Q993" s="127"/>
    </row>
    <row r="994" spans="2:17" ht="15" customHeight="1">
      <c r="B994" s="157"/>
      <c r="E994" s="76" t="s">
        <v>106</v>
      </c>
      <c r="F994" s="17" t="s">
        <v>107</v>
      </c>
      <c r="G994" s="17" t="s">
        <v>108</v>
      </c>
      <c r="H994" s="67" t="s">
        <v>47</v>
      </c>
      <c r="I994" s="99"/>
      <c r="J994" s="267"/>
      <c r="M994" s="93"/>
      <c r="N994" s="68"/>
      <c r="O994" s="115"/>
      <c r="Q994" s="127"/>
    </row>
    <row r="995" spans="2:17" ht="15" customHeight="1">
      <c r="B995" s="157"/>
      <c r="E995" s="118">
        <v>0.4</v>
      </c>
      <c r="F995" s="51">
        <v>0.4</v>
      </c>
      <c r="G995" s="51">
        <v>4.2</v>
      </c>
      <c r="H995" s="51">
        <v>28</v>
      </c>
      <c r="I995" s="99"/>
      <c r="J995" s="267"/>
      <c r="K995" s="70">
        <f>E995*F995*G995*H995</f>
        <v>18.816000000000003</v>
      </c>
      <c r="M995" s="93"/>
      <c r="N995" s="68"/>
      <c r="O995" s="115"/>
      <c r="Q995" s="127"/>
    </row>
    <row r="996" spans="2:17" ht="15" customHeight="1">
      <c r="B996" s="157"/>
      <c r="E996" s="266"/>
      <c r="F996" s="99"/>
      <c r="G996" s="99"/>
      <c r="H996" s="99"/>
      <c r="I996" s="99"/>
      <c r="J996" s="267"/>
      <c r="M996" s="93"/>
      <c r="N996" s="68"/>
      <c r="O996" s="115"/>
      <c r="Q996" s="127"/>
    </row>
    <row r="997" spans="2:17" ht="15">
      <c r="B997" s="157"/>
      <c r="C997" s="26">
        <v>89996</v>
      </c>
      <c r="D997" s="16" t="s">
        <v>8</v>
      </c>
      <c r="E997" s="447" t="str">
        <f>IFERROR(VLOOKUP($C997,'SINAPI JULHO 2018'!$1:$1048576,2,0),IFERROR(VLOOKUP($C997,'5-COMP. PROPRIA'!$B$13:$I$518,4,0),""))</f>
        <v>ARMAÇÃO VERTICAL DE ALVENARIA ESTRUTURAL; DIÂMETRO DE 10,0 MM. AF_01/2015</v>
      </c>
      <c r="F997" s="448"/>
      <c r="G997" s="448"/>
      <c r="H997" s="448"/>
      <c r="I997" s="448"/>
      <c r="J997" s="449"/>
      <c r="K997" s="184">
        <f>K1000</f>
        <v>317.47912000000008</v>
      </c>
      <c r="L997" s="58" t="s">
        <v>92</v>
      </c>
      <c r="M997" s="93"/>
      <c r="N997" s="68"/>
      <c r="O997" s="115"/>
      <c r="Q997" s="127"/>
    </row>
    <row r="998" spans="2:17">
      <c r="B998" s="157"/>
      <c r="E998" s="118"/>
      <c r="H998" s="70" t="s">
        <v>112</v>
      </c>
      <c r="I998" s="69">
        <f>K997/K993</f>
        <v>16.872827380952383</v>
      </c>
      <c r="J998" s="102"/>
      <c r="K998" s="70"/>
      <c r="M998" s="93"/>
      <c r="N998" s="68"/>
      <c r="O998" s="115"/>
      <c r="Q998" s="127"/>
    </row>
    <row r="999" spans="2:17" ht="15" customHeight="1">
      <c r="B999" s="157"/>
      <c r="E999" s="79" t="s">
        <v>93</v>
      </c>
      <c r="F999" s="67" t="s">
        <v>27</v>
      </c>
      <c r="G999" s="67" t="s">
        <v>28</v>
      </c>
      <c r="H999" s="61" t="s">
        <v>95</v>
      </c>
      <c r="I999" s="17" t="s">
        <v>54</v>
      </c>
      <c r="J999" s="102"/>
      <c r="K999" s="70"/>
      <c r="M999" s="93"/>
      <c r="N999" s="68"/>
      <c r="O999" s="115"/>
      <c r="Q999" s="127"/>
    </row>
    <row r="1000" spans="2:17" ht="15" customHeight="1">
      <c r="B1000" s="157"/>
      <c r="E1000" s="101">
        <v>10</v>
      </c>
      <c r="F1000" s="51">
        <f>G995+0.4</f>
        <v>4.6000000000000005</v>
      </c>
      <c r="G1000" s="51">
        <v>4</v>
      </c>
      <c r="H1000" s="51">
        <f>((E1000/1000)*(E1000/1000)*3.14*0.25)*7850</f>
        <v>0.61622500000000013</v>
      </c>
      <c r="I1000" s="51">
        <f>H995</f>
        <v>28</v>
      </c>
      <c r="J1000" s="102"/>
      <c r="K1000" s="70">
        <f>G1000*H1000*F1000*I1000</f>
        <v>317.47912000000008</v>
      </c>
      <c r="M1000" s="93"/>
      <c r="N1000" s="68"/>
      <c r="O1000" s="115"/>
      <c r="Q1000" s="127"/>
    </row>
    <row r="1001" spans="2:17" ht="15" customHeight="1">
      <c r="B1001" s="157"/>
      <c r="E1001" s="266"/>
      <c r="F1001" s="99"/>
      <c r="G1001" s="99"/>
      <c r="H1001" s="99"/>
      <c r="I1001" s="99"/>
      <c r="J1001" s="267"/>
      <c r="M1001" s="93"/>
      <c r="N1001" s="68"/>
      <c r="O1001" s="115"/>
      <c r="Q1001" s="127"/>
    </row>
    <row r="1002" spans="2:17" ht="15" customHeight="1">
      <c r="B1002" s="157"/>
      <c r="E1002" s="453" t="s">
        <v>224</v>
      </c>
      <c r="F1002" s="454"/>
      <c r="G1002" s="454"/>
      <c r="H1002" s="454"/>
      <c r="I1002" s="454"/>
      <c r="J1002" s="455"/>
      <c r="M1002" s="93"/>
      <c r="N1002" s="68"/>
      <c r="O1002" s="115"/>
      <c r="Q1002" s="127"/>
    </row>
    <row r="1003" spans="2:17" ht="15" customHeight="1">
      <c r="B1003" s="157"/>
      <c r="E1003" s="266"/>
      <c r="F1003" s="99"/>
      <c r="G1003" s="99"/>
      <c r="H1003" s="99"/>
      <c r="I1003" s="99"/>
      <c r="J1003" s="267"/>
      <c r="M1003" s="93"/>
      <c r="N1003" s="68"/>
      <c r="O1003" s="115"/>
      <c r="Q1003" s="127"/>
    </row>
    <row r="1004" spans="2:17" ht="15" customHeight="1">
      <c r="B1004" s="157"/>
      <c r="C1004" s="26">
        <v>89994</v>
      </c>
      <c r="D1004" s="16" t="s">
        <v>8</v>
      </c>
      <c r="E1004" s="447" t="str">
        <f>IFERROR(VLOOKUP($C1004,'SINAPI JULHO 2018'!$1:$1048576,2,0),IFERROR(VLOOKUP($C1004,'5-COMP. PROPRIA'!$B$13:$I$518,4,0),""))</f>
        <v>GRAUTEAMENTO DE CINTA INTERMEDIÁRIA OU DE CONTRAVERGA EM ALVENARIA ESTRUTURAL. AF_01/2015</v>
      </c>
      <c r="F1004" s="448"/>
      <c r="G1004" s="448"/>
      <c r="H1004" s="448"/>
      <c r="I1004" s="448"/>
      <c r="J1004" s="449"/>
      <c r="K1004" s="184">
        <f>SUM(K1006:K1006)</f>
        <v>3.3660000000000005</v>
      </c>
      <c r="L1004" s="58" t="s">
        <v>65</v>
      </c>
      <c r="M1004" s="93"/>
      <c r="N1004" s="68"/>
      <c r="O1004" s="115"/>
      <c r="Q1004" s="127"/>
    </row>
    <row r="1005" spans="2:17" ht="15" customHeight="1">
      <c r="B1005" s="157"/>
      <c r="E1005" s="76" t="s">
        <v>106</v>
      </c>
      <c r="F1005" s="17" t="s">
        <v>107</v>
      </c>
      <c r="G1005" s="17" t="s">
        <v>108</v>
      </c>
      <c r="H1005" s="67" t="s">
        <v>47</v>
      </c>
      <c r="I1005" s="99"/>
      <c r="J1005" s="267"/>
      <c r="M1005" s="93"/>
      <c r="N1005" s="68"/>
      <c r="O1005" s="115"/>
      <c r="Q1005" s="127"/>
    </row>
    <row r="1006" spans="2:17" ht="15" customHeight="1">
      <c r="B1006" s="157"/>
      <c r="E1006" s="118">
        <v>84.15</v>
      </c>
      <c r="F1006" s="51">
        <v>0.2</v>
      </c>
      <c r="G1006" s="51">
        <v>0.2</v>
      </c>
      <c r="H1006" s="51">
        <v>1</v>
      </c>
      <c r="I1006" s="99"/>
      <c r="J1006" s="267"/>
      <c r="K1006" s="70">
        <f>E1006*F1006*G1006*H1006</f>
        <v>3.3660000000000005</v>
      </c>
      <c r="M1006" s="93"/>
      <c r="N1006" s="68"/>
      <c r="O1006" s="115"/>
      <c r="Q1006" s="127"/>
    </row>
    <row r="1007" spans="2:17" ht="15" customHeight="1">
      <c r="B1007" s="157"/>
      <c r="E1007" s="266"/>
      <c r="F1007" s="99"/>
      <c r="G1007" s="99"/>
      <c r="H1007" s="99"/>
      <c r="I1007" s="99"/>
      <c r="J1007" s="267"/>
      <c r="M1007" s="93"/>
      <c r="N1007" s="68"/>
      <c r="O1007" s="115"/>
      <c r="Q1007" s="127"/>
    </row>
    <row r="1008" spans="2:17" ht="15" customHeight="1">
      <c r="B1008" s="157"/>
      <c r="C1008" s="26">
        <v>89998</v>
      </c>
      <c r="D1008" s="16" t="s">
        <v>8</v>
      </c>
      <c r="E1008" s="447" t="str">
        <f>IFERROR(VLOOKUP($C1008,'SINAPI JULHO 2018'!$1:$1048576,2,0),IFERROR(VLOOKUP($C1008,'5-COMP. PROPRIA'!$B$13:$I$518,4,0),""))</f>
        <v>ARMAÇÃO DE CINTA DE ALVENARIA ESTRUTURAL; DIÂMETRO DE 10,0 MM. AF_01/2015</v>
      </c>
      <c r="F1008" s="448"/>
      <c r="G1008" s="448"/>
      <c r="H1008" s="448"/>
      <c r="I1008" s="448"/>
      <c r="J1008" s="449"/>
      <c r="K1008" s="184">
        <f>K1011</f>
        <v>103.71066750000003</v>
      </c>
      <c r="L1008" s="58" t="s">
        <v>92</v>
      </c>
      <c r="M1008" s="93"/>
      <c r="N1008" s="68"/>
      <c r="O1008" s="115"/>
      <c r="Q1008" s="127"/>
    </row>
    <row r="1009" spans="2:17" ht="15" customHeight="1">
      <c r="B1009" s="157"/>
      <c r="E1009" s="118"/>
      <c r="H1009" s="70" t="s">
        <v>112</v>
      </c>
      <c r="I1009" s="69">
        <f>K1008/K1004</f>
        <v>30.811250000000005</v>
      </c>
      <c r="J1009" s="102"/>
      <c r="K1009" s="70"/>
      <c r="M1009" s="93"/>
      <c r="N1009" s="68"/>
      <c r="O1009" s="115"/>
      <c r="Q1009" s="127"/>
    </row>
    <row r="1010" spans="2:17" ht="15" customHeight="1">
      <c r="B1010" s="157"/>
      <c r="E1010" s="79" t="s">
        <v>93</v>
      </c>
      <c r="F1010" s="67" t="s">
        <v>27</v>
      </c>
      <c r="G1010" s="67" t="s">
        <v>28</v>
      </c>
      <c r="H1010" s="61" t="s">
        <v>95</v>
      </c>
      <c r="I1010" s="17" t="s">
        <v>54</v>
      </c>
      <c r="J1010" s="102"/>
      <c r="K1010" s="70"/>
      <c r="M1010" s="93"/>
      <c r="N1010" s="68"/>
      <c r="O1010" s="115"/>
      <c r="Q1010" s="127"/>
    </row>
    <row r="1011" spans="2:17" ht="15" customHeight="1">
      <c r="B1011" s="157"/>
      <c r="E1011" s="101">
        <v>10</v>
      </c>
      <c r="F1011" s="51">
        <f>E1006</f>
        <v>84.15</v>
      </c>
      <c r="G1011" s="51">
        <v>2</v>
      </c>
      <c r="H1011" s="51">
        <f>((E1011/1000)*(E1011/1000)*3.14*0.25)*7850</f>
        <v>0.61622500000000013</v>
      </c>
      <c r="I1011" s="51">
        <f>H1006</f>
        <v>1</v>
      </c>
      <c r="J1011" s="102"/>
      <c r="K1011" s="70">
        <f>G1011*H1011*F1011*I1011</f>
        <v>103.71066750000003</v>
      </c>
      <c r="M1011" s="93"/>
      <c r="N1011" s="68"/>
      <c r="O1011" s="115"/>
      <c r="Q1011" s="127"/>
    </row>
    <row r="1012" spans="2:17" ht="15" customHeight="1">
      <c r="B1012" s="157"/>
      <c r="E1012" s="266"/>
      <c r="F1012" s="99"/>
      <c r="G1012" s="99"/>
      <c r="H1012" s="99"/>
      <c r="I1012" s="99"/>
      <c r="J1012" s="267"/>
      <c r="M1012" s="93"/>
      <c r="N1012" s="68"/>
      <c r="O1012" s="115"/>
      <c r="Q1012" s="127"/>
    </row>
    <row r="1013" spans="2:17" ht="15" customHeight="1">
      <c r="B1013" s="157"/>
      <c r="C1013" s="94" t="s">
        <v>225</v>
      </c>
      <c r="D1013" s="16" t="s">
        <v>35</v>
      </c>
      <c r="E1013" s="447" t="str">
        <f>IFERROR(VLOOKUP($C1013,'SINAPI JULHO 2018'!$1:$1048576,2,0),IFERROR(VLOOKUP($C1013,'5-COMP. PROPRIA'!$B$13:$I$518,4,0),""))</f>
        <v>CINTA DE AMARRAÇÃO DE ALVENARIA MOLDADA IN LOCO COM UTILIZAÇÃO DE BLOCOS CANALETA</v>
      </c>
      <c r="F1013" s="448"/>
      <c r="G1013" s="448"/>
      <c r="H1013" s="448"/>
      <c r="I1013" s="448"/>
      <c r="J1013" s="449"/>
      <c r="K1013" s="184">
        <f>E1006</f>
        <v>84.15</v>
      </c>
      <c r="L1013" s="57" t="s">
        <v>172</v>
      </c>
      <c r="M1013" s="93"/>
      <c r="N1013" s="68"/>
      <c r="O1013" s="115"/>
      <c r="Q1013" s="127"/>
    </row>
    <row r="1014" spans="2:17" ht="15" customHeight="1">
      <c r="B1014" s="157"/>
      <c r="E1014" s="266"/>
      <c r="F1014" s="99"/>
      <c r="G1014" s="99"/>
      <c r="H1014" s="99"/>
      <c r="I1014" s="99"/>
      <c r="J1014" s="267"/>
      <c r="M1014" s="93"/>
      <c r="N1014" s="68"/>
      <c r="O1014" s="115"/>
      <c r="Q1014" s="127"/>
    </row>
    <row r="1015" spans="2:17" ht="15" customHeight="1">
      <c r="B1015" s="157"/>
      <c r="E1015" s="453" t="s">
        <v>226</v>
      </c>
      <c r="F1015" s="454"/>
      <c r="G1015" s="454"/>
      <c r="H1015" s="454"/>
      <c r="I1015" s="454"/>
      <c r="J1015" s="455"/>
      <c r="M1015" s="93"/>
      <c r="N1015" s="68"/>
      <c r="O1015" s="115"/>
      <c r="Q1015" s="127"/>
    </row>
    <row r="1016" spans="2:17" ht="15" customHeight="1">
      <c r="B1016" s="157"/>
      <c r="E1016" s="266"/>
      <c r="F1016" s="99"/>
      <c r="G1016" s="99"/>
      <c r="H1016" s="99"/>
      <c r="I1016" s="99"/>
      <c r="J1016" s="267"/>
      <c r="M1016" s="93"/>
      <c r="N1016" s="68"/>
      <c r="O1016" s="115"/>
      <c r="Q1016" s="127"/>
    </row>
    <row r="1017" spans="2:17" ht="15" customHeight="1">
      <c r="B1017" s="157"/>
      <c r="C1017" s="26">
        <v>89995</v>
      </c>
      <c r="D1017" s="16" t="s">
        <v>8</v>
      </c>
      <c r="E1017" s="447" t="str">
        <f>IFERROR(VLOOKUP($C1017,'SINAPI JULHO 2018'!$1:$1048576,2,0),IFERROR(VLOOKUP($C1017,'5-COMP. PROPRIA'!$B$13:$I$518,4,0),""))</f>
        <v>GRAUTEAMENTO DE CINTA SUPERIOR OU DE VERGA EM ALVENARIA ESTRUTURAL. AF_01/2015</v>
      </c>
      <c r="F1017" s="448"/>
      <c r="G1017" s="448"/>
      <c r="H1017" s="448"/>
      <c r="I1017" s="448"/>
      <c r="J1017" s="449"/>
      <c r="K1017" s="184">
        <f>SUM(K1019:K1019)</f>
        <v>3.3660000000000005</v>
      </c>
      <c r="L1017" s="58" t="s">
        <v>65</v>
      </c>
      <c r="M1017" s="93"/>
      <c r="N1017" s="68"/>
      <c r="O1017" s="115"/>
      <c r="Q1017" s="127"/>
    </row>
    <row r="1018" spans="2:17" ht="15" customHeight="1">
      <c r="B1018" s="157"/>
      <c r="E1018" s="76" t="s">
        <v>106</v>
      </c>
      <c r="F1018" s="17" t="s">
        <v>107</v>
      </c>
      <c r="G1018" s="17" t="s">
        <v>108</v>
      </c>
      <c r="H1018" s="67" t="s">
        <v>47</v>
      </c>
      <c r="I1018" s="99"/>
      <c r="J1018" s="267"/>
      <c r="M1018" s="93"/>
      <c r="N1018" s="68"/>
      <c r="O1018" s="115"/>
      <c r="Q1018" s="127"/>
    </row>
    <row r="1019" spans="2:17" ht="15" customHeight="1">
      <c r="B1019" s="157"/>
      <c r="E1019" s="118">
        <v>84.15</v>
      </c>
      <c r="F1019" s="51">
        <v>0.2</v>
      </c>
      <c r="G1019" s="51">
        <v>0.2</v>
      </c>
      <c r="H1019" s="51">
        <v>1</v>
      </c>
      <c r="I1019" s="99"/>
      <c r="J1019" s="267"/>
      <c r="K1019" s="70">
        <f>E1019*F1019*G1019*H1019</f>
        <v>3.3660000000000005</v>
      </c>
      <c r="M1019" s="93"/>
      <c r="N1019" s="68"/>
      <c r="O1019" s="115"/>
      <c r="Q1019" s="127"/>
    </row>
    <row r="1020" spans="2:17" ht="15" customHeight="1">
      <c r="B1020" s="157"/>
      <c r="E1020" s="266"/>
      <c r="F1020" s="99"/>
      <c r="G1020" s="99"/>
      <c r="H1020" s="99"/>
      <c r="I1020" s="99"/>
      <c r="J1020" s="267"/>
      <c r="M1020" s="93"/>
      <c r="N1020" s="68"/>
      <c r="O1020" s="115"/>
      <c r="Q1020" s="127"/>
    </row>
    <row r="1021" spans="2:17" ht="15" customHeight="1">
      <c r="B1021" s="157"/>
      <c r="C1021" s="26">
        <v>89998</v>
      </c>
      <c r="D1021" s="16" t="s">
        <v>8</v>
      </c>
      <c r="E1021" s="447" t="str">
        <f>IFERROR(VLOOKUP($C1021,'SINAPI JULHO 2018'!$1:$1048576,2,0),IFERROR(VLOOKUP($C1021,'5-COMP. PROPRIA'!$B$13:$I$518,4,0),""))</f>
        <v>ARMAÇÃO DE CINTA DE ALVENARIA ESTRUTURAL; DIÂMETRO DE 10,0 MM. AF_01/2015</v>
      </c>
      <c r="F1021" s="448"/>
      <c r="G1021" s="448"/>
      <c r="H1021" s="448"/>
      <c r="I1021" s="448"/>
      <c r="J1021" s="449"/>
      <c r="K1021" s="184">
        <f>K1024</f>
        <v>103.71066750000003</v>
      </c>
      <c r="L1021" s="58" t="s">
        <v>92</v>
      </c>
      <c r="M1021" s="93"/>
      <c r="N1021" s="68"/>
      <c r="O1021" s="115"/>
      <c r="Q1021" s="127"/>
    </row>
    <row r="1022" spans="2:17" ht="15" customHeight="1">
      <c r="B1022" s="157"/>
      <c r="E1022" s="118"/>
      <c r="H1022" s="70" t="s">
        <v>112</v>
      </c>
      <c r="I1022" s="69">
        <f>K1021/K1017</f>
        <v>30.811250000000005</v>
      </c>
      <c r="J1022" s="102"/>
      <c r="K1022" s="70"/>
      <c r="M1022" s="93"/>
      <c r="N1022" s="68"/>
      <c r="O1022" s="115"/>
      <c r="Q1022" s="127"/>
    </row>
    <row r="1023" spans="2:17" ht="15" customHeight="1">
      <c r="B1023" s="157"/>
      <c r="E1023" s="79" t="s">
        <v>93</v>
      </c>
      <c r="F1023" s="67" t="s">
        <v>27</v>
      </c>
      <c r="G1023" s="67" t="s">
        <v>28</v>
      </c>
      <c r="H1023" s="61" t="s">
        <v>95</v>
      </c>
      <c r="I1023" s="17" t="s">
        <v>54</v>
      </c>
      <c r="J1023" s="102"/>
      <c r="K1023" s="70"/>
      <c r="M1023" s="93"/>
      <c r="N1023" s="68"/>
      <c r="O1023" s="115"/>
      <c r="Q1023" s="127"/>
    </row>
    <row r="1024" spans="2:17" ht="15" customHeight="1">
      <c r="B1024" s="157"/>
      <c r="E1024" s="101">
        <v>10</v>
      </c>
      <c r="F1024" s="51">
        <f>E1019</f>
        <v>84.15</v>
      </c>
      <c r="G1024" s="51">
        <v>2</v>
      </c>
      <c r="H1024" s="51">
        <f>((E1024/1000)*(E1024/1000)*3.14*0.25)*7850</f>
        <v>0.61622500000000013</v>
      </c>
      <c r="I1024" s="51">
        <f>H1019</f>
        <v>1</v>
      </c>
      <c r="J1024" s="102"/>
      <c r="K1024" s="70">
        <f>G1024*H1024*F1024*I1024</f>
        <v>103.71066750000003</v>
      </c>
      <c r="M1024" s="93"/>
      <c r="N1024" s="68"/>
      <c r="O1024" s="115"/>
      <c r="Q1024" s="127"/>
    </row>
    <row r="1025" spans="2:17" ht="15" customHeight="1">
      <c r="B1025" s="157"/>
      <c r="E1025" s="266"/>
      <c r="F1025" s="99"/>
      <c r="G1025" s="99"/>
      <c r="H1025" s="99"/>
      <c r="I1025" s="99"/>
      <c r="J1025" s="267"/>
      <c r="M1025" s="93"/>
      <c r="N1025" s="68"/>
      <c r="O1025" s="115"/>
      <c r="Q1025" s="127"/>
    </row>
    <row r="1026" spans="2:17" ht="15" customHeight="1">
      <c r="B1026" s="157"/>
      <c r="C1026" s="94" t="s">
        <v>225</v>
      </c>
      <c r="D1026" s="16" t="s">
        <v>35</v>
      </c>
      <c r="E1026" s="447" t="str">
        <f>IFERROR(VLOOKUP($C1026,'SINAPI JULHO 2018'!$1:$1048576,2,0),IFERROR(VLOOKUP($C1026,'5-COMP. PROPRIA'!$B$13:$I$518,4,0),""))</f>
        <v>CINTA DE AMARRAÇÃO DE ALVENARIA MOLDADA IN LOCO COM UTILIZAÇÃO DE BLOCOS CANALETA</v>
      </c>
      <c r="F1026" s="448"/>
      <c r="G1026" s="448"/>
      <c r="H1026" s="448"/>
      <c r="I1026" s="448"/>
      <c r="J1026" s="449"/>
      <c r="K1026" s="184">
        <f>E1019</f>
        <v>84.15</v>
      </c>
      <c r="L1026" s="57" t="s">
        <v>172</v>
      </c>
      <c r="M1026" s="93"/>
      <c r="N1026" s="68"/>
      <c r="O1026" s="115"/>
      <c r="Q1026" s="127"/>
    </row>
    <row r="1027" spans="2:17" ht="15" customHeight="1">
      <c r="B1027" s="157"/>
      <c r="E1027" s="266"/>
      <c r="F1027" s="99"/>
      <c r="G1027" s="99"/>
      <c r="H1027" s="99"/>
      <c r="I1027" s="99"/>
      <c r="J1027" s="267"/>
      <c r="M1027" s="93"/>
      <c r="N1027" s="68"/>
      <c r="O1027" s="115"/>
      <c r="Q1027" s="127"/>
    </row>
    <row r="1028" spans="2:17" ht="15" customHeight="1">
      <c r="B1028" s="157"/>
      <c r="E1028" s="453" t="s">
        <v>227</v>
      </c>
      <c r="F1028" s="454"/>
      <c r="G1028" s="454"/>
      <c r="H1028" s="454"/>
      <c r="I1028" s="454"/>
      <c r="J1028" s="455"/>
      <c r="M1028" s="93"/>
      <c r="N1028" s="68"/>
      <c r="O1028" s="115"/>
      <c r="Q1028" s="127"/>
    </row>
    <row r="1029" spans="2:17" ht="15" customHeight="1">
      <c r="B1029" s="157"/>
      <c r="E1029" s="266"/>
      <c r="F1029" s="99"/>
      <c r="G1029" s="99"/>
      <c r="H1029" s="99"/>
      <c r="I1029" s="99"/>
      <c r="J1029" s="267"/>
      <c r="M1029" s="93"/>
      <c r="N1029" s="68"/>
      <c r="O1029" s="115"/>
      <c r="Q1029" s="127"/>
    </row>
    <row r="1030" spans="2:17" ht="54" customHeight="1">
      <c r="B1030" s="157"/>
      <c r="C1030" s="26">
        <v>87457</v>
      </c>
      <c r="D1030" s="16" t="s">
        <v>8</v>
      </c>
      <c r="E1030" s="447" t="str">
        <f>IFERROR(VLOOKUP($C1030,'SINAPI JULHO 2018'!$1:$1048576,2,0),IFERROR(VLOOKUP($C1030,'5-COMP. PROPRIA'!$B$13:$I$518,4,0),""))</f>
        <v>ALVENARIA DE VEDAÇÃO DE BLOCOS VAZADOS DE CONCRETO DE 19X19X39CM (ESPESSURA 19CM) DE PAREDES COM ÁREA LÍQUIDA MAIOR OU IGUAL A 6M² SEM VÃOS E ARGAMASSA DE ASSENTAMENTO COM PREPARO EM BETONEIRA. AF_06/2014</v>
      </c>
      <c r="F1030" s="448"/>
      <c r="G1030" s="448"/>
      <c r="H1030" s="448"/>
      <c r="I1030" s="448"/>
      <c r="J1030" s="449"/>
      <c r="K1030" s="184">
        <f>K1032</f>
        <v>319.77</v>
      </c>
      <c r="L1030" s="57" t="s">
        <v>145</v>
      </c>
      <c r="M1030" s="93"/>
      <c r="N1030" s="68"/>
      <c r="O1030" s="115"/>
      <c r="Q1030" s="127"/>
    </row>
    <row r="1031" spans="2:17" ht="15" customHeight="1">
      <c r="B1031" s="157"/>
      <c r="E1031" s="76" t="s">
        <v>106</v>
      </c>
      <c r="F1031" s="17" t="s">
        <v>108</v>
      </c>
      <c r="G1031" s="99"/>
      <c r="H1031" s="99"/>
      <c r="I1031" s="99"/>
      <c r="J1031" s="267"/>
      <c r="M1031" s="93"/>
      <c r="N1031" s="68"/>
      <c r="O1031" s="115"/>
      <c r="Q1031" s="127"/>
    </row>
    <row r="1032" spans="2:17" ht="15" customHeight="1">
      <c r="B1032" s="157"/>
      <c r="E1032" s="266">
        <v>84.15</v>
      </c>
      <c r="F1032" s="99">
        <v>3.8</v>
      </c>
      <c r="G1032" s="99"/>
      <c r="H1032" s="99"/>
      <c r="I1032" s="99"/>
      <c r="J1032" s="267"/>
      <c r="K1032" s="180">
        <f>E1032*F1032</f>
        <v>319.77</v>
      </c>
      <c r="M1032" s="93"/>
      <c r="N1032" s="68"/>
      <c r="O1032" s="115"/>
      <c r="Q1032" s="127"/>
    </row>
    <row r="1033" spans="2:17" ht="15" customHeight="1">
      <c r="B1033" s="157"/>
      <c r="E1033" s="266"/>
      <c r="F1033" s="99"/>
      <c r="G1033" s="99"/>
      <c r="H1033" s="99"/>
      <c r="I1033" s="99"/>
      <c r="J1033" s="267"/>
      <c r="M1033" s="93"/>
      <c r="N1033" s="68"/>
      <c r="O1033" s="115"/>
      <c r="Q1033" s="127"/>
    </row>
    <row r="1034" spans="2:17" ht="45.75" customHeight="1">
      <c r="B1034" s="157"/>
      <c r="C1034" s="26">
        <v>87457</v>
      </c>
      <c r="D1034" s="16" t="s">
        <v>8</v>
      </c>
      <c r="E1034" s="447" t="str">
        <f>IFERROR(VLOOKUP($C1034,'SINAPI JULHO 2018'!$1:$1048576,2,0),IFERROR(VLOOKUP($C1034,'5-COMP. PROPRIA'!$B$13:$I$518,4,0),""))</f>
        <v>ALVENARIA DE VEDAÇÃO DE BLOCOS VAZADOS DE CONCRETO DE 19X19X39CM (ESPESSURA 19CM) DE PAREDES COM ÁREA LÍQUIDA MAIOR OU IGUAL A 6M² SEM VÃOS E ARGAMASSA DE ASSENTAMENTO COM PREPARO EM BETONEIRA. AF_06/2014</v>
      </c>
      <c r="F1034" s="448"/>
      <c r="G1034" s="448"/>
      <c r="H1034" s="448"/>
      <c r="I1034" s="448"/>
      <c r="J1034" s="449"/>
      <c r="K1034" s="184">
        <f>$K1036</f>
        <v>47.040000000000006</v>
      </c>
      <c r="L1034" s="184" t="s">
        <v>145</v>
      </c>
      <c r="M1034" s="184"/>
      <c r="N1034" s="184"/>
      <c r="O1034" s="115"/>
      <c r="Q1034" s="127"/>
    </row>
    <row r="1035" spans="2:17" ht="15" customHeight="1">
      <c r="B1035" s="157"/>
      <c r="E1035" s="76" t="s">
        <v>106</v>
      </c>
      <c r="F1035" s="17" t="s">
        <v>108</v>
      </c>
      <c r="G1035" s="99"/>
      <c r="H1035" s="99"/>
      <c r="I1035" s="99"/>
      <c r="J1035" s="267"/>
      <c r="M1035" s="93"/>
      <c r="N1035" s="68"/>
      <c r="O1035" s="115"/>
      <c r="Q1035" s="127"/>
    </row>
    <row r="1036" spans="2:17" ht="15" customHeight="1">
      <c r="B1036" s="157"/>
      <c r="E1036" s="266">
        <f>28*0.4</f>
        <v>11.200000000000001</v>
      </c>
      <c r="F1036" s="99">
        <v>4.2</v>
      </c>
      <c r="G1036" s="99"/>
      <c r="H1036" s="99"/>
      <c r="I1036" s="99"/>
      <c r="J1036" s="267"/>
      <c r="K1036" s="180">
        <f>E1036*F1036</f>
        <v>47.040000000000006</v>
      </c>
      <c r="M1036" s="93"/>
      <c r="N1036" s="68"/>
      <c r="O1036" s="115"/>
      <c r="Q1036" s="127"/>
    </row>
    <row r="1037" spans="2:17" ht="15" customHeight="1">
      <c r="B1037" s="157"/>
      <c r="E1037" s="266"/>
      <c r="F1037" s="99"/>
      <c r="G1037" s="99"/>
      <c r="H1037" s="99"/>
      <c r="I1037" s="99"/>
      <c r="J1037" s="267"/>
      <c r="M1037" s="93"/>
      <c r="N1037" s="68"/>
      <c r="O1037" s="115"/>
      <c r="Q1037" s="127"/>
    </row>
    <row r="1038" spans="2:17" ht="15" customHeight="1">
      <c r="B1038" s="157"/>
      <c r="C1038" s="16" t="s">
        <v>167</v>
      </c>
      <c r="D1038" s="16" t="s">
        <v>35</v>
      </c>
      <c r="E1038" s="447" t="str">
        <f>IFERROR(VLOOKUP($C1038,'SINAPI JULHO 2018'!$1:$1048576,2,0),IFERROR(VLOOKUP($C1038,'5-COMP. PROPRIA'!$B$13:$I$518,4,0),""))</f>
        <v>LIXAMENTO MANUAL DE CONCRETO APARENTE</v>
      </c>
      <c r="F1038" s="448"/>
      <c r="G1038" s="448"/>
      <c r="H1038" s="448"/>
      <c r="I1038" s="448"/>
      <c r="J1038" s="449"/>
      <c r="K1038" s="184">
        <f>(E1032+E1036)*4.2*2</f>
        <v>800.94</v>
      </c>
      <c r="L1038" s="57" t="s">
        <v>145</v>
      </c>
      <c r="M1038" s="93"/>
      <c r="N1038" s="68"/>
      <c r="O1038" s="115"/>
      <c r="Q1038" s="127"/>
    </row>
    <row r="1039" spans="2:17" ht="15" customHeight="1">
      <c r="B1039" s="157"/>
      <c r="E1039" s="266"/>
      <c r="F1039" s="99"/>
      <c r="G1039" s="99"/>
      <c r="H1039" s="99"/>
      <c r="I1039" s="99"/>
      <c r="J1039" s="267"/>
      <c r="M1039" s="93"/>
      <c r="N1039" s="68"/>
      <c r="O1039" s="115"/>
      <c r="Q1039" s="127"/>
    </row>
    <row r="1040" spans="2:17" ht="33.75" customHeight="1">
      <c r="B1040" s="157"/>
      <c r="C1040" s="26">
        <v>88485</v>
      </c>
      <c r="D1040" s="16" t="s">
        <v>8</v>
      </c>
      <c r="E1040" s="447" t="str">
        <f>IFERROR(VLOOKUP($C1040,'SINAPI JULHO 2018'!$1:$1048576,2,0),IFERROR(VLOOKUP($C1040,'5-COMP. PROPRIA'!$B$13:$I$518,4,0),""))</f>
        <v>APLICAÇÃO DE FUNDO SELADOR ACRÍLICO EM PAREDES, UMA DEMÃO. AF_06/2014</v>
      </c>
      <c r="F1040" s="448"/>
      <c r="G1040" s="448"/>
      <c r="H1040" s="448"/>
      <c r="I1040" s="448"/>
      <c r="J1040" s="449"/>
      <c r="K1040" s="184">
        <f>K1038</f>
        <v>800.94</v>
      </c>
      <c r="L1040" s="57" t="s">
        <v>145</v>
      </c>
      <c r="M1040" s="93"/>
      <c r="N1040" s="68"/>
      <c r="O1040" s="115"/>
      <c r="Q1040" s="127"/>
    </row>
    <row r="1041" spans="1:17" ht="15" customHeight="1">
      <c r="B1041" s="157"/>
      <c r="E1041" s="266"/>
      <c r="F1041" s="99"/>
      <c r="G1041" s="99"/>
      <c r="H1041" s="99"/>
      <c r="I1041" s="99"/>
      <c r="J1041" s="267"/>
      <c r="M1041" s="93"/>
      <c r="N1041" s="68"/>
      <c r="O1041" s="115"/>
      <c r="Q1041" s="127"/>
    </row>
    <row r="1042" spans="1:17" ht="15" customHeight="1">
      <c r="B1042" s="157"/>
      <c r="C1042" s="26">
        <v>88489</v>
      </c>
      <c r="D1042" s="16" t="s">
        <v>8</v>
      </c>
      <c r="E1042" s="447" t="str">
        <f>IFERROR(VLOOKUP($C1042,'SINAPI JULHO 2018'!$1:$1048576,2,0),IFERROR(VLOOKUP($C1042,'5-COMP. PROPRIA'!$B$13:$I$518,4,0),""))</f>
        <v>APLICAÇÃO MANUAL DE PINTURA COM TINTA LÁTEX ACRÍLICA EM PAREDES, DUAS DEMÃOS. AF_06/2014</v>
      </c>
      <c r="F1042" s="448"/>
      <c r="G1042" s="448"/>
      <c r="H1042" s="448"/>
      <c r="I1042" s="448"/>
      <c r="J1042" s="449"/>
      <c r="K1042" s="184">
        <f>($E$1032+$E$1036)*3.2*2</f>
        <v>610.24000000000012</v>
      </c>
      <c r="L1042" s="57" t="s">
        <v>145</v>
      </c>
      <c r="M1042" s="93"/>
      <c r="N1042" s="68"/>
      <c r="O1042" s="115"/>
      <c r="Q1042" s="127"/>
    </row>
    <row r="1043" spans="1:17" ht="15" customHeight="1">
      <c r="B1043" s="157"/>
      <c r="E1043" s="266"/>
      <c r="F1043" s="99"/>
      <c r="G1043" s="99"/>
      <c r="H1043" s="99"/>
      <c r="I1043" s="99"/>
      <c r="J1043" s="267"/>
      <c r="M1043" s="93"/>
      <c r="N1043" s="68"/>
      <c r="O1043" s="115"/>
      <c r="Q1043" s="127"/>
    </row>
    <row r="1044" spans="1:17" ht="15">
      <c r="B1044" s="157"/>
      <c r="C1044" s="16" t="s">
        <v>168</v>
      </c>
      <c r="D1044" s="16" t="s">
        <v>8</v>
      </c>
      <c r="E1044" s="447" t="str">
        <f>IFERROR(VLOOKUP($C1044,'SINAPI JULHO 2018'!$1:$1048576,2,0),IFERROR(VLOOKUP($C1044,'5-COMP. PROPRIA'!$B$13:$I$518,4,0),""))</f>
        <v xml:space="preserve">PINTURA COM TINTA ESMALTE SINTÉTICO </v>
      </c>
      <c r="F1044" s="448"/>
      <c r="G1044" s="448"/>
      <c r="H1044" s="448"/>
      <c r="I1044" s="448"/>
      <c r="J1044" s="449"/>
      <c r="K1044" s="184">
        <f>($E$1032+$E$1036)*1.2*2</f>
        <v>228.84</v>
      </c>
      <c r="L1044" s="57" t="s">
        <v>145</v>
      </c>
      <c r="M1044" s="93"/>
      <c r="N1044" s="68"/>
      <c r="O1044" s="115"/>
      <c r="Q1044" s="127"/>
    </row>
    <row r="1045" spans="1:17" ht="15">
      <c r="B1045" s="157"/>
      <c r="C1045" s="16"/>
      <c r="D1045" s="16"/>
      <c r="E1045" s="276"/>
      <c r="F1045" s="221"/>
      <c r="G1045" s="221"/>
      <c r="H1045" s="221"/>
      <c r="I1045" s="221"/>
      <c r="J1045" s="222"/>
      <c r="K1045" s="184"/>
      <c r="L1045" s="57"/>
      <c r="M1045" s="93"/>
      <c r="N1045" s="68"/>
      <c r="O1045" s="115"/>
      <c r="Q1045" s="127"/>
    </row>
    <row r="1046" spans="1:17" ht="15">
      <c r="B1046" s="157"/>
      <c r="C1046" s="16" t="s">
        <v>236</v>
      </c>
      <c r="D1046" s="16" t="s">
        <v>8</v>
      </c>
      <c r="E1046" s="447" t="str">
        <f>IFERROR(VLOOKUP($C1046,'SINAPI JULHO 2018'!$1:$1048576,2,0),IFERROR(VLOOKUP($C1046,'5-COMP. PROPRIA'!$B$13:$I$518,4,0),""))</f>
        <v xml:space="preserve">PINTURA DE LOGOMARCA  E NOMENCLATURA </v>
      </c>
      <c r="F1046" s="448"/>
      <c r="G1046" s="448"/>
      <c r="H1046" s="448"/>
      <c r="I1046" s="448"/>
      <c r="J1046" s="449"/>
      <c r="K1046" s="184">
        <v>20</v>
      </c>
      <c r="L1046" s="57" t="s">
        <v>145</v>
      </c>
      <c r="M1046" s="93"/>
      <c r="N1046" s="68"/>
      <c r="O1046" s="115"/>
      <c r="Q1046" s="127"/>
    </row>
    <row r="1047" spans="1:17" ht="15">
      <c r="B1047" s="157"/>
      <c r="C1047" s="16"/>
      <c r="D1047" s="16"/>
      <c r="E1047" s="276"/>
      <c r="F1047" s="221"/>
      <c r="G1047" s="221"/>
      <c r="H1047" s="221"/>
      <c r="I1047" s="221"/>
      <c r="J1047" s="222"/>
      <c r="K1047" s="184"/>
      <c r="L1047" s="57"/>
      <c r="M1047" s="93"/>
      <c r="N1047" s="68"/>
      <c r="O1047" s="115"/>
      <c r="Q1047" s="127"/>
    </row>
    <row r="1048" spans="1:17" ht="15">
      <c r="B1048" s="157"/>
      <c r="C1048" s="136" t="str">
        <f>'5-COMP. PROPRIA'!B282</f>
        <v>CP-JUN-01</v>
      </c>
      <c r="D1048" s="16" t="s">
        <v>35</v>
      </c>
      <c r="E1048" s="447" t="str">
        <f>IFERROR(VLOOKUP($C1048,'SINAPI JULHO 2018'!$1:$1048576,2,0),IFERROR(VLOOKUP($C1048,'5-COMP. PROPRIA'!$B$13:$I$518,4,0),""))</f>
        <v xml:space="preserve">JUNTA DE DILATAÇÃO COM SELANTE ELASTICO MONOCOMPONENTE A BASE DE POLIURETANO </v>
      </c>
      <c r="F1048" s="448"/>
      <c r="G1048" s="448"/>
      <c r="H1048" s="448"/>
      <c r="I1048" s="448"/>
      <c r="J1048" s="449"/>
      <c r="K1048" s="184">
        <v>9</v>
      </c>
      <c r="L1048" s="57" t="s">
        <v>145</v>
      </c>
      <c r="M1048" s="93"/>
      <c r="N1048" s="68"/>
      <c r="O1048" s="115"/>
      <c r="Q1048" s="127"/>
    </row>
    <row r="1049" spans="1:17" ht="15" customHeight="1">
      <c r="B1049" s="157"/>
      <c r="E1049" s="266"/>
      <c r="F1049" s="99"/>
      <c r="G1049" s="99"/>
      <c r="H1049" s="99"/>
      <c r="I1049" s="99"/>
      <c r="J1049" s="267"/>
      <c r="M1049" s="93"/>
      <c r="N1049" s="68"/>
      <c r="O1049" s="115"/>
      <c r="Q1049" s="127"/>
    </row>
    <row r="1050" spans="1:17" ht="15" customHeight="1">
      <c r="A1050" s="371"/>
      <c r="B1050" s="372"/>
      <c r="C1050" s="373"/>
      <c r="D1050" s="373"/>
      <c r="E1050" s="497" t="s">
        <v>237</v>
      </c>
      <c r="F1050" s="498"/>
      <c r="G1050" s="498"/>
      <c r="H1050" s="498"/>
      <c r="I1050" s="498"/>
      <c r="J1050" s="499"/>
      <c r="K1050" s="374"/>
      <c r="L1050" s="375"/>
      <c r="M1050" s="376"/>
      <c r="N1050" s="377"/>
      <c r="O1050" s="115"/>
      <c r="Q1050" s="127"/>
    </row>
    <row r="1051" spans="1:17" ht="15" customHeight="1">
      <c r="B1051" s="157"/>
      <c r="E1051" s="266"/>
      <c r="F1051" s="99"/>
      <c r="G1051" s="99"/>
      <c r="H1051" s="99"/>
      <c r="I1051" s="99"/>
      <c r="J1051" s="267"/>
      <c r="M1051" s="93"/>
      <c r="N1051" s="68"/>
      <c r="O1051" s="115"/>
      <c r="Q1051" s="127"/>
    </row>
    <row r="1052" spans="1:17" ht="15" customHeight="1">
      <c r="B1052" s="157"/>
      <c r="E1052" s="453" t="s">
        <v>216</v>
      </c>
      <c r="F1052" s="454"/>
      <c r="G1052" s="454"/>
      <c r="H1052" s="454"/>
      <c r="I1052" s="454"/>
      <c r="J1052" s="455"/>
      <c r="M1052" s="93"/>
      <c r="N1052" s="68"/>
      <c r="O1052" s="115"/>
      <c r="Q1052" s="127"/>
    </row>
    <row r="1053" spans="1:17" ht="15" customHeight="1">
      <c r="B1053" s="157"/>
      <c r="E1053" s="266"/>
      <c r="F1053" s="99"/>
      <c r="G1053" s="99"/>
      <c r="H1053" s="99"/>
      <c r="I1053" s="99"/>
      <c r="J1053" s="267"/>
      <c r="M1053" s="93"/>
      <c r="N1053" s="68"/>
      <c r="O1053" s="115"/>
      <c r="Q1053" s="127"/>
    </row>
    <row r="1054" spans="1:17" ht="15">
      <c r="B1054" s="157"/>
      <c r="C1054" s="94" t="s">
        <v>233</v>
      </c>
      <c r="D1054" s="16" t="s">
        <v>35</v>
      </c>
      <c r="E1054" s="447" t="str">
        <f>IFERROR(VLOOKUP($C1054,'SINAPI JULHO 2018'!$1:$1048576,2,0),IFERROR(VLOOKUP($C1054,'5-COMP. PROPRIA'!$B$13:$I$518,4,0),""))</f>
        <v>ESCAVAÇÃO MECANICA DE ESTACA 40 X 40 CM , PROFUNDIDADE DE 1,5 M DE COMPRIMENTO</v>
      </c>
      <c r="F1054" s="448"/>
      <c r="G1054" s="448"/>
      <c r="H1054" s="448"/>
      <c r="I1054" s="448"/>
      <c r="J1054" s="449"/>
      <c r="K1054" s="184">
        <f>SUM(K1056:K1056)</f>
        <v>9</v>
      </c>
      <c r="L1054" s="58" t="s">
        <v>63</v>
      </c>
      <c r="M1054" s="99">
        <f>K1054*(0.4*0.4)</f>
        <v>1.4400000000000004</v>
      </c>
      <c r="N1054" s="58" t="s">
        <v>65</v>
      </c>
      <c r="O1054" s="115"/>
      <c r="Q1054" s="127"/>
    </row>
    <row r="1055" spans="1:17" ht="15" customHeight="1">
      <c r="B1055" s="157"/>
      <c r="E1055" s="76" t="s">
        <v>88</v>
      </c>
      <c r="F1055" s="51" t="s">
        <v>89</v>
      </c>
      <c r="J1055" s="102"/>
      <c r="K1055" s="187"/>
      <c r="L1055" s="3"/>
      <c r="M1055" s="3"/>
      <c r="N1055" s="104"/>
      <c r="O1055" s="115"/>
      <c r="Q1055" s="127"/>
    </row>
    <row r="1056" spans="1:17" ht="15" customHeight="1">
      <c r="B1056" s="157"/>
      <c r="C1056" s="16"/>
      <c r="D1056" s="16"/>
      <c r="E1056" s="111">
        <v>6</v>
      </c>
      <c r="F1056" s="105">
        <v>1.5</v>
      </c>
      <c r="J1056" s="102"/>
      <c r="K1056" s="70">
        <f>E1056*F1056</f>
        <v>9</v>
      </c>
      <c r="N1056" s="104"/>
      <c r="O1056" s="115"/>
      <c r="Q1056" s="127"/>
    </row>
    <row r="1057" spans="2:17" ht="15" customHeight="1">
      <c r="B1057" s="157"/>
      <c r="C1057" s="16"/>
      <c r="D1057" s="16"/>
      <c r="E1057" s="112"/>
      <c r="J1057" s="102"/>
      <c r="K1057" s="70"/>
      <c r="N1057" s="104"/>
      <c r="O1057" s="115"/>
      <c r="Q1057" s="127"/>
    </row>
    <row r="1058" spans="2:17" ht="39.75" customHeight="1">
      <c r="B1058" s="157" t="s">
        <v>91</v>
      </c>
      <c r="C1058" s="26">
        <v>92759</v>
      </c>
      <c r="D1058" s="26" t="s">
        <v>8</v>
      </c>
      <c r="E1058" s="447" t="str">
        <f>IFERROR(VLOOKUP($C1058,'SINAPI JULHO 2018'!$1:$1048576,2,0),IFERROR(VLOOKUP($C1058,'5-COMP. PROPRIA'!$B$13:$I$518,4,0),""))</f>
        <v>ARMAÇÃO DE PILAR OU VIGA DE UMA ESTRUTURA CONVENCIONAL DE CONCRETO ARMADO EM UM EDIFÍCIO DE MÚLTIPLOS PAVIMENTOS UTILIZANDO AÇO CA-60 DE 5,0 MM - MONTAGEM. AF_12/2015</v>
      </c>
      <c r="F1058" s="448"/>
      <c r="G1058" s="448"/>
      <c r="H1058" s="448"/>
      <c r="I1058" s="448"/>
      <c r="J1058" s="449"/>
      <c r="K1058" s="184">
        <f>SUM(K1059:K1060)</f>
        <v>9.4282425000000014</v>
      </c>
      <c r="L1058" s="58" t="s">
        <v>92</v>
      </c>
      <c r="M1058" s="184"/>
      <c r="N1058" s="107"/>
      <c r="O1058" s="115"/>
      <c r="Q1058" s="127"/>
    </row>
    <row r="1059" spans="2:17" ht="15" customHeight="1">
      <c r="B1059" s="157"/>
      <c r="E1059" s="79" t="s">
        <v>93</v>
      </c>
      <c r="F1059" s="67" t="s">
        <v>27</v>
      </c>
      <c r="G1059" s="67" t="s">
        <v>94</v>
      </c>
      <c r="H1059" s="61" t="s">
        <v>95</v>
      </c>
      <c r="I1059" s="67" t="s">
        <v>124</v>
      </c>
      <c r="J1059" s="102">
        <f>K1058/K1067</f>
        <v>6.5473906249999994</v>
      </c>
      <c r="K1059" s="70"/>
      <c r="N1059" s="104"/>
      <c r="O1059" s="115"/>
      <c r="Q1059" s="127"/>
    </row>
    <row r="1060" spans="2:17" ht="15" customHeight="1">
      <c r="B1060" s="157"/>
      <c r="E1060" s="101">
        <v>5</v>
      </c>
      <c r="F1060" s="51">
        <f>(0.4-0.06)*4</f>
        <v>1.36</v>
      </c>
      <c r="G1060" s="51">
        <f>K1054/0.2</f>
        <v>45</v>
      </c>
      <c r="H1060" s="51">
        <f>((E1060/1000)*(E1060/1000)*3.14*0.25)*7850</f>
        <v>0.15405625000000003</v>
      </c>
      <c r="J1060" s="102"/>
      <c r="K1060" s="70">
        <f>G1060*H1060*F1060</f>
        <v>9.4282425000000014</v>
      </c>
      <c r="N1060" s="104"/>
      <c r="O1060" s="115"/>
      <c r="Q1060" s="127"/>
    </row>
    <row r="1061" spans="2:17" ht="15" customHeight="1">
      <c r="B1061" s="157"/>
      <c r="E1061" s="118"/>
      <c r="J1061" s="102"/>
      <c r="K1061" s="183"/>
      <c r="N1061" s="104"/>
      <c r="O1061" s="115"/>
      <c r="Q1061" s="127"/>
    </row>
    <row r="1062" spans="2:17" ht="44.25" customHeight="1">
      <c r="B1062" s="157"/>
      <c r="C1062" s="26">
        <v>92762</v>
      </c>
      <c r="D1062" s="26" t="s">
        <v>8</v>
      </c>
      <c r="E1062" s="447" t="str">
        <f>IFERROR(VLOOKUP($C1062,'SINAPI JULHO 2018'!$1:$1048576,2,0),IFERROR(VLOOKUP($C1062,'5-COMP. PROPRIA'!$B$13:$I$518,4,0),""))</f>
        <v>ARMAÇÃO DE PILAR OU VIGA DE UMA ESTRUTURA CONVENCIONAL DE CONCRETO ARMADO EM UM EDIFÍCIO DE MÚLTIPLOS PAVIMENTOS UTILIZANDO AÇO CA-50 DE 10,0 MM - MONTAGEM. AF_12/2015</v>
      </c>
      <c r="F1062" s="448"/>
      <c r="G1062" s="448"/>
      <c r="H1062" s="448"/>
      <c r="I1062" s="448"/>
      <c r="J1062" s="449"/>
      <c r="K1062" s="184">
        <f>SUM(K1065:K1065)</f>
        <v>26.620920000000009</v>
      </c>
      <c r="L1062" s="58" t="s">
        <v>92</v>
      </c>
      <c r="N1062" s="104"/>
      <c r="O1062" s="115"/>
      <c r="Q1062" s="127"/>
    </row>
    <row r="1063" spans="2:17" ht="15" customHeight="1">
      <c r="B1063" s="157"/>
      <c r="E1063" s="118"/>
      <c r="H1063" s="51" t="s">
        <v>96</v>
      </c>
      <c r="I1063" s="51">
        <f>K1062/K1067</f>
        <v>18.486750000000001</v>
      </c>
      <c r="J1063" s="102"/>
      <c r="N1063" s="104"/>
      <c r="O1063" s="115"/>
      <c r="Q1063" s="127"/>
    </row>
    <row r="1064" spans="2:17" ht="15" customHeight="1">
      <c r="B1064" s="157"/>
      <c r="E1064" s="79" t="s">
        <v>93</v>
      </c>
      <c r="F1064" s="67" t="s">
        <v>27</v>
      </c>
      <c r="G1064" s="67" t="s">
        <v>94</v>
      </c>
      <c r="H1064" s="61" t="s">
        <v>95</v>
      </c>
      <c r="I1064" s="61"/>
      <c r="J1064" s="102"/>
      <c r="K1064" s="70"/>
      <c r="N1064" s="104"/>
      <c r="O1064" s="115"/>
      <c r="Q1064" s="127"/>
    </row>
    <row r="1065" spans="2:17" ht="15" customHeight="1">
      <c r="B1065" s="157"/>
      <c r="E1065" s="101">
        <v>10</v>
      </c>
      <c r="F1065" s="51">
        <f>F1056+0.3</f>
        <v>1.8</v>
      </c>
      <c r="G1065" s="51">
        <f>E1056*4</f>
        <v>24</v>
      </c>
      <c r="H1065" s="51">
        <f>((E1065/1000)*(E1065/1000)*3.14*0.25)*7850</f>
        <v>0.61622500000000013</v>
      </c>
      <c r="J1065" s="102"/>
      <c r="K1065" s="70">
        <f>G1065*H1065*F1065</f>
        <v>26.620920000000009</v>
      </c>
      <c r="N1065" s="104"/>
      <c r="O1065" s="115"/>
      <c r="Q1065" s="127"/>
    </row>
    <row r="1066" spans="2:17" ht="15" customHeight="1">
      <c r="B1066" s="157"/>
      <c r="C1066" s="188"/>
      <c r="D1066" s="188"/>
      <c r="E1066" s="277"/>
      <c r="F1066" s="278"/>
      <c r="G1066" s="278"/>
      <c r="H1066" s="278"/>
      <c r="I1066" s="278"/>
      <c r="J1066" s="279"/>
      <c r="K1066" s="262"/>
      <c r="L1066" s="263"/>
      <c r="M1066" s="301"/>
      <c r="N1066" s="68"/>
      <c r="O1066" s="115"/>
      <c r="Q1066" s="127"/>
    </row>
    <row r="1067" spans="2:17" ht="40.5" customHeight="1">
      <c r="B1067" s="157"/>
      <c r="C1067" s="26">
        <v>94965</v>
      </c>
      <c r="D1067" s="16" t="s">
        <v>8</v>
      </c>
      <c r="E1067" s="447" t="str">
        <f>IFERROR(VLOOKUP($C1067,'SINAPI JULHO 2018'!$1:$1048576,2,0),IFERROR(VLOOKUP($C1067,'5-COMP. PROPRIA'!$B$13:$I$518,4,0),""))</f>
        <v>CONCRETO FCK = 25MPA, TRAÇO 1:2,3:2,7 (CIMENTO/ AREIA MÉDIA/ BRITA 1)  - PREPARO MECÂNICO COM BETONEIRA 400 L. AF_07/2016</v>
      </c>
      <c r="F1067" s="448"/>
      <c r="G1067" s="448"/>
      <c r="H1067" s="448"/>
      <c r="I1067" s="448"/>
      <c r="J1067" s="449"/>
      <c r="K1067" s="184">
        <f>K1069</f>
        <v>1.4400000000000004</v>
      </c>
      <c r="L1067" s="58" t="s">
        <v>65</v>
      </c>
      <c r="M1067" s="301"/>
      <c r="N1067" s="68"/>
      <c r="O1067" s="115"/>
      <c r="Q1067" s="127"/>
    </row>
    <row r="1068" spans="2:17" ht="15" customHeight="1">
      <c r="B1068" s="157"/>
      <c r="E1068" s="76" t="s">
        <v>218</v>
      </c>
      <c r="F1068" s="17" t="s">
        <v>4</v>
      </c>
      <c r="G1068" s="17"/>
      <c r="H1068" s="67"/>
      <c r="I1068" s="221"/>
      <c r="J1068" s="222"/>
      <c r="K1068" s="183"/>
      <c r="M1068" s="301"/>
      <c r="N1068" s="68"/>
      <c r="O1068" s="115"/>
      <c r="Q1068" s="127"/>
    </row>
    <row r="1069" spans="2:17" ht="15" customHeight="1">
      <c r="B1069" s="157"/>
      <c r="E1069" s="111">
        <f>0.4*0.4*F1056</f>
        <v>0.24000000000000005</v>
      </c>
      <c r="F1069" s="74">
        <f>E1056</f>
        <v>6</v>
      </c>
      <c r="G1069" s="278"/>
      <c r="H1069" s="278"/>
      <c r="J1069" s="102"/>
      <c r="K1069" s="70">
        <f>E1069*F1069</f>
        <v>1.4400000000000004</v>
      </c>
      <c r="M1069" s="301"/>
      <c r="N1069" s="68"/>
      <c r="O1069" s="115"/>
      <c r="Q1069" s="127"/>
    </row>
    <row r="1070" spans="2:17" ht="15" customHeight="1">
      <c r="B1070" s="157"/>
      <c r="E1070" s="112"/>
      <c r="F1070" s="17"/>
      <c r="G1070" s="278"/>
      <c r="H1070" s="278"/>
      <c r="J1070" s="102"/>
      <c r="K1070" s="70"/>
      <c r="M1070" s="301"/>
      <c r="N1070" s="68"/>
      <c r="O1070" s="115"/>
      <c r="Q1070" s="127"/>
    </row>
    <row r="1071" spans="2:17" ht="15" customHeight="1">
      <c r="B1071" s="157"/>
      <c r="C1071" s="16" t="s">
        <v>111</v>
      </c>
      <c r="D1071" s="16" t="s">
        <v>8</v>
      </c>
      <c r="E1071" s="447" t="str">
        <f>IFERROR(VLOOKUP($C1071,'SINAPI JULHO 2018'!$1:$1048576,2,0),IFERROR(VLOOKUP($C1071,'5-COMP. PROPRIA'!$B$13:$I$518,4,0),""))</f>
        <v>LANCAMENTO/APLICACAO MANUAL DE CONCRETO EM FUNDACOES</v>
      </c>
      <c r="F1071" s="448"/>
      <c r="G1071" s="448"/>
      <c r="H1071" s="448"/>
      <c r="I1071" s="448"/>
      <c r="J1071" s="449"/>
      <c r="K1071" s="184">
        <f>K1067</f>
        <v>1.4400000000000004</v>
      </c>
      <c r="L1071" s="58" t="s">
        <v>65</v>
      </c>
      <c r="M1071" s="301"/>
      <c r="N1071" s="68"/>
      <c r="O1071" s="115"/>
      <c r="Q1071" s="127"/>
    </row>
    <row r="1072" spans="2:17" ht="15" customHeight="1">
      <c r="B1072" s="157"/>
      <c r="E1072" s="266"/>
      <c r="F1072" s="99"/>
      <c r="G1072" s="99"/>
      <c r="H1072" s="99"/>
      <c r="I1072" s="99"/>
      <c r="J1072" s="267"/>
      <c r="M1072" s="93"/>
      <c r="N1072" s="68"/>
      <c r="O1072" s="115"/>
      <c r="Q1072" s="127"/>
    </row>
    <row r="1073" spans="2:17" ht="15" customHeight="1">
      <c r="B1073" s="157"/>
      <c r="C1073" s="91"/>
      <c r="D1073" s="91"/>
      <c r="E1073" s="453" t="s">
        <v>103</v>
      </c>
      <c r="F1073" s="454"/>
      <c r="G1073" s="454"/>
      <c r="H1073" s="454"/>
      <c r="I1073" s="454"/>
      <c r="J1073" s="455"/>
      <c r="K1073" s="183"/>
      <c r="L1073" s="56"/>
      <c r="M1073" s="93"/>
      <c r="N1073" s="68"/>
      <c r="O1073" s="115"/>
      <c r="Q1073" s="127"/>
    </row>
    <row r="1074" spans="2:17" ht="15" customHeight="1">
      <c r="B1074" s="157"/>
      <c r="C1074" s="91"/>
      <c r="D1074" s="91"/>
      <c r="E1074" s="266"/>
      <c r="F1074" s="99"/>
      <c r="G1074" s="99"/>
      <c r="H1074" s="123"/>
      <c r="J1074" s="117"/>
      <c r="K1074" s="183"/>
      <c r="L1074" s="56"/>
      <c r="M1074" s="93"/>
      <c r="N1074" s="68"/>
      <c r="O1074" s="115"/>
      <c r="Q1074" s="127"/>
    </row>
    <row r="1075" spans="2:17" ht="19.5" customHeight="1">
      <c r="B1075" s="157"/>
      <c r="C1075" s="26">
        <v>96527</v>
      </c>
      <c r="D1075" s="16" t="s">
        <v>8</v>
      </c>
      <c r="E1075" s="447" t="str">
        <f>IFERROR(VLOOKUP($C1075,'SINAPI JULHO 2018'!$1:$1048576,2,0),IFERROR(VLOOKUP($C1075,'5-COMP. PROPRIA'!$B$13:$I$518,4,0),""))</f>
        <v>ESCAVAÇÃO MANUAL DE VALA PARA VIGA BALDRAME, COM PREVISÃO DE FÔRMA. AF_06/2017</v>
      </c>
      <c r="F1075" s="448"/>
      <c r="G1075" s="448"/>
      <c r="H1075" s="448"/>
      <c r="I1075" s="448"/>
      <c r="J1075" s="449"/>
      <c r="K1075" s="184">
        <f>SUM(K1077:K1077)*1.3</f>
        <v>4.4300750000000004</v>
      </c>
      <c r="L1075" s="58" t="s">
        <v>65</v>
      </c>
      <c r="M1075" s="93"/>
      <c r="N1075" s="68"/>
      <c r="O1075" s="115"/>
      <c r="Q1075" s="127"/>
    </row>
    <row r="1076" spans="2:17" ht="15" customHeight="1">
      <c r="B1076" s="157"/>
      <c r="E1076" s="76" t="s">
        <v>106</v>
      </c>
      <c r="F1076" s="17" t="s">
        <v>107</v>
      </c>
      <c r="G1076" s="17" t="s">
        <v>108</v>
      </c>
      <c r="H1076" s="67" t="s">
        <v>47</v>
      </c>
      <c r="I1076" s="221"/>
      <c r="J1076" s="222"/>
      <c r="K1076" s="186"/>
      <c r="M1076" s="93"/>
      <c r="N1076" s="68"/>
      <c r="O1076" s="115"/>
      <c r="Q1076" s="127"/>
    </row>
    <row r="1077" spans="2:17" ht="15" customHeight="1">
      <c r="B1077" s="157"/>
      <c r="E1077" s="105">
        <f>E1085</f>
        <v>15.85</v>
      </c>
      <c r="F1077" s="105">
        <f>F1085+0.3</f>
        <v>0.5</v>
      </c>
      <c r="G1077" s="105">
        <f>G1085+0.03</f>
        <v>0.43000000000000005</v>
      </c>
      <c r="H1077" s="105">
        <v>1</v>
      </c>
      <c r="J1077" s="102"/>
      <c r="K1077" s="70">
        <f>E1077*F1077*G1077*H1077</f>
        <v>3.4077500000000005</v>
      </c>
      <c r="M1077" s="93"/>
      <c r="N1077" s="68"/>
      <c r="O1077" s="115"/>
      <c r="Q1077" s="127"/>
    </row>
    <row r="1078" spans="2:17" ht="15" customHeight="1">
      <c r="B1078" s="157"/>
      <c r="E1078" s="118"/>
      <c r="J1078" s="102"/>
      <c r="K1078" s="183"/>
      <c r="M1078" s="93"/>
      <c r="N1078" s="68"/>
      <c r="O1078" s="115"/>
      <c r="Q1078" s="127"/>
    </row>
    <row r="1079" spans="2:17" ht="27" customHeight="1">
      <c r="B1079" s="157"/>
      <c r="C1079" s="26">
        <v>96617</v>
      </c>
      <c r="D1079" s="16" t="s">
        <v>8</v>
      </c>
      <c r="E1079" s="447" t="str">
        <f>IFERROR(VLOOKUP($C1079,'SINAPI JULHO 2018'!$1:$1048576,2,0),IFERROR(VLOOKUP($C1079,'5-COMP. PROPRIA'!$B$13:$I$518,4,0),""))</f>
        <v>LASTRO DE CONCRETO MAGRO, APLICADO EM BLOCOS DE COROAMENTO OU SAPATAS, ESPESSURA DE 3 CM. AF_08/2017</v>
      </c>
      <c r="F1079" s="448"/>
      <c r="G1079" s="448"/>
      <c r="H1079" s="448"/>
      <c r="I1079" s="448"/>
      <c r="J1079" s="449"/>
      <c r="K1079" s="184">
        <f>SUM(K1081:K1081)</f>
        <v>3.17</v>
      </c>
      <c r="L1079" s="57" t="s">
        <v>25</v>
      </c>
      <c r="M1079" s="52">
        <f>K1079*0.03</f>
        <v>9.509999999999999E-2</v>
      </c>
      <c r="N1079" s="68"/>
      <c r="O1079" s="115"/>
      <c r="Q1079" s="127"/>
    </row>
    <row r="1080" spans="2:17" ht="15" customHeight="1">
      <c r="B1080" s="157"/>
      <c r="E1080" s="76" t="s">
        <v>106</v>
      </c>
      <c r="F1080" s="17" t="s">
        <v>107</v>
      </c>
      <c r="H1080" s="67" t="s">
        <v>47</v>
      </c>
      <c r="J1080" s="102"/>
      <c r="N1080" s="68"/>
      <c r="O1080" s="115"/>
      <c r="Q1080" s="127"/>
    </row>
    <row r="1081" spans="2:17" ht="15" customHeight="1">
      <c r="B1081" s="157"/>
      <c r="E1081" s="105">
        <f>E1077</f>
        <v>15.85</v>
      </c>
      <c r="F1081" s="105">
        <f>F1085</f>
        <v>0.2</v>
      </c>
      <c r="H1081" s="105">
        <f>H1077</f>
        <v>1</v>
      </c>
      <c r="J1081" s="102"/>
      <c r="K1081" s="70">
        <f>H1081*F1081*E1081</f>
        <v>3.17</v>
      </c>
      <c r="N1081" s="68"/>
      <c r="O1081" s="115"/>
      <c r="Q1081" s="127"/>
    </row>
    <row r="1082" spans="2:17" ht="15" customHeight="1">
      <c r="B1082" s="157"/>
      <c r="E1082" s="118"/>
      <c r="J1082" s="102"/>
      <c r="K1082" s="183"/>
      <c r="M1082" s="93"/>
      <c r="N1082" s="68"/>
      <c r="O1082" s="115"/>
      <c r="Q1082" s="127"/>
    </row>
    <row r="1083" spans="2:17" ht="33" customHeight="1">
      <c r="B1083" s="157"/>
      <c r="C1083" s="26">
        <v>94965</v>
      </c>
      <c r="D1083" s="16" t="s">
        <v>8</v>
      </c>
      <c r="E1083" s="447" t="str">
        <f>IFERROR(VLOOKUP($C1083,'SINAPI JULHO 2018'!$1:$1048576,2,0),IFERROR(VLOOKUP($C1083,'5-COMP. PROPRIA'!$B$13:$I$518,4,0),""))</f>
        <v>CONCRETO FCK = 25MPA, TRAÇO 1:2,3:2,7 (CIMENTO/ AREIA MÉDIA/ BRITA 1)  - PREPARO MECÂNICO COM BETONEIRA 400 L. AF_07/2016</v>
      </c>
      <c r="F1083" s="448"/>
      <c r="G1083" s="448"/>
      <c r="H1083" s="448"/>
      <c r="I1083" s="448"/>
      <c r="J1083" s="449"/>
      <c r="K1083" s="184">
        <f>SUM(K1085:K1085)</f>
        <v>1.268</v>
      </c>
      <c r="L1083" s="58" t="s">
        <v>65</v>
      </c>
      <c r="M1083" s="93"/>
      <c r="N1083" s="68"/>
      <c r="O1083" s="115"/>
      <c r="Q1083" s="127"/>
    </row>
    <row r="1084" spans="2:17" ht="15" customHeight="1">
      <c r="B1084" s="157"/>
      <c r="E1084" s="76" t="s">
        <v>106</v>
      </c>
      <c r="F1084" s="17" t="s">
        <v>107</v>
      </c>
      <c r="G1084" s="17" t="s">
        <v>108</v>
      </c>
      <c r="H1084" s="67" t="s">
        <v>47</v>
      </c>
      <c r="I1084" s="221"/>
      <c r="J1084" s="222"/>
      <c r="K1084" s="183"/>
      <c r="M1084" s="93"/>
      <c r="N1084" s="68"/>
      <c r="O1084" s="115"/>
      <c r="Q1084" s="127"/>
    </row>
    <row r="1085" spans="2:17" ht="15" customHeight="1">
      <c r="B1085" s="157"/>
      <c r="E1085" s="111">
        <v>15.85</v>
      </c>
      <c r="F1085" s="74">
        <v>0.2</v>
      </c>
      <c r="G1085" s="74">
        <v>0.4</v>
      </c>
      <c r="H1085" s="74">
        <v>1</v>
      </c>
      <c r="J1085" s="102"/>
      <c r="K1085" s="70">
        <f>E1085*F1085*G1085*H1085</f>
        <v>1.268</v>
      </c>
      <c r="M1085" s="93"/>
      <c r="N1085" s="68"/>
      <c r="O1085" s="115"/>
      <c r="Q1085" s="127"/>
    </row>
    <row r="1086" spans="2:17" ht="15" customHeight="1">
      <c r="B1086" s="157"/>
      <c r="E1086" s="112"/>
      <c r="J1086" s="102"/>
      <c r="K1086" s="183"/>
      <c r="M1086" s="93"/>
      <c r="N1086" s="68"/>
      <c r="O1086" s="115"/>
      <c r="Q1086" s="127"/>
    </row>
    <row r="1087" spans="2:17" ht="15" customHeight="1">
      <c r="B1087" s="157"/>
      <c r="C1087" s="26" t="s">
        <v>111</v>
      </c>
      <c r="D1087" s="16" t="s">
        <v>8</v>
      </c>
      <c r="E1087" s="447" t="str">
        <f>IFERROR(VLOOKUP($C1087,'SINAPI JULHO 2018'!$1:$1048576,2,0),IFERROR(VLOOKUP($C1087,'5-COMP. PROPRIA'!$B$13:$I$518,4,0),""))</f>
        <v>LANCAMENTO/APLICACAO MANUAL DE CONCRETO EM FUNDACOES</v>
      </c>
      <c r="F1087" s="448"/>
      <c r="G1087" s="448"/>
      <c r="H1087" s="448"/>
      <c r="I1087" s="448"/>
      <c r="J1087" s="449"/>
      <c r="K1087" s="184">
        <f>K1083</f>
        <v>1.268</v>
      </c>
      <c r="L1087" s="58" t="s">
        <v>65</v>
      </c>
      <c r="M1087" s="93"/>
      <c r="N1087" s="68"/>
      <c r="O1087" s="115"/>
      <c r="Q1087" s="127"/>
    </row>
    <row r="1088" spans="2:17" ht="15" customHeight="1">
      <c r="B1088" s="157"/>
      <c r="E1088" s="118"/>
      <c r="J1088" s="102"/>
      <c r="M1088" s="93"/>
      <c r="N1088" s="68"/>
      <c r="O1088" s="115"/>
      <c r="Q1088" s="127"/>
    </row>
    <row r="1089" spans="2:17" ht="34.5" customHeight="1">
      <c r="B1089" s="157" t="s">
        <v>219</v>
      </c>
      <c r="C1089" s="26">
        <v>96543</v>
      </c>
      <c r="D1089" s="16" t="s">
        <v>8</v>
      </c>
      <c r="E1089" s="447" t="str">
        <f>IFERROR(VLOOKUP($C1089,'SINAPI JULHO 2018'!$1:$1048576,2,0),IFERROR(VLOOKUP($C1089,'5-COMP. PROPRIA'!$B$13:$I$518,4,0),""))</f>
        <v>ARMAÇÃO DE BLOCO, VIGA BALDRAME E SAPATA UTILIZANDO AÇO CA-60 DE 5 MM - MONTAGEM. AF_06/2017</v>
      </c>
      <c r="F1089" s="448"/>
      <c r="G1089" s="448"/>
      <c r="H1089" s="448"/>
      <c r="I1089" s="448"/>
      <c r="J1089" s="449"/>
      <c r="K1089" s="184">
        <f>SUM(K1092:K1092)</f>
        <v>21.56915880208334</v>
      </c>
      <c r="L1089" s="58" t="s">
        <v>92</v>
      </c>
      <c r="M1089" s="52"/>
      <c r="N1089" s="68"/>
      <c r="O1089" s="115"/>
      <c r="Q1089" s="127"/>
    </row>
    <row r="1090" spans="2:17" ht="15" customHeight="1">
      <c r="B1090" s="157"/>
      <c r="E1090" s="118"/>
      <c r="H1090" s="70" t="s">
        <v>112</v>
      </c>
      <c r="I1090" s="69">
        <f>K1089/K1083</f>
        <v>17.010377604166671</v>
      </c>
      <c r="J1090" s="102"/>
      <c r="K1090" s="70"/>
      <c r="M1090" s="93"/>
      <c r="N1090" s="68"/>
      <c r="O1090" s="115"/>
      <c r="Q1090" s="127"/>
    </row>
    <row r="1091" spans="2:17" ht="15" customHeight="1">
      <c r="B1091" s="157"/>
      <c r="E1091" s="79" t="s">
        <v>93</v>
      </c>
      <c r="F1091" s="67" t="s">
        <v>27</v>
      </c>
      <c r="G1091" s="67" t="s">
        <v>94</v>
      </c>
      <c r="H1091" s="61" t="s">
        <v>95</v>
      </c>
      <c r="I1091" s="17" t="s">
        <v>54</v>
      </c>
      <c r="J1091" s="102"/>
      <c r="K1091" s="70"/>
      <c r="M1091" s="93"/>
      <c r="N1091" s="68"/>
      <c r="O1091" s="115"/>
      <c r="Q1091" s="127"/>
    </row>
    <row r="1092" spans="2:17" ht="15" customHeight="1">
      <c r="B1092" s="157"/>
      <c r="E1092" s="101">
        <v>5</v>
      </c>
      <c r="F1092" s="51">
        <f>(F1085-0.06)*2+(G1085-0.06)*2+0.1</f>
        <v>1.06</v>
      </c>
      <c r="G1092" s="51">
        <f>E1077/0.12</f>
        <v>132.08333333333334</v>
      </c>
      <c r="H1092" s="51">
        <f>((E1092/1000)*(E1092/1000)*3.14*0.25)*7850</f>
        <v>0.15405625000000003</v>
      </c>
      <c r="I1092" s="51">
        <f>$H$138</f>
        <v>1</v>
      </c>
      <c r="J1092" s="102"/>
      <c r="K1092" s="70">
        <f>G1092*H1092*F1092*I1092</f>
        <v>21.56915880208334</v>
      </c>
      <c r="M1092" s="93"/>
      <c r="N1092" s="68"/>
      <c r="O1092" s="115"/>
      <c r="Q1092" s="127"/>
    </row>
    <row r="1093" spans="2:17">
      <c r="B1093" s="157"/>
      <c r="E1093" s="118"/>
      <c r="J1093" s="102"/>
      <c r="M1093" s="93"/>
      <c r="N1093" s="68"/>
      <c r="O1093" s="115"/>
      <c r="Q1093" s="127"/>
    </row>
    <row r="1094" spans="2:17" ht="41.25" customHeight="1">
      <c r="B1094" s="157"/>
      <c r="C1094" s="26">
        <v>92762</v>
      </c>
      <c r="D1094" s="16" t="s">
        <v>8</v>
      </c>
      <c r="E1094" s="447" t="str">
        <f>IFERROR(VLOOKUP($C1094,'SINAPI JULHO 2018'!$1:$1048576,2,0),IFERROR(VLOOKUP($C1094,'5-COMP. PROPRIA'!$B$13:$I$518,4,0),""))</f>
        <v>ARMAÇÃO DE PILAR OU VIGA DE UMA ESTRUTURA CONVENCIONAL DE CONCRETO ARMADO EM UM EDIFÍCIO DE MÚLTIPLOS PAVIMENTOS UTILIZANDO AÇO CA-50 DE 10,0 MM - MONTAGEM. AF_12/2015</v>
      </c>
      <c r="F1094" s="448"/>
      <c r="G1094" s="448"/>
      <c r="H1094" s="448"/>
      <c r="I1094" s="448"/>
      <c r="J1094" s="449"/>
      <c r="K1094" s="184">
        <f>SUM(K1097:K1097)</f>
        <v>39.06866500000001</v>
      </c>
      <c r="L1094" s="58" t="s">
        <v>92</v>
      </c>
      <c r="M1094" s="52"/>
      <c r="N1094" s="68"/>
      <c r="O1094" s="115"/>
      <c r="Q1094" s="127"/>
    </row>
    <row r="1095" spans="2:17" ht="15" customHeight="1">
      <c r="B1095" s="157"/>
      <c r="E1095" s="118"/>
      <c r="H1095" s="70" t="s">
        <v>112</v>
      </c>
      <c r="I1095" s="69">
        <f>K1094/K1087</f>
        <v>30.811250000000008</v>
      </c>
      <c r="J1095" s="102"/>
      <c r="K1095" s="70"/>
      <c r="M1095" s="93"/>
      <c r="N1095" s="68"/>
      <c r="O1095" s="115"/>
      <c r="Q1095" s="127"/>
    </row>
    <row r="1096" spans="2:17" ht="15" customHeight="1">
      <c r="B1096" s="157"/>
      <c r="E1096" s="79" t="s">
        <v>93</v>
      </c>
      <c r="F1096" s="67" t="s">
        <v>27</v>
      </c>
      <c r="G1096" s="67" t="s">
        <v>28</v>
      </c>
      <c r="H1096" s="61" t="s">
        <v>95</v>
      </c>
      <c r="I1096" s="17" t="s">
        <v>54</v>
      </c>
      <c r="J1096" s="102"/>
      <c r="K1096" s="70"/>
      <c r="M1096" s="93"/>
      <c r="N1096" s="68"/>
      <c r="O1096" s="115"/>
      <c r="Q1096" s="127"/>
    </row>
    <row r="1097" spans="2:17" ht="15" customHeight="1">
      <c r="B1097" s="157"/>
      <c r="E1097" s="101">
        <v>10</v>
      </c>
      <c r="F1097" s="51">
        <f>E1085</f>
        <v>15.85</v>
      </c>
      <c r="G1097" s="51">
        <v>1</v>
      </c>
      <c r="H1097" s="51">
        <f>((E1097/1000)*(E1097/1000)*3.14*0.25)*7850</f>
        <v>0.61622500000000013</v>
      </c>
      <c r="I1097" s="51">
        <v>4</v>
      </c>
      <c r="J1097" s="102"/>
      <c r="K1097" s="70">
        <f>G1097*H1097*F1097*I1097</f>
        <v>39.06866500000001</v>
      </c>
      <c r="M1097" s="93"/>
      <c r="N1097" s="68"/>
      <c r="O1097" s="115"/>
      <c r="Q1097" s="127"/>
    </row>
    <row r="1098" spans="2:17" ht="15" customHeight="1">
      <c r="B1098" s="157"/>
      <c r="E1098" s="118"/>
      <c r="J1098" s="102"/>
      <c r="K1098" s="183"/>
      <c r="M1098" s="93"/>
      <c r="N1098" s="68"/>
      <c r="O1098" s="115"/>
      <c r="Q1098" s="127"/>
    </row>
    <row r="1099" spans="2:17" ht="36" customHeight="1">
      <c r="B1099" s="157"/>
      <c r="C1099" s="26">
        <v>96536</v>
      </c>
      <c r="D1099" s="16" t="s">
        <v>8</v>
      </c>
      <c r="E1099" s="447" t="str">
        <f>IFERROR(VLOOKUP($C1099,'SINAPI JULHO 2018'!$1:$1048576,2,0),IFERROR(VLOOKUP($C1099,'5-COMP. PROPRIA'!$B$13:$I$518,4,0),""))</f>
        <v>FABRICAÇÃO, MONTAGEM E DESMONTAGEM DE FÔRMA PARA VIGA BALDRAME, EM MADEIRA SERRADA, E=25 MM, 4 UTILIZAÇÕES. AF_06/2017</v>
      </c>
      <c r="F1099" s="448"/>
      <c r="G1099" s="448"/>
      <c r="H1099" s="448"/>
      <c r="I1099" s="448"/>
      <c r="J1099" s="449"/>
      <c r="K1099" s="184">
        <f>SUM(K1101:K1101)</f>
        <v>12.68</v>
      </c>
      <c r="L1099" s="58" t="s">
        <v>25</v>
      </c>
      <c r="M1099" s="93"/>
      <c r="N1099" s="68"/>
      <c r="O1099" s="115"/>
      <c r="Q1099" s="127"/>
    </row>
    <row r="1100" spans="2:17" ht="15" customHeight="1">
      <c r="B1100" s="157"/>
      <c r="D1100" s="51"/>
      <c r="E1100" s="76" t="s">
        <v>106</v>
      </c>
      <c r="F1100" s="17" t="s">
        <v>107</v>
      </c>
      <c r="G1100" s="17" t="s">
        <v>108</v>
      </c>
      <c r="H1100" s="67" t="s">
        <v>47</v>
      </c>
      <c r="I1100" s="221"/>
      <c r="J1100" s="222"/>
      <c r="K1100" s="186"/>
      <c r="L1100" s="100"/>
      <c r="M1100" s="93"/>
      <c r="N1100" s="68"/>
      <c r="O1100" s="115"/>
      <c r="Q1100" s="127"/>
    </row>
    <row r="1101" spans="2:17" ht="15" customHeight="1">
      <c r="B1101" s="157"/>
      <c r="E1101" s="118">
        <f>E1085</f>
        <v>15.85</v>
      </c>
      <c r="F1101" s="51">
        <f>F1085</f>
        <v>0.2</v>
      </c>
      <c r="G1101" s="51">
        <f>G1085</f>
        <v>0.4</v>
      </c>
      <c r="H1101" s="51">
        <f>H1085</f>
        <v>1</v>
      </c>
      <c r="J1101" s="102"/>
      <c r="K1101" s="70">
        <f>E1101*(G1101*2)*H1101</f>
        <v>12.68</v>
      </c>
      <c r="M1101" s="93"/>
      <c r="N1101" s="68"/>
      <c r="O1101" s="115"/>
      <c r="Q1101" s="127"/>
    </row>
    <row r="1102" spans="2:17" ht="15" customHeight="1">
      <c r="B1102" s="157"/>
      <c r="E1102" s="118"/>
      <c r="J1102" s="102"/>
      <c r="M1102" s="93"/>
      <c r="N1102" s="68"/>
      <c r="O1102" s="115"/>
      <c r="Q1102" s="127"/>
    </row>
    <row r="1103" spans="2:17" ht="15" customHeight="1">
      <c r="B1103" s="157"/>
      <c r="C1103" s="16">
        <v>93382</v>
      </c>
      <c r="D1103" s="16" t="s">
        <v>8</v>
      </c>
      <c r="E1103" s="447" t="str">
        <f>IFERROR(VLOOKUP($C1103,'SINAPI JULHO 2018'!$1:$1048576,2,0),IFERROR(VLOOKUP($C1103,'5-COMP. PROPRIA'!$B$13:$I$518,4,0),""))</f>
        <v>REATERRO MANUAL DE VALAS COM COMPACTAÇÃO MECANIZADA. AF_04/2016</v>
      </c>
      <c r="F1103" s="448"/>
      <c r="G1103" s="448"/>
      <c r="H1103" s="448"/>
      <c r="I1103" s="448"/>
      <c r="J1103" s="449"/>
      <c r="K1103" s="184">
        <f>SUM(K1105)</f>
        <v>3.1620750000000006</v>
      </c>
      <c r="L1103" s="58" t="s">
        <v>65</v>
      </c>
      <c r="M1103" s="93"/>
      <c r="N1103" s="68"/>
      <c r="O1103" s="115"/>
      <c r="Q1103" s="127"/>
    </row>
    <row r="1104" spans="2:17" ht="15" customHeight="1">
      <c r="B1104" s="157"/>
      <c r="E1104" s="79" t="s">
        <v>115</v>
      </c>
      <c r="F1104" s="67" t="s">
        <v>116</v>
      </c>
      <c r="J1104" s="102"/>
      <c r="K1104" s="184"/>
      <c r="M1104" s="93"/>
      <c r="N1104" s="68"/>
      <c r="O1104" s="115"/>
      <c r="Q1104" s="127"/>
    </row>
    <row r="1105" spans="2:17" ht="15" customHeight="1">
      <c r="B1105" s="157"/>
      <c r="E1105" s="112">
        <f>K1075</f>
        <v>4.4300750000000004</v>
      </c>
      <c r="F1105" s="51">
        <f>K1083</f>
        <v>1.268</v>
      </c>
      <c r="J1105" s="102"/>
      <c r="K1105" s="70">
        <f>E1105-F1105</f>
        <v>3.1620750000000006</v>
      </c>
      <c r="M1105" s="93"/>
      <c r="N1105" s="68"/>
      <c r="O1105" s="115"/>
      <c r="Q1105" s="127"/>
    </row>
    <row r="1106" spans="2:17" ht="15" customHeight="1">
      <c r="B1106" s="157"/>
      <c r="E1106" s="118"/>
      <c r="J1106" s="102"/>
      <c r="M1106" s="93"/>
      <c r="N1106" s="68"/>
      <c r="O1106" s="115"/>
      <c r="Q1106" s="127"/>
    </row>
    <row r="1107" spans="2:17" ht="26.25" customHeight="1">
      <c r="B1107" s="157" t="s">
        <v>220</v>
      </c>
      <c r="C1107" s="16" t="s">
        <v>117</v>
      </c>
      <c r="D1107" s="16" t="s">
        <v>8</v>
      </c>
      <c r="E1107" s="447" t="str">
        <f>IFERROR(VLOOKUP($C1107,'SINAPI JULHO 2018'!$1:$1048576,2,0),IFERROR(VLOOKUP($C1107,'5-COMP. PROPRIA'!$B$13:$I$518,4,0),""))</f>
        <v>IMPERMEABILIZACAO DE ESTRUTURAS ENTERRADAS, COM TINTA ASFALTICA, DUAS DEMAOS.</v>
      </c>
      <c r="F1107" s="448"/>
      <c r="G1107" s="448"/>
      <c r="H1107" s="448"/>
      <c r="I1107" s="448"/>
      <c r="J1107" s="449"/>
      <c r="K1107" s="184">
        <f>K1099+(15.85*0.2)</f>
        <v>15.85</v>
      </c>
      <c r="L1107" s="57" t="s">
        <v>25</v>
      </c>
      <c r="M1107" s="52"/>
      <c r="N1107" s="68"/>
      <c r="O1107" s="115"/>
      <c r="Q1107" s="127"/>
    </row>
    <row r="1108" spans="2:17" ht="15" customHeight="1">
      <c r="B1108" s="157"/>
      <c r="E1108" s="112"/>
      <c r="J1108" s="102"/>
      <c r="K1108" s="183"/>
      <c r="L1108" s="57"/>
      <c r="M1108" s="93"/>
      <c r="N1108" s="68"/>
      <c r="O1108" s="115"/>
      <c r="Q1108" s="127"/>
    </row>
    <row r="1109" spans="2:17" ht="15.75" customHeight="1">
      <c r="B1109" s="157"/>
      <c r="C1109" s="26">
        <v>72897</v>
      </c>
      <c r="D1109" s="16" t="s">
        <v>8</v>
      </c>
      <c r="E1109" s="447" t="str">
        <f>IFERROR(VLOOKUP($C1109,'SINAPI JULHO 2018'!$1:$1048576,2,0),IFERROR(VLOOKUP($C1109,'5-COMP. PROPRIA'!$B$13:$I$518,4,0),""))</f>
        <v>CARGA MANUAL DE ENTULHO EM CAMINHAO BASCULANTE 6 M3</v>
      </c>
      <c r="F1109" s="448"/>
      <c r="G1109" s="448"/>
      <c r="H1109" s="448"/>
      <c r="I1109" s="448"/>
      <c r="J1109" s="449"/>
      <c r="K1109" s="184">
        <f>SUM(K1111:K1111)</f>
        <v>1.6484000000000001</v>
      </c>
      <c r="L1109" s="58" t="s">
        <v>65</v>
      </c>
      <c r="M1109" s="93"/>
      <c r="N1109" s="68"/>
      <c r="O1109" s="115"/>
      <c r="Q1109" s="127"/>
    </row>
    <row r="1110" spans="2:17" ht="15" customHeight="1">
      <c r="B1110" s="157"/>
      <c r="E1110" s="79"/>
      <c r="F1110" s="67" t="s">
        <v>116</v>
      </c>
      <c r="G1110" s="17"/>
      <c r="H1110" s="67" t="s">
        <v>119</v>
      </c>
      <c r="J1110" s="220"/>
      <c r="K1110" s="70"/>
      <c r="M1110" s="93"/>
      <c r="N1110" s="68"/>
      <c r="O1110" s="115"/>
      <c r="Q1110" s="127"/>
    </row>
    <row r="1111" spans="2:17" ht="15" customHeight="1">
      <c r="B1111" s="157"/>
      <c r="E1111" s="118"/>
      <c r="F1111" s="17">
        <f>K1083</f>
        <v>1.268</v>
      </c>
      <c r="G1111" s="17"/>
      <c r="H1111" s="17">
        <v>1.3</v>
      </c>
      <c r="J1111" s="68"/>
      <c r="K1111" s="70">
        <f>H1111*F1111</f>
        <v>1.6484000000000001</v>
      </c>
      <c r="M1111" s="93"/>
      <c r="N1111" s="68"/>
      <c r="O1111" s="115"/>
      <c r="Q1111" s="127"/>
    </row>
    <row r="1112" spans="2:17" ht="15" customHeight="1">
      <c r="B1112" s="157"/>
      <c r="E1112" s="118"/>
      <c r="F1112" s="17"/>
      <c r="G1112" s="17"/>
      <c r="I1112" s="17"/>
      <c r="J1112" s="68"/>
      <c r="K1112" s="70"/>
      <c r="M1112" s="93"/>
      <c r="N1112" s="68"/>
      <c r="O1112" s="115"/>
      <c r="Q1112" s="127"/>
    </row>
    <row r="1113" spans="2:17" ht="37.5" customHeight="1">
      <c r="B1113" s="157"/>
      <c r="C1113" s="16">
        <v>97914</v>
      </c>
      <c r="D1113" s="16" t="s">
        <v>8</v>
      </c>
      <c r="E1113" s="447" t="str">
        <f>IFERROR(VLOOKUP($C1113,'SINAPI JULHO 2018'!$1:$1048576,2,0),IFERROR(VLOOKUP($C1113,'5-COMP. PROPRIA'!$B$13:$I$518,4,0),""))</f>
        <v>TRANSPORTE COM CAMINHÃO BASCULANTE DE 6 M3, EM VIA URBANA PAVIMENTADA, DMT ATÉ 30 KM (UNIDADE: M3XKM). AF_01/2018</v>
      </c>
      <c r="F1113" s="448"/>
      <c r="G1113" s="448"/>
      <c r="H1113" s="448"/>
      <c r="I1113" s="448"/>
      <c r="J1113" s="449"/>
      <c r="K1113" s="184">
        <f>K1115</f>
        <v>12.363000000000001</v>
      </c>
      <c r="L1113" s="57" t="s">
        <v>78</v>
      </c>
      <c r="M1113" s="93"/>
      <c r="N1113" s="68"/>
      <c r="O1113" s="115"/>
      <c r="Q1113" s="127"/>
    </row>
    <row r="1114" spans="2:17" ht="15" customHeight="1">
      <c r="B1114" s="157"/>
      <c r="E1114" s="79" t="s">
        <v>80</v>
      </c>
      <c r="H1114" s="67" t="s">
        <v>81</v>
      </c>
      <c r="J1114" s="102"/>
      <c r="M1114" s="93"/>
      <c r="N1114" s="68"/>
      <c r="O1114" s="115"/>
      <c r="Q1114" s="127"/>
    </row>
    <row r="1115" spans="2:17" ht="15" customHeight="1">
      <c r="B1115" s="157"/>
      <c r="E1115" s="79">
        <f>K1109</f>
        <v>1.6484000000000001</v>
      </c>
      <c r="H1115" s="67">
        <v>7.5</v>
      </c>
      <c r="J1115" s="102"/>
      <c r="K1115" s="180">
        <f>E1115*H1115</f>
        <v>12.363000000000001</v>
      </c>
      <c r="M1115" s="93"/>
      <c r="N1115" s="68"/>
      <c r="O1115" s="115"/>
      <c r="Q1115" s="127"/>
    </row>
    <row r="1116" spans="2:17" ht="15" customHeight="1">
      <c r="B1116" s="157"/>
      <c r="E1116" s="266"/>
      <c r="F1116" s="99"/>
      <c r="G1116" s="99"/>
      <c r="H1116" s="99"/>
      <c r="I1116" s="99"/>
      <c r="J1116" s="267"/>
      <c r="M1116" s="93"/>
      <c r="N1116" s="68"/>
      <c r="O1116" s="115"/>
      <c r="Q1116" s="127"/>
    </row>
    <row r="1117" spans="2:17" ht="15" customHeight="1">
      <c r="B1117" s="151"/>
      <c r="C1117" s="91"/>
      <c r="D1117" s="91"/>
      <c r="E1117" s="453" t="s">
        <v>127</v>
      </c>
      <c r="F1117" s="454"/>
      <c r="G1117" s="454"/>
      <c r="H1117" s="454"/>
      <c r="I1117" s="454"/>
      <c r="J1117" s="455"/>
      <c r="K1117" s="183"/>
      <c r="L1117" s="56"/>
      <c r="M1117" s="93"/>
      <c r="N1117" s="107"/>
      <c r="O1117" s="115"/>
      <c r="Q1117" s="127"/>
    </row>
    <row r="1118" spans="2:17">
      <c r="B1118" s="150"/>
      <c r="E1118" s="76"/>
      <c r="F1118" s="17"/>
      <c r="G1118" s="17"/>
      <c r="H1118" s="67"/>
      <c r="I1118" s="55"/>
      <c r="J1118" s="121"/>
      <c r="K1118" s="186"/>
      <c r="L1118" s="100"/>
      <c r="M1118" s="122"/>
      <c r="N1118" s="104"/>
      <c r="O1118" s="115"/>
      <c r="Q1118" s="127"/>
    </row>
    <row r="1119" spans="2:17" ht="39" customHeight="1">
      <c r="B1119" s="150"/>
      <c r="C1119" s="26">
        <v>94965</v>
      </c>
      <c r="D1119" s="16" t="s">
        <v>8</v>
      </c>
      <c r="E1119" s="447" t="str">
        <f>IFERROR(VLOOKUP($C1119,'SINAPI JULHO 2018'!$1:$1048576,2,0),IFERROR(VLOOKUP($C1119,'5-COMP. PROPRIA'!$B$13:$I$518,4,0),""))</f>
        <v>CONCRETO FCK = 25MPA, TRAÇO 1:2,3:2,7 (CIMENTO/ AREIA MÉDIA/ BRITA 1)  - PREPARO MECÂNICO COM BETONEIRA 400 L. AF_07/2016</v>
      </c>
      <c r="F1119" s="448"/>
      <c r="G1119" s="448"/>
      <c r="H1119" s="448"/>
      <c r="I1119" s="448"/>
      <c r="J1119" s="449"/>
      <c r="K1119" s="184">
        <f>SUM(K1121:K1121)</f>
        <v>4.0320000000000009</v>
      </c>
      <c r="L1119" s="58" t="s">
        <v>65</v>
      </c>
      <c r="N1119" s="104"/>
      <c r="O1119" s="115"/>
      <c r="Q1119" s="127"/>
    </row>
    <row r="1120" spans="2:17" ht="15" customHeight="1">
      <c r="B1120" s="150"/>
      <c r="E1120" s="76" t="s">
        <v>68</v>
      </c>
      <c r="F1120" s="17" t="s">
        <v>107</v>
      </c>
      <c r="G1120" s="17" t="s">
        <v>108</v>
      </c>
      <c r="H1120" s="67" t="s">
        <v>47</v>
      </c>
      <c r="I1120" s="55" t="s">
        <v>128</v>
      </c>
      <c r="J1120" s="121"/>
      <c r="K1120" s="186"/>
      <c r="L1120" s="100"/>
      <c r="M1120" s="122"/>
      <c r="N1120" s="104"/>
      <c r="O1120" s="115"/>
      <c r="Q1120" s="127"/>
    </row>
    <row r="1121" spans="2:17" ht="15" customHeight="1">
      <c r="B1121" s="150" t="s">
        <v>238</v>
      </c>
      <c r="E1121" s="101">
        <v>0.4</v>
      </c>
      <c r="F1121" s="71">
        <v>0.4</v>
      </c>
      <c r="G1121" s="126">
        <v>4.2</v>
      </c>
      <c r="H1121" s="71">
        <v>6</v>
      </c>
      <c r="I1121" s="51">
        <f>H1121*G1121</f>
        <v>25.200000000000003</v>
      </c>
      <c r="J1121" s="102"/>
      <c r="K1121" s="70">
        <f>H1121*F1121*G1121*E1121</f>
        <v>4.0320000000000009</v>
      </c>
      <c r="N1121" s="104"/>
      <c r="O1121" s="115"/>
      <c r="Q1121" s="127"/>
    </row>
    <row r="1122" spans="2:17" ht="15" customHeight="1">
      <c r="B1122" s="150"/>
      <c r="D1122" s="51"/>
      <c r="E1122" s="118"/>
      <c r="J1122" s="102"/>
      <c r="N1122" s="104"/>
      <c r="O1122" s="115"/>
      <c r="Q1122" s="127"/>
    </row>
    <row r="1123" spans="2:17" ht="34.5" customHeight="1">
      <c r="B1123" s="150"/>
      <c r="C1123" s="26">
        <v>92873</v>
      </c>
      <c r="D1123" s="16" t="s">
        <v>8</v>
      </c>
      <c r="E1123" s="447" t="str">
        <f>IFERROR(VLOOKUP($C1123,'SINAPI JULHO 2018'!$1:$1048576,2,0),IFERROR(VLOOKUP($C1123,'5-COMP. PROPRIA'!$B$13:$I$518,4,0),""))</f>
        <v>LANÇAMENTO COM USO DE BALDES, ADENSAMENTO E ACABAMENTO DE CONCRETO EM ESTRUTURAS. AF_12/2015</v>
      </c>
      <c r="F1123" s="448"/>
      <c r="G1123" s="448"/>
      <c r="H1123" s="448"/>
      <c r="I1123" s="448"/>
      <c r="J1123" s="449"/>
      <c r="K1123" s="184">
        <f>K1119</f>
        <v>4.0320000000000009</v>
      </c>
      <c r="L1123" s="58" t="s">
        <v>65</v>
      </c>
      <c r="N1123" s="104"/>
      <c r="O1123" s="115"/>
      <c r="Q1123" s="127"/>
    </row>
    <row r="1124" spans="2:17" ht="15" customHeight="1">
      <c r="B1124" s="150"/>
      <c r="E1124" s="118"/>
      <c r="J1124" s="102"/>
      <c r="N1124" s="104"/>
      <c r="O1124" s="115"/>
      <c r="Q1124" s="127"/>
    </row>
    <row r="1125" spans="2:17" ht="54.75" customHeight="1">
      <c r="B1125" s="157" t="s">
        <v>132</v>
      </c>
      <c r="C1125" s="26">
        <v>92775</v>
      </c>
      <c r="D1125" s="16" t="s">
        <v>8</v>
      </c>
      <c r="E1125" s="447" t="str">
        <f>IFERROR(VLOOKUP($C1125,'SINAPI JULHO 2018'!$1:$1048576,2,0),IFERROR(VLOOKUP($C1125,'5-COMP. PROPRIA'!$B$13:$I$518,4,0),""))</f>
        <v>ARMAÇÃO DE PILAR OU VIGA DE UMA ESTRUTURA CONVENCIONAL DE CONCRETO ARMADO EM UMA EDIFICAÇÃO TÉRREA OU SOBRADO UTILIZANDO AÇO CA-60 DE 5,0 MM - MONTAGEM. AF_12/2015</v>
      </c>
      <c r="F1125" s="448"/>
      <c r="G1125" s="448"/>
      <c r="H1125" s="448"/>
      <c r="I1125" s="448"/>
      <c r="J1125" s="449"/>
      <c r="K1125" s="184">
        <f>SUM(K1128:K1128)</f>
        <v>17.081757000000007</v>
      </c>
      <c r="L1125" s="58" t="s">
        <v>92</v>
      </c>
      <c r="M1125" s="52"/>
      <c r="N1125" s="68"/>
      <c r="O1125" s="115"/>
      <c r="Q1125" s="127"/>
    </row>
    <row r="1126" spans="2:17" ht="15" customHeight="1">
      <c r="B1126" s="150"/>
      <c r="E1126" s="118"/>
      <c r="H1126" s="70" t="s">
        <v>112</v>
      </c>
      <c r="I1126" s="69">
        <f>K1125/K1119</f>
        <v>4.236546875000001</v>
      </c>
      <c r="J1126" s="102"/>
      <c r="K1126" s="70"/>
      <c r="M1126" s="93"/>
      <c r="N1126" s="68"/>
      <c r="O1126" s="115"/>
      <c r="Q1126" s="127"/>
    </row>
    <row r="1127" spans="2:17" ht="15" customHeight="1">
      <c r="B1127" s="150" t="s">
        <v>113</v>
      </c>
      <c r="E1127" s="79" t="s">
        <v>93</v>
      </c>
      <c r="F1127" s="67" t="s">
        <v>106</v>
      </c>
      <c r="G1127" s="67" t="s">
        <v>94</v>
      </c>
      <c r="H1127" s="61" t="s">
        <v>95</v>
      </c>
      <c r="I1127" s="67" t="s">
        <v>54</v>
      </c>
      <c r="J1127" s="102"/>
      <c r="K1127" s="70"/>
      <c r="M1127" s="93"/>
      <c r="N1127" s="68"/>
      <c r="O1127" s="115"/>
      <c r="Q1127" s="127"/>
    </row>
    <row r="1128" spans="2:17" ht="15" customHeight="1">
      <c r="B1128" s="150" t="str">
        <f>B1121</f>
        <v>PILAR</v>
      </c>
      <c r="E1128" s="101">
        <v>5</v>
      </c>
      <c r="F1128" s="51">
        <f>($E$322-0.06)*2+($F$322-0.06)*2+0.1</f>
        <v>0.66</v>
      </c>
      <c r="G1128" s="51">
        <f>I1121/0.15</f>
        <v>168.00000000000003</v>
      </c>
      <c r="H1128" s="51">
        <f>((E1128/1000)*(E1128/1000)*3.14*0.25)*7850</f>
        <v>0.15405625000000003</v>
      </c>
      <c r="I1128" s="51">
        <v>1</v>
      </c>
      <c r="J1128" s="102"/>
      <c r="K1128" s="70">
        <f>G1128*H1128*F1128*I1128</f>
        <v>17.081757000000007</v>
      </c>
      <c r="M1128" s="93"/>
      <c r="N1128" s="68"/>
      <c r="O1128" s="115"/>
      <c r="Q1128" s="127"/>
    </row>
    <row r="1129" spans="2:17" ht="15" customHeight="1">
      <c r="B1129" s="150"/>
      <c r="E1129" s="118"/>
      <c r="J1129" s="102"/>
      <c r="K1129" s="70"/>
      <c r="M1129" s="93"/>
      <c r="N1129" s="68"/>
      <c r="O1129" s="115"/>
      <c r="Q1129" s="127"/>
    </row>
    <row r="1130" spans="2:17" ht="46.5" customHeight="1">
      <c r="B1130" s="150"/>
      <c r="C1130" s="26">
        <v>92778</v>
      </c>
      <c r="D1130" s="16" t="s">
        <v>8</v>
      </c>
      <c r="E1130" s="447" t="str">
        <f>IFERROR(VLOOKUP($C1130,'SINAPI JULHO 2018'!$1:$1048576,2,0),IFERROR(VLOOKUP($C1130,'5-COMP. PROPRIA'!$B$13:$I$518,4,0),""))</f>
        <v>ARMAÇÃO DE PILAR OU VIGA DE UMA ESTRUTURA CONVENCIONAL DE CONCRETO ARMADO EM UMA EDIFICAÇÃO TÉRREA OU SOBRADO UTILIZANDO AÇO CA-50 DE 10,0 MM - MONTAGEM. AF_12/2015</v>
      </c>
      <c r="F1130" s="448"/>
      <c r="G1130" s="448"/>
      <c r="H1130" s="448"/>
      <c r="I1130" s="448"/>
      <c r="J1130" s="449"/>
      <c r="K1130" s="184">
        <f>SUM(K1133:K1133)</f>
        <v>68.031240000000025</v>
      </c>
      <c r="L1130" s="58" t="s">
        <v>92</v>
      </c>
      <c r="M1130" s="52"/>
      <c r="N1130" s="68"/>
      <c r="O1130" s="115"/>
      <c r="Q1130" s="127"/>
    </row>
    <row r="1131" spans="2:17" ht="15" customHeight="1">
      <c r="B1131" s="150"/>
      <c r="E1131" s="118"/>
      <c r="H1131" s="70" t="s">
        <v>112</v>
      </c>
      <c r="I1131" s="69">
        <f>K1130/K1119</f>
        <v>16.872827380952383</v>
      </c>
      <c r="J1131" s="102"/>
      <c r="K1131" s="70"/>
      <c r="M1131" s="93"/>
      <c r="N1131" s="104"/>
      <c r="O1131" s="115"/>
      <c r="Q1131" s="127"/>
    </row>
    <row r="1132" spans="2:17" ht="15" customHeight="1">
      <c r="B1132" s="150" t="s">
        <v>113</v>
      </c>
      <c r="E1132" s="79" t="s">
        <v>93</v>
      </c>
      <c r="F1132" s="67" t="s">
        <v>106</v>
      </c>
      <c r="G1132" s="67" t="s">
        <v>94</v>
      </c>
      <c r="H1132" s="61" t="s">
        <v>95</v>
      </c>
      <c r="I1132" s="67" t="s">
        <v>54</v>
      </c>
      <c r="J1132" s="102"/>
      <c r="K1132" s="70"/>
      <c r="M1132" s="93"/>
      <c r="N1132" s="68"/>
      <c r="O1132" s="115"/>
      <c r="Q1132" s="127"/>
    </row>
    <row r="1133" spans="2:17" ht="15" customHeight="1">
      <c r="B1133" s="150" t="str">
        <f>B1128</f>
        <v>PILAR</v>
      </c>
      <c r="E1133" s="101">
        <v>10</v>
      </c>
      <c r="F1133" s="51">
        <f>G1121+0.4</f>
        <v>4.6000000000000005</v>
      </c>
      <c r="G1133" s="51">
        <v>4</v>
      </c>
      <c r="H1133" s="51">
        <f>((E1133/1000)*(E1133/1000)*3.14*0.25)*7850</f>
        <v>0.61622500000000013</v>
      </c>
      <c r="I1133" s="51">
        <f>H1121</f>
        <v>6</v>
      </c>
      <c r="J1133" s="102"/>
      <c r="K1133" s="70">
        <f>G1133*H1133*F1133*I1133</f>
        <v>68.031240000000025</v>
      </c>
      <c r="M1133" s="93"/>
      <c r="N1133" s="68"/>
      <c r="O1133" s="115"/>
      <c r="Q1133" s="127"/>
    </row>
    <row r="1134" spans="2:17" ht="15" customHeight="1">
      <c r="B1134" s="150"/>
      <c r="E1134" s="118"/>
      <c r="J1134" s="102"/>
      <c r="K1134" s="70"/>
      <c r="M1134" s="93"/>
      <c r="N1134" s="104"/>
      <c r="O1134" s="115"/>
      <c r="Q1134" s="127"/>
    </row>
    <row r="1135" spans="2:17" ht="15" customHeight="1">
      <c r="B1135" s="150"/>
      <c r="C1135" s="26">
        <v>92412</v>
      </c>
      <c r="D1135" s="16" t="s">
        <v>8</v>
      </c>
      <c r="E1135" s="447" t="str">
        <f>IFERROR(VLOOKUP($C1135,'SINAPI JULHO 2018'!$1:$1048576,2,0),IFERROR(VLOOKUP($C1135,'5-COMP. PROPRIA'!$B$13:$I$518,4,0),""))</f>
        <v>MONTAGEM E DESMONTAGEM DE FÔRMA DE PILARES RETANGULARES E ESTRUTURAS SIMILARES COM ÁREA MÉDIA DAS SEÇÕES MENOR OU IGUAL A 0,25 M², PÉ-DIREITO SIMPLES, EM MADEIRA SERRADA, 4 UTILIZAÇÕES. AF_12/2015</v>
      </c>
      <c r="F1135" s="448"/>
      <c r="G1135" s="448"/>
      <c r="H1135" s="448"/>
      <c r="I1135" s="448"/>
      <c r="J1135" s="449"/>
      <c r="K1135" s="184">
        <f>K1137</f>
        <v>40.320000000000007</v>
      </c>
      <c r="L1135" s="58" t="s">
        <v>25</v>
      </c>
      <c r="N1135" s="104"/>
      <c r="O1135" s="115"/>
      <c r="Q1135" s="127"/>
    </row>
    <row r="1136" spans="2:17" ht="15" customHeight="1">
      <c r="B1136" s="150"/>
      <c r="E1136" s="76" t="s">
        <v>68</v>
      </c>
      <c r="F1136" s="17" t="s">
        <v>107</v>
      </c>
      <c r="G1136" s="17" t="s">
        <v>108</v>
      </c>
      <c r="H1136" s="67" t="s">
        <v>47</v>
      </c>
      <c r="I1136" s="55"/>
      <c r="J1136" s="121"/>
      <c r="K1136" s="186"/>
      <c r="N1136" s="104"/>
      <c r="O1136" s="115"/>
      <c r="Q1136" s="127"/>
    </row>
    <row r="1137" spans="2:17" ht="15" customHeight="1">
      <c r="B1137" s="150" t="str">
        <f>B1133</f>
        <v>PILAR</v>
      </c>
      <c r="E1137" s="118">
        <f t="shared" ref="E1137:G1137" si="20">E1121</f>
        <v>0.4</v>
      </c>
      <c r="F1137" s="58">
        <f t="shared" si="20"/>
        <v>0.4</v>
      </c>
      <c r="G1137" s="58">
        <f t="shared" si="20"/>
        <v>4.2</v>
      </c>
      <c r="H1137" s="58">
        <f>I1133</f>
        <v>6</v>
      </c>
      <c r="J1137" s="102"/>
      <c r="K1137" s="70">
        <f>((E1137+F1137)*2)*G1137*H1137</f>
        <v>40.320000000000007</v>
      </c>
      <c r="N1137" s="104"/>
      <c r="O1137" s="115"/>
      <c r="Q1137" s="127"/>
    </row>
    <row r="1138" spans="2:17" ht="15" customHeight="1">
      <c r="B1138" s="150"/>
      <c r="E1138" s="118"/>
      <c r="F1138" s="58"/>
      <c r="G1138" s="58"/>
      <c r="J1138" s="102"/>
      <c r="K1138" s="70"/>
      <c r="N1138" s="104"/>
      <c r="O1138" s="115"/>
      <c r="Q1138" s="127"/>
    </row>
    <row r="1139" spans="2:17" ht="15" customHeight="1">
      <c r="B1139" s="150"/>
      <c r="E1139" s="453" t="s">
        <v>239</v>
      </c>
      <c r="F1139" s="454"/>
      <c r="G1139" s="454"/>
      <c r="H1139" s="454"/>
      <c r="I1139" s="454"/>
      <c r="J1139" s="455"/>
      <c r="K1139" s="70"/>
      <c r="N1139" s="104"/>
      <c r="O1139" s="115"/>
      <c r="Q1139" s="127"/>
    </row>
    <row r="1140" spans="2:17" ht="15" customHeight="1">
      <c r="B1140" s="150"/>
      <c r="E1140" s="118"/>
      <c r="F1140" s="58"/>
      <c r="G1140" s="58"/>
      <c r="J1140" s="102"/>
      <c r="K1140" s="70"/>
      <c r="N1140" s="104"/>
      <c r="O1140" s="115"/>
      <c r="Q1140" s="127"/>
    </row>
    <row r="1141" spans="2:17" ht="33" customHeight="1">
      <c r="B1141" s="150"/>
      <c r="C1141" s="26">
        <v>94965</v>
      </c>
      <c r="D1141" s="16" t="s">
        <v>8</v>
      </c>
      <c r="E1141" s="447" t="str">
        <f>IFERROR(VLOOKUP($C1141,'SINAPI JULHO 2018'!$1:$1048576,2,0),IFERROR(VLOOKUP($C1141,'5-COMP. PROPRIA'!$B$13:$I$518,4,0),""))</f>
        <v>CONCRETO FCK = 25MPA, TRAÇO 1:2,3:2,7 (CIMENTO/ AREIA MÉDIA/ BRITA 1)  - PREPARO MECÂNICO COM BETONEIRA 400 L. AF_07/2016</v>
      </c>
      <c r="F1141" s="448"/>
      <c r="G1141" s="448"/>
      <c r="H1141" s="448"/>
      <c r="I1141" s="448"/>
      <c r="J1141" s="449"/>
      <c r="K1141" s="184">
        <f>SUM(K1143:K1144)</f>
        <v>1.268</v>
      </c>
      <c r="L1141" s="58" t="s">
        <v>65</v>
      </c>
      <c r="N1141" s="104"/>
      <c r="O1141" s="115"/>
      <c r="Q1141" s="127"/>
    </row>
    <row r="1142" spans="2:17" ht="15" customHeight="1">
      <c r="B1142" s="150"/>
      <c r="E1142" s="76" t="s">
        <v>106</v>
      </c>
      <c r="F1142" s="17" t="s">
        <v>107</v>
      </c>
      <c r="G1142" s="17" t="s">
        <v>108</v>
      </c>
      <c r="H1142" s="67" t="s">
        <v>47</v>
      </c>
      <c r="I1142" s="221"/>
      <c r="J1142" s="222"/>
      <c r="K1142" s="183"/>
      <c r="N1142" s="104"/>
      <c r="O1142" s="115"/>
      <c r="Q1142" s="127"/>
    </row>
    <row r="1143" spans="2:17" ht="15" customHeight="1">
      <c r="B1143" s="150" t="s">
        <v>240</v>
      </c>
      <c r="E1143" s="111">
        <v>15.85</v>
      </c>
      <c r="F1143" s="74">
        <v>0.2</v>
      </c>
      <c r="G1143" s="74">
        <v>0.2</v>
      </c>
      <c r="H1143" s="74">
        <v>1</v>
      </c>
      <c r="J1143" s="102"/>
      <c r="K1143" s="70">
        <f>E1143*F1143*G1143*H1143</f>
        <v>0.63400000000000001</v>
      </c>
      <c r="N1143" s="104"/>
      <c r="O1143" s="115"/>
      <c r="Q1143" s="127"/>
    </row>
    <row r="1144" spans="2:17" ht="15" customHeight="1">
      <c r="B1144" s="150" t="s">
        <v>241</v>
      </c>
      <c r="E1144" s="111">
        <v>15.85</v>
      </c>
      <c r="F1144" s="74">
        <v>0.2</v>
      </c>
      <c r="G1144" s="74">
        <v>0.2</v>
      </c>
      <c r="H1144" s="74">
        <v>1</v>
      </c>
      <c r="J1144" s="102"/>
      <c r="K1144" s="70">
        <f>E1144*F1144*G1144*H1144</f>
        <v>0.63400000000000001</v>
      </c>
      <c r="N1144" s="104"/>
      <c r="O1144" s="115"/>
      <c r="Q1144" s="127"/>
    </row>
    <row r="1145" spans="2:17" ht="15" customHeight="1">
      <c r="B1145" s="150"/>
      <c r="E1145" s="112"/>
      <c r="J1145" s="102"/>
      <c r="K1145" s="183"/>
      <c r="N1145" s="104"/>
      <c r="O1145" s="115"/>
      <c r="Q1145" s="127"/>
    </row>
    <row r="1146" spans="2:17" ht="15" customHeight="1">
      <c r="B1146" s="150"/>
      <c r="C1146" s="26" t="s">
        <v>111</v>
      </c>
      <c r="D1146" s="16" t="s">
        <v>8</v>
      </c>
      <c r="E1146" s="447" t="str">
        <f>IFERROR(VLOOKUP($C1146,'SINAPI JULHO 2018'!$1:$1048576,2,0),IFERROR(VLOOKUP($C1146,'5-COMP. PROPRIA'!$B$13:$I$518,4,0),""))</f>
        <v>LANCAMENTO/APLICACAO MANUAL DE CONCRETO EM FUNDACOES</v>
      </c>
      <c r="F1146" s="448"/>
      <c r="G1146" s="448"/>
      <c r="H1146" s="448"/>
      <c r="I1146" s="448"/>
      <c r="J1146" s="449"/>
      <c r="K1146" s="184">
        <f>K1141</f>
        <v>1.268</v>
      </c>
      <c r="L1146" s="58" t="s">
        <v>65</v>
      </c>
      <c r="N1146" s="104"/>
      <c r="O1146" s="115"/>
      <c r="Q1146" s="127"/>
    </row>
    <row r="1147" spans="2:17" ht="15" customHeight="1">
      <c r="B1147" s="150"/>
      <c r="E1147" s="118"/>
      <c r="F1147" s="58"/>
      <c r="G1147" s="58"/>
      <c r="J1147" s="102"/>
      <c r="K1147" s="70"/>
      <c r="N1147" s="104"/>
      <c r="O1147" s="115"/>
      <c r="Q1147" s="127"/>
    </row>
    <row r="1148" spans="2:17" ht="51" customHeight="1">
      <c r="B1148" s="157" t="s">
        <v>91</v>
      </c>
      <c r="C1148" s="26">
        <v>92775</v>
      </c>
      <c r="D1148" s="16" t="s">
        <v>8</v>
      </c>
      <c r="E1148" s="447" t="str">
        <f>IFERROR(VLOOKUP($C1148,'SINAPI JULHO 2018'!$1:$1048576,2,0),IFERROR(VLOOKUP($C1148,'5-COMP. PROPRIA'!$B$13:$I$518,4,0),""))</f>
        <v>ARMAÇÃO DE PILAR OU VIGA DE UMA ESTRUTURA CONVENCIONAL DE CONCRETO ARMADO EM UMA EDIFICAÇÃO TÉRREA OU SOBRADO UTILIZANDO AÇO CA-60 DE 5,0 MM - MONTAGEM. AF_12/2015</v>
      </c>
      <c r="F1148" s="448"/>
      <c r="G1148" s="448"/>
      <c r="H1148" s="448"/>
      <c r="I1148" s="448"/>
      <c r="J1148" s="449"/>
      <c r="K1148" s="184">
        <f>SUM(K1151:K1152)</f>
        <v>16.115824312500006</v>
      </c>
      <c r="L1148" s="58" t="s">
        <v>92</v>
      </c>
      <c r="M1148" s="52"/>
      <c r="N1148" s="68"/>
      <c r="O1148" s="115"/>
      <c r="Q1148" s="127"/>
    </row>
    <row r="1149" spans="2:17" ht="15" customHeight="1">
      <c r="B1149" s="150"/>
      <c r="E1149" s="118"/>
      <c r="H1149" s="70" t="s">
        <v>112</v>
      </c>
      <c r="I1149" s="69">
        <f>K1148/K1141</f>
        <v>12.709640625000004</v>
      </c>
      <c r="J1149" s="102"/>
      <c r="K1149" s="70"/>
      <c r="M1149" s="93"/>
      <c r="N1149" s="68"/>
      <c r="O1149" s="115"/>
      <c r="Q1149" s="127"/>
    </row>
    <row r="1150" spans="2:17" ht="15" customHeight="1">
      <c r="B1150" s="150"/>
      <c r="E1150" s="79" t="s">
        <v>93</v>
      </c>
      <c r="F1150" s="67" t="s">
        <v>106</v>
      </c>
      <c r="G1150" s="67" t="s">
        <v>94</v>
      </c>
      <c r="H1150" s="61" t="s">
        <v>95</v>
      </c>
      <c r="I1150" s="67" t="s">
        <v>54</v>
      </c>
      <c r="J1150" s="102"/>
      <c r="K1150" s="70"/>
      <c r="M1150" s="93"/>
      <c r="N1150" s="68"/>
      <c r="O1150" s="115"/>
      <c r="Q1150" s="127"/>
    </row>
    <row r="1151" spans="2:17" ht="15" customHeight="1">
      <c r="B1151" s="150" t="str">
        <f>B1143</f>
        <v>VIGA INTERMEDIARIA</v>
      </c>
      <c r="E1151" s="101">
        <v>5</v>
      </c>
      <c r="F1151" s="51">
        <f>(F1143-0.06)*2+(G1143-0.06)*2+0.1</f>
        <v>0.66</v>
      </c>
      <c r="G1151" s="51">
        <f>E1143/0.2</f>
        <v>79.25</v>
      </c>
      <c r="H1151" s="51">
        <f>((E1151/1000)*(E1151/1000)*3.14*0.25)*7850</f>
        <v>0.15405625000000003</v>
      </c>
      <c r="I1151" s="51">
        <v>1</v>
      </c>
      <c r="J1151" s="102"/>
      <c r="K1151" s="70">
        <f>G1151*H1151*F1151*I1151</f>
        <v>8.0579121562500031</v>
      </c>
      <c r="M1151" s="93"/>
      <c r="N1151" s="68"/>
      <c r="O1151" s="115"/>
      <c r="Q1151" s="127"/>
    </row>
    <row r="1152" spans="2:17" ht="15" customHeight="1">
      <c r="B1152" s="150" t="str">
        <f>B1144</f>
        <v>VIGA DE AMARRAÇÃO</v>
      </c>
      <c r="E1152" s="101">
        <v>5</v>
      </c>
      <c r="F1152" s="51">
        <f>(F1144-0.06)*2+(G1144-0.06)*2+0.1</f>
        <v>0.66</v>
      </c>
      <c r="G1152" s="51">
        <f>E1144/0.2</f>
        <v>79.25</v>
      </c>
      <c r="H1152" s="51">
        <f>((E1152/1000)*(E1152/1000)*3.14*0.25)*7850</f>
        <v>0.15405625000000003</v>
      </c>
      <c r="I1152" s="51">
        <v>1</v>
      </c>
      <c r="J1152" s="102"/>
      <c r="K1152" s="70">
        <f>G1152*H1152*F1152*I1152</f>
        <v>8.0579121562500031</v>
      </c>
      <c r="M1152" s="93"/>
      <c r="N1152" s="68"/>
      <c r="O1152" s="115"/>
      <c r="Q1152" s="127"/>
    </row>
    <row r="1153" spans="2:17" ht="15" customHeight="1">
      <c r="B1153" s="150"/>
      <c r="E1153" s="118"/>
      <c r="F1153" s="58"/>
      <c r="G1153" s="58"/>
      <c r="J1153" s="102"/>
      <c r="K1153" s="70"/>
      <c r="N1153" s="104"/>
      <c r="O1153" s="115"/>
      <c r="Q1153" s="127"/>
    </row>
    <row r="1154" spans="2:17" ht="45.75" customHeight="1">
      <c r="B1154" s="150"/>
      <c r="C1154" s="26">
        <v>92762</v>
      </c>
      <c r="D1154" s="16" t="s">
        <v>8</v>
      </c>
      <c r="E1154" s="447" t="str">
        <f>IFERROR(VLOOKUP($C1154,'SINAPI JULHO 2018'!$1:$1048576,2,0),IFERROR(VLOOKUP($C1154,'5-COMP. PROPRIA'!$B$13:$I$518,4,0),""))</f>
        <v>ARMAÇÃO DE PILAR OU VIGA DE UMA ESTRUTURA CONVENCIONAL DE CONCRETO ARMADO EM UM EDIFÍCIO DE MÚLTIPLOS PAVIMENTOS UTILIZANDO AÇO CA-50 DE 10,0 MM - MONTAGEM. AF_12/2015</v>
      </c>
      <c r="F1154" s="448"/>
      <c r="G1154" s="448"/>
      <c r="H1154" s="448"/>
      <c r="I1154" s="448"/>
      <c r="J1154" s="449"/>
      <c r="K1154" s="184">
        <f>SUM(K1157:K1158)</f>
        <v>78.13733000000002</v>
      </c>
      <c r="L1154" s="58" t="s">
        <v>92</v>
      </c>
      <c r="M1154" s="52"/>
      <c r="N1154" s="68"/>
      <c r="O1154" s="115"/>
      <c r="Q1154" s="127"/>
    </row>
    <row r="1155" spans="2:17" ht="15" customHeight="1">
      <c r="B1155" s="150"/>
      <c r="E1155" s="118"/>
      <c r="H1155" s="70" t="s">
        <v>112</v>
      </c>
      <c r="I1155" s="69">
        <f>K1154/K1143</f>
        <v>123.24500000000003</v>
      </c>
      <c r="J1155" s="102"/>
      <c r="K1155" s="70"/>
      <c r="M1155" s="93"/>
      <c r="N1155" s="68"/>
      <c r="O1155" s="115"/>
      <c r="Q1155" s="127"/>
    </row>
    <row r="1156" spans="2:17" ht="15" customHeight="1">
      <c r="B1156" s="150"/>
      <c r="E1156" s="79" t="s">
        <v>93</v>
      </c>
      <c r="F1156" s="67" t="s">
        <v>106</v>
      </c>
      <c r="G1156" s="67" t="s">
        <v>94</v>
      </c>
      <c r="H1156" s="61" t="s">
        <v>95</v>
      </c>
      <c r="I1156" s="67" t="s">
        <v>54</v>
      </c>
      <c r="J1156" s="102"/>
      <c r="K1156" s="70"/>
      <c r="M1156" s="93"/>
      <c r="N1156" s="68"/>
      <c r="O1156" s="115"/>
      <c r="Q1156" s="127"/>
    </row>
    <row r="1157" spans="2:17" ht="15" customHeight="1">
      <c r="B1157" s="150" t="str">
        <f>B1143</f>
        <v>VIGA INTERMEDIARIA</v>
      </c>
      <c r="E1157" s="101">
        <v>10</v>
      </c>
      <c r="F1157" s="51">
        <f>E1143</f>
        <v>15.85</v>
      </c>
      <c r="G1157" s="51">
        <v>1</v>
      </c>
      <c r="H1157" s="51">
        <f>((E1157/1000)*(E1157/1000)*3.14*0.25)*7850</f>
        <v>0.61622500000000013</v>
      </c>
      <c r="I1157" s="51">
        <v>4</v>
      </c>
      <c r="J1157" s="102"/>
      <c r="K1157" s="70">
        <f>G1157*H1157*F1157*I1157</f>
        <v>39.06866500000001</v>
      </c>
      <c r="M1157" s="93"/>
      <c r="N1157" s="68"/>
      <c r="O1157" s="115"/>
      <c r="Q1157" s="127"/>
    </row>
    <row r="1158" spans="2:17" ht="15" customHeight="1">
      <c r="B1158" s="150" t="str">
        <f>B1144</f>
        <v>VIGA DE AMARRAÇÃO</v>
      </c>
      <c r="E1158" s="101">
        <v>10</v>
      </c>
      <c r="F1158" s="51">
        <f>E1144</f>
        <v>15.85</v>
      </c>
      <c r="G1158" s="51">
        <v>1</v>
      </c>
      <c r="H1158" s="51">
        <f>((E1158/1000)*(E1158/1000)*3.14*0.25)*7850</f>
        <v>0.61622500000000013</v>
      </c>
      <c r="I1158" s="51">
        <v>4</v>
      </c>
      <c r="J1158" s="102"/>
      <c r="K1158" s="70">
        <f>G1158*H1158*F1158*I1158</f>
        <v>39.06866500000001</v>
      </c>
      <c r="M1158" s="93"/>
      <c r="N1158" s="68"/>
      <c r="O1158" s="115"/>
      <c r="Q1158" s="127"/>
    </row>
    <row r="1159" spans="2:17" ht="15" customHeight="1">
      <c r="B1159" s="150"/>
      <c r="E1159" s="118"/>
      <c r="F1159" s="58"/>
      <c r="G1159" s="58"/>
      <c r="J1159" s="102"/>
      <c r="K1159" s="70"/>
      <c r="N1159" s="104"/>
      <c r="O1159" s="115"/>
      <c r="Q1159" s="127"/>
    </row>
    <row r="1160" spans="2:17" ht="51" customHeight="1">
      <c r="B1160" s="150"/>
      <c r="C1160" s="26">
        <v>92412</v>
      </c>
      <c r="D1160" s="16" t="s">
        <v>8</v>
      </c>
      <c r="E1160" s="447" t="str">
        <f>IFERROR(VLOOKUP($C1160,'SINAPI JULHO 2018'!$1:$1048576,2,0),IFERROR(VLOOKUP($C1160,'5-COMP. PROPRIA'!$B$13:$I$518,4,0),""))</f>
        <v>MONTAGEM E DESMONTAGEM DE FÔRMA DE PILARES RETANGULARES E ESTRUTURAS SIMILARES COM ÁREA MÉDIA DAS SEÇÕES MENOR OU IGUAL A 0,25 M², PÉ-DIREITO SIMPLES, EM MADEIRA SERRADA, 4 UTILIZAÇÕES. AF_12/2015</v>
      </c>
      <c r="F1160" s="448"/>
      <c r="G1160" s="448"/>
      <c r="H1160" s="448"/>
      <c r="I1160" s="448"/>
      <c r="J1160" s="449"/>
      <c r="K1160" s="184">
        <f>K1162+K1163</f>
        <v>25.36</v>
      </c>
      <c r="L1160" s="58" t="s">
        <v>25</v>
      </c>
      <c r="N1160" s="104"/>
      <c r="O1160" s="115"/>
      <c r="Q1160" s="127"/>
    </row>
    <row r="1161" spans="2:17" ht="15" customHeight="1">
      <c r="B1161" s="150"/>
      <c r="E1161" s="76" t="s">
        <v>68</v>
      </c>
      <c r="F1161" s="17" t="s">
        <v>107</v>
      </c>
      <c r="G1161" s="17" t="s">
        <v>108</v>
      </c>
      <c r="H1161" s="67" t="s">
        <v>47</v>
      </c>
      <c r="I1161" s="55"/>
      <c r="J1161" s="121"/>
      <c r="K1161" s="186"/>
      <c r="N1161" s="104"/>
      <c r="O1161" s="115"/>
      <c r="Q1161" s="127"/>
    </row>
    <row r="1162" spans="2:17" ht="15" customHeight="1">
      <c r="B1162" s="150" t="str">
        <f>B1143</f>
        <v>VIGA INTERMEDIARIA</v>
      </c>
      <c r="E1162" s="118">
        <f t="shared" ref="E1162:G1162" si="21">E1143</f>
        <v>15.85</v>
      </c>
      <c r="F1162" s="58">
        <f t="shared" si="21"/>
        <v>0.2</v>
      </c>
      <c r="G1162" s="58">
        <f t="shared" si="21"/>
        <v>0.2</v>
      </c>
      <c r="H1162" s="58">
        <v>4</v>
      </c>
      <c r="J1162" s="102"/>
      <c r="K1162" s="70">
        <f>E1162*G1162*H1162</f>
        <v>12.68</v>
      </c>
      <c r="N1162" s="104"/>
      <c r="O1162" s="115"/>
      <c r="Q1162" s="127"/>
    </row>
    <row r="1163" spans="2:17" ht="15" customHeight="1">
      <c r="B1163" s="150" t="str">
        <f>B1144</f>
        <v>VIGA DE AMARRAÇÃO</v>
      </c>
      <c r="E1163" s="118">
        <f>E1144</f>
        <v>15.85</v>
      </c>
      <c r="F1163" s="58">
        <f>F1144</f>
        <v>0.2</v>
      </c>
      <c r="G1163" s="58">
        <f>G1144</f>
        <v>0.2</v>
      </c>
      <c r="H1163" s="58">
        <v>4</v>
      </c>
      <c r="J1163" s="102"/>
      <c r="K1163" s="70">
        <f>E1163*G1163*H1163</f>
        <v>12.68</v>
      </c>
      <c r="N1163" s="104"/>
      <c r="O1163" s="115"/>
      <c r="Q1163" s="127"/>
    </row>
    <row r="1164" spans="2:17" ht="15" customHeight="1">
      <c r="B1164" s="157"/>
      <c r="E1164" s="266"/>
      <c r="F1164" s="99"/>
      <c r="G1164" s="99"/>
      <c r="H1164" s="99"/>
      <c r="I1164" s="99"/>
      <c r="J1164" s="267"/>
      <c r="M1164" s="93"/>
      <c r="N1164" s="68"/>
      <c r="O1164" s="115"/>
      <c r="Q1164" s="127"/>
    </row>
    <row r="1165" spans="2:17" ht="15" customHeight="1">
      <c r="B1165" s="157"/>
      <c r="E1165" s="453" t="s">
        <v>242</v>
      </c>
      <c r="F1165" s="454"/>
      <c r="G1165" s="454"/>
      <c r="H1165" s="454"/>
      <c r="I1165" s="454"/>
      <c r="J1165" s="455"/>
      <c r="M1165" s="93"/>
      <c r="N1165" s="68"/>
      <c r="O1165" s="115"/>
      <c r="Q1165" s="127"/>
    </row>
    <row r="1166" spans="2:17" ht="15" customHeight="1">
      <c r="B1166" s="157"/>
      <c r="E1166" s="266"/>
      <c r="F1166" s="99"/>
      <c r="G1166" s="99"/>
      <c r="H1166" s="99"/>
      <c r="I1166" s="99"/>
      <c r="J1166" s="267"/>
      <c r="M1166" s="93"/>
      <c r="N1166" s="68"/>
      <c r="O1166" s="115"/>
      <c r="Q1166" s="127"/>
    </row>
    <row r="1167" spans="2:17" ht="43.5" customHeight="1">
      <c r="B1167" s="157"/>
      <c r="C1167" s="26">
        <v>89977</v>
      </c>
      <c r="D1167" s="16" t="s">
        <v>8</v>
      </c>
      <c r="E1167" s="447" t="str">
        <f>IFERROR(VLOOKUP($C1167,'SINAPI JULHO 2018'!$1:$1048576,2,0),IFERROR(VLOOKUP($C1167,'5-COMP. PROPRIA'!$B$13:$I$518,4,0),""))</f>
        <v>(COMPOSIÇÃO REPRESENTATIVA) DO SERVIÇO DE ALVENARIA DE VEDAÇÃO DE BLOCOS VAZADOS DE CERÂMICA DE 14X9X19CM (ESPESSURA 14CM, BLOCO DEITADO), PARA EDIFICAÇÃO HABITACIONAL UNIFAMILIAR (CASA) E EDIFICAÇÃO PÚBLICA PADRÃO. AF_12/2014</v>
      </c>
      <c r="F1167" s="448"/>
      <c r="G1167" s="448"/>
      <c r="H1167" s="448"/>
      <c r="I1167" s="448"/>
      <c r="J1167" s="449"/>
      <c r="K1167" s="184">
        <f>K1169</f>
        <v>51.109999999999992</v>
      </c>
      <c r="L1167" s="57" t="s">
        <v>145</v>
      </c>
      <c r="M1167" s="93"/>
      <c r="N1167" s="68"/>
      <c r="O1167" s="115"/>
      <c r="Q1167" s="127"/>
    </row>
    <row r="1168" spans="2:17" ht="15" customHeight="1">
      <c r="B1168" s="157"/>
      <c r="E1168" s="76" t="s">
        <v>106</v>
      </c>
      <c r="F1168" s="17" t="s">
        <v>108</v>
      </c>
      <c r="G1168" s="99"/>
      <c r="H1168" s="99"/>
      <c r="I1168" s="99"/>
      <c r="J1168" s="267"/>
      <c r="M1168" s="93"/>
      <c r="N1168" s="68"/>
      <c r="O1168" s="115"/>
      <c r="Q1168" s="127"/>
    </row>
    <row r="1169" spans="2:17" ht="15" customHeight="1">
      <c r="B1169" s="157"/>
      <c r="E1169" s="266">
        <f>15.85-(6*0.4)</f>
        <v>13.45</v>
      </c>
      <c r="F1169" s="99">
        <v>3.8</v>
      </c>
      <c r="G1169" s="99"/>
      <c r="H1169" s="99"/>
      <c r="I1169" s="99"/>
      <c r="J1169" s="267"/>
      <c r="K1169" s="180">
        <f>E1169*F1169</f>
        <v>51.109999999999992</v>
      </c>
      <c r="M1169" s="93"/>
      <c r="N1169" s="68"/>
      <c r="O1169" s="115"/>
      <c r="Q1169" s="127"/>
    </row>
    <row r="1170" spans="2:17" ht="15" customHeight="1">
      <c r="B1170" s="157"/>
      <c r="E1170" s="266"/>
      <c r="F1170" s="99"/>
      <c r="G1170" s="99"/>
      <c r="H1170" s="99"/>
      <c r="I1170" s="99"/>
      <c r="J1170" s="267"/>
      <c r="M1170" s="93"/>
      <c r="N1170" s="68"/>
      <c r="O1170" s="115"/>
      <c r="Q1170" s="127"/>
    </row>
    <row r="1171" spans="2:17" ht="49.5" customHeight="1">
      <c r="B1171" s="157"/>
      <c r="C1171" s="26">
        <v>87894</v>
      </c>
      <c r="D1171" s="16" t="s">
        <v>8</v>
      </c>
      <c r="E1171" s="447" t="str">
        <f>IFERROR(VLOOKUP($C1171,'SINAPI JULHO 2018'!$1:$1048576,2,0),IFERROR(VLOOKUP($C1171,'5-COMP. PROPRIA'!$B$13:$I$518,4,0),""))</f>
        <v>CHAPISCO APLICADO EM ALVENARIA (SEM PRESENÇA DE VÃOS) E ESTRUTURAS DE CONCRETO DE FACHADA, COM COLHER DE PEDREIRO.  ARGAMASSA TRAÇO 1:3 COM PREPARO EM BETONEIRA 400L. AF_06/2014</v>
      </c>
      <c r="F1171" s="448"/>
      <c r="G1171" s="448"/>
      <c r="H1171" s="448"/>
      <c r="I1171" s="448"/>
      <c r="J1171" s="449"/>
      <c r="K1171" s="184">
        <f>K1167*2</f>
        <v>102.21999999999998</v>
      </c>
      <c r="L1171" s="184" t="s">
        <v>145</v>
      </c>
      <c r="M1171" s="184"/>
      <c r="N1171" s="68"/>
      <c r="O1171" s="115"/>
      <c r="Q1171" s="127"/>
    </row>
    <row r="1172" spans="2:17" ht="15" customHeight="1">
      <c r="B1172" s="157"/>
      <c r="E1172" s="266"/>
      <c r="F1172" s="99"/>
      <c r="G1172" s="99"/>
      <c r="H1172" s="99"/>
      <c r="I1172" s="99"/>
      <c r="J1172" s="267"/>
      <c r="M1172" s="93"/>
      <c r="N1172" s="68"/>
      <c r="O1172" s="115"/>
      <c r="Q1172" s="127"/>
    </row>
    <row r="1173" spans="2:17" ht="36.75" customHeight="1">
      <c r="B1173" s="157"/>
      <c r="C1173" s="26">
        <v>87529</v>
      </c>
      <c r="D1173" s="16" t="s">
        <v>8</v>
      </c>
      <c r="E1173" s="447" t="str">
        <f>IFERROR(VLOOKUP($C1173,'SINAPI JULHO 2018'!$1:$1048576,2,0),IFERROR(VLOOKUP($C1173,'5-COMP. PROPRIA'!$B$13:$I$518,4,0),""))</f>
        <v>MASSA ÚNICA, PARA RECEBIMENTO DE PINTURA, EM ARGAMASSA TRAÇO 1:2:8, PREPARO MECÂNICO COM BETONEIRA 400L, APLICADA MANUALMENTE EM FACES INTERNAS DE PAREDES, ESPESSURA DE 20MM, COM EXECUÇÃO DE TALISCAS. AF_06/2014</v>
      </c>
      <c r="F1173" s="448"/>
      <c r="G1173" s="448"/>
      <c r="H1173" s="448"/>
      <c r="I1173" s="448"/>
      <c r="J1173" s="449"/>
      <c r="K1173" s="184">
        <f>K1171</f>
        <v>102.21999999999998</v>
      </c>
      <c r="L1173" s="57" t="s">
        <v>145</v>
      </c>
      <c r="M1173" s="93"/>
      <c r="N1173" s="68"/>
      <c r="O1173" s="115"/>
      <c r="Q1173" s="127"/>
    </row>
    <row r="1174" spans="2:17" ht="15" customHeight="1">
      <c r="B1174" s="157"/>
      <c r="E1174" s="266"/>
      <c r="F1174" s="99"/>
      <c r="G1174" s="99"/>
      <c r="H1174" s="99"/>
      <c r="I1174" s="99"/>
      <c r="J1174" s="267"/>
      <c r="M1174" s="93"/>
      <c r="N1174" s="68"/>
      <c r="O1174" s="115"/>
      <c r="Q1174" s="127"/>
    </row>
    <row r="1175" spans="2:17" ht="15" customHeight="1">
      <c r="B1175" s="157"/>
      <c r="C1175" s="16" t="s">
        <v>167</v>
      </c>
      <c r="D1175" s="16" t="s">
        <v>35</v>
      </c>
      <c r="E1175" s="447" t="str">
        <f>IFERROR(VLOOKUP($C1175,'SINAPI JULHO 2018'!$1:$1048576,2,0),IFERROR(VLOOKUP($C1175,'5-COMP. PROPRIA'!$B$13:$I$518,4,0),""))</f>
        <v>LIXAMENTO MANUAL DE CONCRETO APARENTE</v>
      </c>
      <c r="F1175" s="448"/>
      <c r="G1175" s="448"/>
      <c r="H1175" s="448"/>
      <c r="I1175" s="448"/>
      <c r="J1175" s="449"/>
      <c r="K1175" s="184">
        <f>(15.85*4.2*2)+((0.25*2*6)*4.2)</f>
        <v>145.74</v>
      </c>
      <c r="L1175" s="57" t="s">
        <v>145</v>
      </c>
      <c r="M1175" s="93"/>
      <c r="N1175" s="68"/>
      <c r="O1175" s="115"/>
      <c r="Q1175" s="127"/>
    </row>
    <row r="1176" spans="2:17" ht="15" customHeight="1">
      <c r="B1176" s="157"/>
      <c r="E1176" s="266"/>
      <c r="F1176" s="99"/>
      <c r="G1176" s="99"/>
      <c r="H1176" s="99"/>
      <c r="I1176" s="99"/>
      <c r="J1176" s="267"/>
      <c r="M1176" s="93"/>
      <c r="N1176" s="68"/>
      <c r="O1176" s="115"/>
      <c r="Q1176" s="127"/>
    </row>
    <row r="1177" spans="2:17" ht="15" customHeight="1">
      <c r="B1177" s="157"/>
      <c r="C1177" s="26">
        <v>88485</v>
      </c>
      <c r="D1177" s="16" t="s">
        <v>8</v>
      </c>
      <c r="E1177" s="447" t="str">
        <f>IFERROR(VLOOKUP($C1177,'SINAPI JULHO 2018'!$1:$1048576,2,0),IFERROR(VLOOKUP($C1177,'5-COMP. PROPRIA'!$B$13:$I$518,4,0),""))</f>
        <v>APLICAÇÃO DE FUNDO SELADOR ACRÍLICO EM PAREDES, UMA DEMÃO. AF_06/2014</v>
      </c>
      <c r="F1177" s="448"/>
      <c r="G1177" s="448"/>
      <c r="H1177" s="448"/>
      <c r="I1177" s="448"/>
      <c r="J1177" s="449"/>
      <c r="K1177" s="184">
        <f>K1175</f>
        <v>145.74</v>
      </c>
      <c r="L1177" s="57" t="s">
        <v>145</v>
      </c>
      <c r="M1177" s="93"/>
      <c r="N1177" s="68"/>
      <c r="O1177" s="115"/>
      <c r="Q1177" s="127"/>
    </row>
    <row r="1178" spans="2:17" ht="15" customHeight="1">
      <c r="B1178" s="157"/>
      <c r="E1178" s="266"/>
      <c r="F1178" s="99"/>
      <c r="G1178" s="99"/>
      <c r="H1178" s="99"/>
      <c r="I1178" s="99"/>
      <c r="J1178" s="267"/>
      <c r="M1178" s="93"/>
      <c r="N1178" s="68"/>
      <c r="O1178" s="115"/>
      <c r="Q1178" s="127"/>
    </row>
    <row r="1179" spans="2:17" ht="15" customHeight="1">
      <c r="B1179" s="157"/>
      <c r="C1179" s="26">
        <v>88489</v>
      </c>
      <c r="D1179" s="16" t="s">
        <v>8</v>
      </c>
      <c r="E1179" s="447" t="str">
        <f>IFERROR(VLOOKUP($C1179,'SINAPI JULHO 2018'!$1:$1048576,2,0),IFERROR(VLOOKUP($C1179,'5-COMP. PROPRIA'!$B$13:$I$518,4,0),""))</f>
        <v>APLICAÇÃO MANUAL DE PINTURA COM TINTA LÁTEX ACRÍLICA EM PAREDES, DUAS DEMÃOS. AF_06/2014</v>
      </c>
      <c r="F1179" s="448"/>
      <c r="G1179" s="448"/>
      <c r="H1179" s="448"/>
      <c r="I1179" s="448"/>
      <c r="J1179" s="449"/>
      <c r="K1179" s="184">
        <f>($K$1177/4.2)*3.2</f>
        <v>111.04000000000002</v>
      </c>
      <c r="L1179" s="57" t="s">
        <v>145</v>
      </c>
      <c r="M1179" s="93"/>
      <c r="N1179" s="68"/>
      <c r="O1179" s="115"/>
      <c r="Q1179" s="127"/>
    </row>
    <row r="1180" spans="2:17" ht="15" customHeight="1">
      <c r="B1180" s="157"/>
      <c r="E1180" s="266"/>
      <c r="F1180" s="99"/>
      <c r="G1180" s="99"/>
      <c r="H1180" s="99"/>
      <c r="I1180" s="99"/>
      <c r="J1180" s="267"/>
      <c r="M1180" s="93"/>
      <c r="N1180" s="68"/>
      <c r="O1180" s="115"/>
      <c r="Q1180" s="127"/>
    </row>
    <row r="1181" spans="2:17" ht="15" customHeight="1">
      <c r="B1181" s="157"/>
      <c r="C1181" s="16" t="s">
        <v>168</v>
      </c>
      <c r="D1181" s="16" t="s">
        <v>35</v>
      </c>
      <c r="E1181" s="447" t="str">
        <f>IFERROR(VLOOKUP($C1181,'SINAPI JULHO 2018'!$1:$1048576,2,0),IFERROR(VLOOKUP($C1181,'5-COMP. PROPRIA'!$B$13:$I$518,4,0),""))</f>
        <v xml:space="preserve">PINTURA COM TINTA ESMALTE SINTÉTICO </v>
      </c>
      <c r="F1181" s="448"/>
      <c r="G1181" s="448"/>
      <c r="H1181" s="448"/>
      <c r="I1181" s="448"/>
      <c r="J1181" s="449"/>
      <c r="K1181" s="184">
        <f>($K$1177/4.2)*1.2</f>
        <v>41.64</v>
      </c>
      <c r="L1181" s="57" t="s">
        <v>145</v>
      </c>
      <c r="M1181" s="93"/>
      <c r="N1181" s="68"/>
      <c r="O1181" s="115"/>
      <c r="Q1181" s="127"/>
    </row>
    <row r="1182" spans="2:17" ht="15" customHeight="1">
      <c r="B1182" s="157"/>
      <c r="C1182" s="16"/>
      <c r="D1182" s="16"/>
      <c r="E1182" s="276"/>
      <c r="F1182" s="221"/>
      <c r="G1182" s="221"/>
      <c r="H1182" s="221"/>
      <c r="I1182" s="221"/>
      <c r="J1182" s="222"/>
      <c r="K1182" s="184"/>
      <c r="L1182" s="57"/>
      <c r="M1182" s="93"/>
      <c r="N1182" s="68"/>
      <c r="O1182" s="115"/>
      <c r="Q1182" s="127"/>
    </row>
    <row r="1183" spans="2:17" ht="15" customHeight="1">
      <c r="B1183" s="157"/>
      <c r="C1183" s="16" t="s">
        <v>236</v>
      </c>
      <c r="D1183" s="16" t="s">
        <v>35</v>
      </c>
      <c r="E1183" s="447" t="str">
        <f>IFERROR(VLOOKUP($C1183,'SINAPI JULHO 2018'!$1:$1048576,2,0),IFERROR(VLOOKUP($C1183,'5-COMP. PROPRIA'!$B$13:$I$518,4,0),""))</f>
        <v xml:space="preserve">PINTURA DE LOGOMARCA  E NOMENCLATURA </v>
      </c>
      <c r="F1183" s="448"/>
      <c r="G1183" s="448"/>
      <c r="H1183" s="448"/>
      <c r="I1183" s="448"/>
      <c r="J1183" s="449"/>
      <c r="K1183" s="184">
        <v>20</v>
      </c>
      <c r="L1183" s="57" t="s">
        <v>145</v>
      </c>
      <c r="M1183" s="93"/>
      <c r="N1183" s="68"/>
      <c r="O1183" s="115"/>
      <c r="Q1183" s="127"/>
    </row>
    <row r="1184" spans="2:17" ht="15" customHeight="1">
      <c r="B1184" s="157"/>
      <c r="C1184" s="16"/>
      <c r="D1184" s="16"/>
      <c r="E1184" s="276"/>
      <c r="F1184" s="221"/>
      <c r="G1184" s="221"/>
      <c r="H1184" s="221"/>
      <c r="I1184" s="221"/>
      <c r="J1184" s="222"/>
      <c r="K1184" s="184"/>
      <c r="L1184" s="57"/>
      <c r="M1184" s="93"/>
      <c r="N1184" s="68"/>
      <c r="O1184" s="115"/>
      <c r="Q1184" s="127"/>
    </row>
    <row r="1185" spans="2:17" s="359" customFormat="1" ht="15" customHeight="1">
      <c r="B1185" s="315"/>
      <c r="C1185" s="316"/>
      <c r="D1185" s="316"/>
      <c r="E1185" s="494" t="s">
        <v>243</v>
      </c>
      <c r="F1185" s="495"/>
      <c r="G1185" s="495"/>
      <c r="H1185" s="495"/>
      <c r="I1185" s="495"/>
      <c r="J1185" s="496"/>
      <c r="K1185" s="355"/>
      <c r="L1185" s="317"/>
      <c r="M1185" s="356"/>
      <c r="N1185" s="357"/>
      <c r="O1185" s="358"/>
      <c r="Q1185" s="360"/>
    </row>
    <row r="1186" spans="2:17" ht="15" customHeight="1">
      <c r="B1186" s="157"/>
      <c r="E1186" s="266"/>
      <c r="F1186" s="99"/>
      <c r="G1186" s="99"/>
      <c r="H1186" s="99"/>
      <c r="I1186" s="99"/>
      <c r="J1186" s="267"/>
      <c r="M1186" s="93"/>
      <c r="N1186" s="68"/>
      <c r="O1186" s="115"/>
      <c r="Q1186" s="127"/>
    </row>
    <row r="1187" spans="2:17" ht="15" customHeight="1">
      <c r="B1187" s="295"/>
      <c r="C1187" s="296"/>
      <c r="D1187" s="296"/>
      <c r="E1187" s="467" t="s">
        <v>244</v>
      </c>
      <c r="F1187" s="468"/>
      <c r="G1187" s="468"/>
      <c r="H1187" s="468"/>
      <c r="I1187" s="468"/>
      <c r="J1187" s="469"/>
      <c r="K1187" s="297"/>
      <c r="L1187" s="298"/>
      <c r="M1187" s="299"/>
      <c r="N1187" s="300"/>
      <c r="O1187" s="115"/>
      <c r="Q1187" s="127"/>
    </row>
    <row r="1188" spans="2:17" ht="15" customHeight="1">
      <c r="B1188" s="150"/>
      <c r="E1188" s="276"/>
      <c r="F1188" s="221"/>
      <c r="G1188" s="221"/>
      <c r="H1188" s="221"/>
      <c r="I1188" s="221"/>
      <c r="J1188" s="222"/>
      <c r="K1188" s="184"/>
      <c r="M1188" s="93"/>
      <c r="N1188" s="68"/>
      <c r="O1188" s="115"/>
      <c r="Q1188" s="127"/>
    </row>
    <row r="1189" spans="2:17" ht="15" customHeight="1">
      <c r="B1189" s="150"/>
      <c r="E1189" s="500" t="s">
        <v>245</v>
      </c>
      <c r="F1189" s="501"/>
      <c r="G1189" s="501"/>
      <c r="H1189" s="501"/>
      <c r="I1189" s="501"/>
      <c r="J1189" s="502"/>
      <c r="K1189" s="183"/>
      <c r="L1189" s="56"/>
      <c r="M1189" s="93"/>
      <c r="N1189" s="107"/>
      <c r="O1189" s="115"/>
      <c r="Q1189" s="127"/>
    </row>
    <row r="1190" spans="2:17" ht="15" customHeight="1">
      <c r="B1190" s="150"/>
      <c r="E1190" s="118"/>
      <c r="J1190" s="102"/>
      <c r="N1190" s="104"/>
      <c r="O1190" s="115"/>
      <c r="Q1190" s="127"/>
    </row>
    <row r="1191" spans="2:17" ht="15" customHeight="1">
      <c r="B1191" s="150"/>
      <c r="C1191" s="26">
        <v>96523</v>
      </c>
      <c r="D1191" s="16" t="s">
        <v>8</v>
      </c>
      <c r="E1191" s="447" t="str">
        <f>IFERROR(VLOOKUP($C1191,'SINAPI JULHO 2018'!$1:$1048576,2,0),IFERROR(VLOOKUP($C1191,'5-COMP. PROPRIA'!$B$13:$I$518,4,0),""))</f>
        <v>ESCAVAÇÃO MANUAL PARA BLOCO DE COROAMENTO OU SAPATA, COM PREVISÃO DE FÔRMA. AF_06/2017</v>
      </c>
      <c r="F1191" s="448"/>
      <c r="G1191" s="448"/>
      <c r="H1191" s="448"/>
      <c r="I1191" s="448"/>
      <c r="J1191" s="449"/>
      <c r="K1191" s="184">
        <f>SUM(K1193:K1193)</f>
        <v>1.29375</v>
      </c>
      <c r="L1191" s="58" t="s">
        <v>65</v>
      </c>
      <c r="N1191" s="104"/>
      <c r="O1191" s="115"/>
      <c r="Q1191" s="127"/>
    </row>
    <row r="1192" spans="2:17" ht="15" customHeight="1">
      <c r="B1192" s="152" t="s">
        <v>246</v>
      </c>
      <c r="E1192" s="76" t="s">
        <v>106</v>
      </c>
      <c r="F1192" s="17" t="s">
        <v>107</v>
      </c>
      <c r="G1192" s="17" t="s">
        <v>108</v>
      </c>
      <c r="H1192" s="67" t="s">
        <v>47</v>
      </c>
      <c r="I1192" s="55"/>
      <c r="J1192" s="121"/>
      <c r="K1192" s="186"/>
      <c r="N1192" s="104"/>
      <c r="O1192" s="115"/>
      <c r="Q1192" s="127"/>
    </row>
    <row r="1193" spans="2:17" ht="15" customHeight="1">
      <c r="B1193" s="150" t="s">
        <v>247</v>
      </c>
      <c r="E1193" s="101">
        <f>0.6+0.15</f>
        <v>0.75</v>
      </c>
      <c r="F1193" s="126">
        <f>0.6+0.15</f>
        <v>0.75</v>
      </c>
      <c r="G1193" s="71">
        <f>0.1+0.05+1</f>
        <v>1.1499999999999999</v>
      </c>
      <c r="H1193" s="71">
        <f>H1201</f>
        <v>2</v>
      </c>
      <c r="J1193" s="102"/>
      <c r="K1193" s="70">
        <f>H1193*G1193*F1193*E1193</f>
        <v>1.29375</v>
      </c>
      <c r="N1193" s="104"/>
      <c r="O1193" s="115"/>
      <c r="Q1193" s="127"/>
    </row>
    <row r="1194" spans="2:17" ht="15" customHeight="1">
      <c r="B1194" s="150"/>
      <c r="E1194" s="112"/>
      <c r="J1194" s="102"/>
      <c r="K1194" s="183"/>
      <c r="M1194" s="120"/>
      <c r="N1194" s="68"/>
      <c r="O1194" s="115"/>
      <c r="Q1194" s="127"/>
    </row>
    <row r="1195" spans="2:17" ht="15" customHeight="1">
      <c r="B1195" s="150"/>
      <c r="C1195" s="26">
        <v>96617</v>
      </c>
      <c r="D1195" s="16" t="s">
        <v>8</v>
      </c>
      <c r="E1195" s="447" t="str">
        <f>IFERROR(VLOOKUP($C1195,'SINAPI JULHO 2018'!$1:$1048576,2,0),IFERROR(VLOOKUP($C1195,'5-COMP. PROPRIA'!$B$13:$I$518,4,0),""))</f>
        <v>LASTRO DE CONCRETO MAGRO, APLICADO EM BLOCOS DE COROAMENTO OU SAPATAS, ESPESSURA DE 3 CM. AF_08/2017</v>
      </c>
      <c r="F1195" s="448"/>
      <c r="G1195" s="448"/>
      <c r="H1195" s="448"/>
      <c r="I1195" s="448"/>
      <c r="J1195" s="449"/>
      <c r="K1195" s="184">
        <f>SUM(K1197:K1197)</f>
        <v>0.72</v>
      </c>
      <c r="L1195" s="57" t="s">
        <v>25</v>
      </c>
      <c r="M1195" s="52">
        <f>K1195*0.05</f>
        <v>3.5999999999999997E-2</v>
      </c>
      <c r="N1195" s="109" t="s">
        <v>65</v>
      </c>
      <c r="O1195" s="115"/>
      <c r="Q1195" s="127"/>
    </row>
    <row r="1196" spans="2:17" ht="15" customHeight="1">
      <c r="B1196" s="150"/>
      <c r="E1196" s="76" t="s">
        <v>106</v>
      </c>
      <c r="F1196" s="17" t="s">
        <v>107</v>
      </c>
      <c r="H1196" s="67" t="s">
        <v>47</v>
      </c>
      <c r="J1196" s="102"/>
      <c r="N1196" s="104"/>
      <c r="O1196" s="115"/>
      <c r="Q1196" s="127"/>
    </row>
    <row r="1197" spans="2:17" ht="15" customHeight="1">
      <c r="B1197" s="150" t="s">
        <v>247</v>
      </c>
      <c r="E1197" s="118">
        <f>E1201</f>
        <v>0.6</v>
      </c>
      <c r="F1197" s="51">
        <f>F1201</f>
        <v>0.6</v>
      </c>
      <c r="H1197" s="51">
        <f>H1193</f>
        <v>2</v>
      </c>
      <c r="J1197" s="102"/>
      <c r="K1197" s="70">
        <f>H1197*F1197*E1197</f>
        <v>0.72</v>
      </c>
      <c r="N1197" s="104"/>
      <c r="O1197" s="115"/>
      <c r="Q1197" s="127"/>
    </row>
    <row r="1198" spans="2:17" ht="15" customHeight="1">
      <c r="B1198" s="150"/>
      <c r="E1198" s="118"/>
      <c r="J1198" s="102"/>
      <c r="N1198" s="104"/>
      <c r="O1198" s="115"/>
      <c r="Q1198" s="127"/>
    </row>
    <row r="1199" spans="2:17" ht="36.75" customHeight="1">
      <c r="B1199" s="150"/>
      <c r="C1199" s="26">
        <v>94965</v>
      </c>
      <c r="D1199" s="16" t="s">
        <v>8</v>
      </c>
      <c r="E1199" s="447" t="str">
        <f>IFERROR(VLOOKUP($C1199,'SINAPI JULHO 2018'!$1:$1048576,2,0),IFERROR(VLOOKUP($C1199,'5-COMP. PROPRIA'!$B$13:$I$518,4,0),""))</f>
        <v>CONCRETO FCK = 25MPA, TRAÇO 1:2,3:2,7 (CIMENTO/ AREIA MÉDIA/ BRITA 1)  - PREPARO MECÂNICO COM BETONEIRA 400 L. AF_07/2016</v>
      </c>
      <c r="F1199" s="448"/>
      <c r="G1199" s="448"/>
      <c r="H1199" s="448"/>
      <c r="I1199" s="448"/>
      <c r="J1199" s="449"/>
      <c r="K1199" s="184">
        <f>SUM(K1201:K1201)</f>
        <v>7.1999999999999995E-2</v>
      </c>
      <c r="L1199" s="58" t="s">
        <v>65</v>
      </c>
      <c r="M1199" s="52"/>
      <c r="N1199" s="109"/>
      <c r="O1199" s="115"/>
      <c r="Q1199" s="127"/>
    </row>
    <row r="1200" spans="2:17" ht="15" customHeight="1">
      <c r="B1200" s="150"/>
      <c r="E1200" s="76" t="s">
        <v>106</v>
      </c>
      <c r="F1200" s="17" t="s">
        <v>107</v>
      </c>
      <c r="G1200" s="17" t="s">
        <v>108</v>
      </c>
      <c r="H1200" s="67" t="s">
        <v>47</v>
      </c>
      <c r="J1200" s="102"/>
      <c r="N1200" s="104"/>
      <c r="O1200" s="115"/>
      <c r="Q1200" s="127"/>
    </row>
    <row r="1201" spans="2:17" ht="15" customHeight="1">
      <c r="B1201" s="150" t="s">
        <v>247</v>
      </c>
      <c r="E1201" s="101">
        <v>0.6</v>
      </c>
      <c r="F1201" s="71">
        <v>0.6</v>
      </c>
      <c r="G1201" s="71">
        <v>0.1</v>
      </c>
      <c r="H1201" s="71">
        <v>2</v>
      </c>
      <c r="J1201" s="102"/>
      <c r="K1201" s="70">
        <f>E1201*F1201*G1201*H1201</f>
        <v>7.1999999999999995E-2</v>
      </c>
      <c r="N1201" s="104"/>
      <c r="O1201" s="115"/>
      <c r="Q1201" s="127"/>
    </row>
    <row r="1202" spans="2:17" ht="15" customHeight="1">
      <c r="B1202" s="150"/>
      <c r="E1202" s="118"/>
      <c r="J1202" s="102"/>
      <c r="N1202" s="104"/>
      <c r="O1202" s="115"/>
      <c r="Q1202" s="127"/>
    </row>
    <row r="1203" spans="2:17" ht="15" customHeight="1">
      <c r="B1203" s="150"/>
      <c r="C1203" s="26" t="s">
        <v>111</v>
      </c>
      <c r="D1203" s="16" t="s">
        <v>8</v>
      </c>
      <c r="E1203" s="447" t="str">
        <f>IFERROR(VLOOKUP($C1203,'SINAPI JULHO 2018'!$1:$1048576,2,0),IFERROR(VLOOKUP($C1203,'5-COMP. PROPRIA'!$B$13:$I$518,4,0),""))</f>
        <v>LANCAMENTO/APLICACAO MANUAL DE CONCRETO EM FUNDACOES</v>
      </c>
      <c r="F1203" s="448"/>
      <c r="G1203" s="448"/>
      <c r="H1203" s="448"/>
      <c r="I1203" s="448"/>
      <c r="J1203" s="449"/>
      <c r="K1203" s="184">
        <f>K1199</f>
        <v>7.1999999999999995E-2</v>
      </c>
      <c r="L1203" s="58" t="s">
        <v>65</v>
      </c>
      <c r="M1203" s="52"/>
      <c r="N1203" s="109"/>
      <c r="O1203" s="115"/>
      <c r="Q1203" s="127"/>
    </row>
    <row r="1204" spans="2:17" ht="15" customHeight="1">
      <c r="B1204" s="150"/>
      <c r="E1204" s="276"/>
      <c r="F1204" s="221"/>
      <c r="G1204" s="221"/>
      <c r="H1204" s="221"/>
      <c r="I1204" s="221"/>
      <c r="J1204" s="222"/>
      <c r="K1204" s="184"/>
      <c r="M1204" s="93"/>
      <c r="N1204" s="68"/>
      <c r="O1204" s="115"/>
      <c r="Q1204" s="127"/>
    </row>
    <row r="1205" spans="2:17" ht="15" customHeight="1">
      <c r="C1205" s="26">
        <v>96545</v>
      </c>
      <c r="D1205" s="16" t="s">
        <v>8</v>
      </c>
      <c r="E1205" s="447" t="str">
        <f>IFERROR(VLOOKUP($C1205,'SINAPI JULHO 2018'!$1:$1048576,2,0),IFERROR(VLOOKUP($C1205,'5-COMP. PROPRIA'!$B$13:$I$518,4,0),""))</f>
        <v>ARMAÇÃO DE BLOCO, VIGA BALDRAME OU SAPATA UTILIZANDO AÇO CA-50 DE 8 MM - MONTAGEM. AF_06/2017</v>
      </c>
      <c r="F1205" s="448"/>
      <c r="G1205" s="448"/>
      <c r="H1205" s="448"/>
      <c r="I1205" s="448"/>
      <c r="J1205" s="449"/>
      <c r="K1205" s="184">
        <f>SUM(K1208:K1208)</f>
        <v>5.3636224000000015</v>
      </c>
      <c r="L1205" s="58" t="s">
        <v>92</v>
      </c>
      <c r="M1205" s="52"/>
      <c r="N1205" s="109"/>
      <c r="O1205" s="115"/>
      <c r="Q1205" s="127"/>
    </row>
    <row r="1206" spans="2:17" ht="15" customHeight="1">
      <c r="B1206" s="150"/>
      <c r="E1206" s="118"/>
      <c r="H1206" s="70" t="s">
        <v>112</v>
      </c>
      <c r="I1206" s="69">
        <f>K1205/K1199</f>
        <v>74.494755555555585</v>
      </c>
      <c r="J1206" s="102"/>
      <c r="K1206" s="70"/>
      <c r="N1206" s="104"/>
      <c r="O1206" s="115"/>
      <c r="Q1206" s="127"/>
    </row>
    <row r="1207" spans="2:17" ht="15" customHeight="1">
      <c r="B1207" s="150"/>
      <c r="E1207" s="79" t="s">
        <v>93</v>
      </c>
      <c r="F1207" s="67" t="s">
        <v>27</v>
      </c>
      <c r="G1207" s="67" t="s">
        <v>94</v>
      </c>
      <c r="H1207" s="61" t="s">
        <v>95</v>
      </c>
      <c r="I1207" s="61"/>
      <c r="J1207" s="102"/>
      <c r="K1207" s="70"/>
      <c r="N1207" s="104"/>
      <c r="O1207" s="115"/>
      <c r="Q1207" s="127"/>
    </row>
    <row r="1208" spans="2:17" ht="15" customHeight="1">
      <c r="B1208" s="150"/>
      <c r="E1208" s="101">
        <v>8</v>
      </c>
      <c r="F1208" s="51">
        <f>(0.54+0.07+0.07)*10</f>
        <v>6.8000000000000016</v>
      </c>
      <c r="G1208" s="51">
        <v>2</v>
      </c>
      <c r="H1208" s="51">
        <f>((E1208/1000)*(E1208/1000)*3.14*0.25)*7850</f>
        <v>0.39438400000000001</v>
      </c>
      <c r="J1208" s="102"/>
      <c r="K1208" s="70">
        <f>G1208*H1208*F1208</f>
        <v>5.3636224000000015</v>
      </c>
      <c r="N1208" s="104"/>
      <c r="O1208" s="115"/>
      <c r="Q1208" s="127"/>
    </row>
    <row r="1209" spans="2:17" ht="15" customHeight="1">
      <c r="B1209" s="150"/>
      <c r="E1209" s="276"/>
      <c r="J1209" s="102"/>
      <c r="K1209" s="70"/>
      <c r="N1209" s="104"/>
      <c r="O1209" s="115"/>
      <c r="Q1209" s="127"/>
    </row>
    <row r="1210" spans="2:17" ht="42" customHeight="1">
      <c r="B1210" s="150"/>
      <c r="C1210" s="26">
        <v>96529</v>
      </c>
      <c r="D1210" s="16" t="s">
        <v>8</v>
      </c>
      <c r="E1210" s="447" t="str">
        <f>IFERROR(VLOOKUP($C1210,'SINAPI JULHO 2018'!$1:$1048576,2,0),IFERROR(VLOOKUP($C1210,'5-COMP. PROPRIA'!$B$13:$I$518,4,0),""))</f>
        <v>FABRICAÇÃO, MONTAGEM E DESMONTAGEM DE FÔRMA PARA SAPATA, EM MADEIRA SERRADA, E=25 MM, 1 UTILIZAÇÃO. AF_06/2017</v>
      </c>
      <c r="F1210" s="448"/>
      <c r="G1210" s="448"/>
      <c r="H1210" s="448"/>
      <c r="I1210" s="448"/>
      <c r="J1210" s="449"/>
      <c r="K1210" s="184">
        <f>SUM(K1212:K1212)</f>
        <v>0.48</v>
      </c>
      <c r="L1210" s="58" t="s">
        <v>25</v>
      </c>
      <c r="N1210" s="104"/>
      <c r="O1210" s="115"/>
      <c r="Q1210" s="127"/>
    </row>
    <row r="1211" spans="2:17" ht="15" customHeight="1">
      <c r="B1211" s="150"/>
      <c r="D1211" s="51"/>
      <c r="E1211" s="76" t="s">
        <v>106</v>
      </c>
      <c r="F1211" s="17" t="s">
        <v>107</v>
      </c>
      <c r="G1211" s="17" t="s">
        <v>108</v>
      </c>
      <c r="H1211" s="67" t="s">
        <v>47</v>
      </c>
      <c r="I1211" s="221"/>
      <c r="J1211" s="222"/>
      <c r="K1211" s="186"/>
      <c r="L1211" s="100"/>
      <c r="N1211" s="104"/>
      <c r="O1211" s="115"/>
      <c r="Q1211" s="127"/>
    </row>
    <row r="1212" spans="2:17" ht="15" customHeight="1">
      <c r="B1212" s="150"/>
      <c r="E1212" s="118">
        <f>E1201</f>
        <v>0.6</v>
      </c>
      <c r="F1212" s="51">
        <f>F1201</f>
        <v>0.6</v>
      </c>
      <c r="G1212" s="51">
        <f>G1201</f>
        <v>0.1</v>
      </c>
      <c r="H1212" s="51">
        <f>H1201</f>
        <v>2</v>
      </c>
      <c r="J1212" s="102"/>
      <c r="K1212" s="70">
        <f>(((E1212*G1212)*2)+((F1212*G1212)*2))*H1212</f>
        <v>0.48</v>
      </c>
      <c r="N1212" s="104"/>
      <c r="O1212" s="115"/>
      <c r="Q1212" s="127"/>
    </row>
    <row r="1213" spans="2:17" ht="15" customHeight="1">
      <c r="B1213" s="150"/>
      <c r="E1213" s="118"/>
      <c r="J1213" s="102"/>
      <c r="N1213" s="104"/>
      <c r="O1213" s="115"/>
      <c r="Q1213" s="127"/>
    </row>
    <row r="1214" spans="2:17" ht="15" customHeight="1">
      <c r="B1214" s="150"/>
      <c r="C1214" s="16">
        <v>93382</v>
      </c>
      <c r="D1214" s="16" t="s">
        <v>8</v>
      </c>
      <c r="E1214" s="447" t="str">
        <f>IFERROR(VLOOKUP($C1214,'SINAPI JULHO 2018'!$1:$1048576,2,0),IFERROR(VLOOKUP($C1214,'5-COMP. PROPRIA'!$B$13:$I$518,4,0),""))</f>
        <v>REATERRO MANUAL DE VALAS COM COMPACTAÇÃO MECANIZADA. AF_04/2016</v>
      </c>
      <c r="F1214" s="448"/>
      <c r="G1214" s="448"/>
      <c r="H1214" s="448"/>
      <c r="I1214" s="448"/>
      <c r="J1214" s="449"/>
      <c r="K1214" s="184">
        <f>SUM(K1216)</f>
        <v>1.2217499999999999</v>
      </c>
      <c r="L1214" s="58" t="s">
        <v>65</v>
      </c>
      <c r="N1214" s="104"/>
      <c r="O1214" s="115"/>
      <c r="Q1214" s="127"/>
    </row>
    <row r="1215" spans="2:17" ht="15" customHeight="1">
      <c r="B1215" s="150"/>
      <c r="E1215" s="79" t="s">
        <v>115</v>
      </c>
      <c r="F1215" s="67" t="s">
        <v>116</v>
      </c>
      <c r="J1215" s="102"/>
      <c r="K1215" s="184"/>
      <c r="N1215" s="104"/>
      <c r="O1215" s="115"/>
      <c r="Q1215" s="127"/>
    </row>
    <row r="1216" spans="2:17" ht="15" customHeight="1">
      <c r="B1216" s="150"/>
      <c r="E1216" s="112">
        <f>K1191</f>
        <v>1.29375</v>
      </c>
      <c r="F1216" s="51">
        <f>K1199</f>
        <v>7.1999999999999995E-2</v>
      </c>
      <c r="J1216" s="102"/>
      <c r="K1216" s="70">
        <f>E1216-F1216</f>
        <v>1.2217499999999999</v>
      </c>
      <c r="N1216" s="104"/>
      <c r="O1216" s="115"/>
      <c r="Q1216" s="127"/>
    </row>
    <row r="1217" spans="2:17" ht="15" customHeight="1">
      <c r="B1217" s="150"/>
      <c r="E1217" s="112"/>
      <c r="J1217" s="102"/>
      <c r="K1217" s="70"/>
      <c r="N1217" s="104"/>
      <c r="O1217" s="115"/>
      <c r="Q1217" s="127"/>
    </row>
    <row r="1218" spans="2:17" ht="15" customHeight="1">
      <c r="B1218" s="150"/>
      <c r="C1218" s="26">
        <v>72897</v>
      </c>
      <c r="D1218" s="16" t="s">
        <v>8</v>
      </c>
      <c r="E1218" s="447" t="str">
        <f>IFERROR(VLOOKUP($C1218,'SINAPI JULHO 2018'!$1:$1048576,2,0),IFERROR(VLOOKUP($C1218,'5-COMP. PROPRIA'!$B$13:$I$518,4,0),""))</f>
        <v>CARGA MANUAL DE ENTULHO EM CAMINHAO BASCULANTE 6 M3</v>
      </c>
      <c r="F1218" s="448"/>
      <c r="G1218" s="448"/>
      <c r="H1218" s="448"/>
      <c r="I1218" s="448"/>
      <c r="J1218" s="449"/>
      <c r="K1218" s="184">
        <f>SUM(K1220:K1220)</f>
        <v>9.3600000000000003E-2</v>
      </c>
      <c r="L1218" s="58" t="s">
        <v>65</v>
      </c>
      <c r="N1218" s="104"/>
      <c r="O1218" s="115"/>
      <c r="Q1218" s="127"/>
    </row>
    <row r="1219" spans="2:17" ht="15" customHeight="1">
      <c r="B1219" s="150"/>
      <c r="E1219" s="79"/>
      <c r="F1219" s="67" t="s">
        <v>116</v>
      </c>
      <c r="G1219" s="17"/>
      <c r="H1219" s="67" t="s">
        <v>119</v>
      </c>
      <c r="J1219" s="220"/>
      <c r="K1219" s="70"/>
      <c r="N1219" s="104"/>
      <c r="O1219" s="115"/>
      <c r="Q1219" s="127"/>
    </row>
    <row r="1220" spans="2:17" ht="15" customHeight="1">
      <c r="B1220" s="150"/>
      <c r="E1220" s="118"/>
      <c r="F1220" s="17">
        <f>K1199</f>
        <v>7.1999999999999995E-2</v>
      </c>
      <c r="G1220" s="17"/>
      <c r="H1220" s="17">
        <v>1.3</v>
      </c>
      <c r="J1220" s="68"/>
      <c r="K1220" s="70">
        <f>H1220*F1220</f>
        <v>9.3600000000000003E-2</v>
      </c>
      <c r="N1220" s="104"/>
      <c r="O1220" s="115"/>
      <c r="Q1220" s="127"/>
    </row>
    <row r="1221" spans="2:17" ht="15" customHeight="1">
      <c r="B1221" s="150"/>
      <c r="E1221" s="118"/>
      <c r="F1221" s="17"/>
      <c r="G1221" s="17"/>
      <c r="I1221" s="17"/>
      <c r="J1221" s="68"/>
      <c r="K1221" s="70"/>
      <c r="N1221" s="104"/>
      <c r="O1221" s="115"/>
      <c r="Q1221" s="127"/>
    </row>
    <row r="1222" spans="2:17" ht="15" customHeight="1">
      <c r="B1222" s="150"/>
      <c r="C1222" s="26">
        <v>97914</v>
      </c>
      <c r="D1222" s="16" t="s">
        <v>8</v>
      </c>
      <c r="E1222" s="447" t="str">
        <f>IFERROR(VLOOKUP($C1222,'SINAPI JULHO 2018'!$1:$1048576,2,0),IFERROR(VLOOKUP($C1222,'5-COMP. PROPRIA'!$B$13:$I$518,4,0),""))</f>
        <v>TRANSPORTE COM CAMINHÃO BASCULANTE DE 6 M3, EM VIA URBANA PAVIMENTADA, DMT ATÉ 30 KM (UNIDADE: M3XKM). AF_01/2018</v>
      </c>
      <c r="F1222" s="448"/>
      <c r="G1222" s="448"/>
      <c r="H1222" s="448"/>
      <c r="I1222" s="448"/>
      <c r="J1222" s="449"/>
      <c r="K1222" s="184">
        <f>K1224</f>
        <v>0.70200000000000007</v>
      </c>
      <c r="L1222" s="57" t="s">
        <v>78</v>
      </c>
      <c r="N1222" s="104"/>
      <c r="O1222" s="115"/>
      <c r="Q1222" s="127"/>
    </row>
    <row r="1223" spans="2:17" ht="15" customHeight="1">
      <c r="B1223" s="150"/>
      <c r="E1223" s="79" t="s">
        <v>80</v>
      </c>
      <c r="H1223" s="67" t="s">
        <v>81</v>
      </c>
      <c r="J1223" s="102"/>
      <c r="N1223" s="104"/>
      <c r="O1223" s="115"/>
      <c r="Q1223" s="127"/>
    </row>
    <row r="1224" spans="2:17" ht="15" customHeight="1">
      <c r="B1224" s="150"/>
      <c r="E1224" s="79">
        <f>K1218</f>
        <v>9.3600000000000003E-2</v>
      </c>
      <c r="H1224" s="67">
        <v>7.5</v>
      </c>
      <c r="J1224" s="102"/>
      <c r="K1224" s="180">
        <f>E1224*H1224</f>
        <v>0.70200000000000007</v>
      </c>
      <c r="N1224" s="104"/>
      <c r="O1224" s="115"/>
      <c r="Q1224" s="127"/>
    </row>
    <row r="1225" spans="2:17" ht="15" customHeight="1">
      <c r="B1225" s="150"/>
      <c r="E1225" s="112"/>
      <c r="J1225" s="102"/>
      <c r="K1225" s="70"/>
      <c r="N1225" s="104"/>
      <c r="O1225" s="115"/>
      <c r="Q1225" s="127"/>
    </row>
    <row r="1226" spans="2:17" ht="15" customHeight="1">
      <c r="B1226" s="150"/>
      <c r="C1226" s="91"/>
      <c r="D1226" s="91"/>
      <c r="E1226" s="453" t="s">
        <v>103</v>
      </c>
      <c r="F1226" s="454"/>
      <c r="G1226" s="454"/>
      <c r="H1226" s="454"/>
      <c r="I1226" s="454"/>
      <c r="J1226" s="455"/>
      <c r="K1226" s="183"/>
      <c r="L1226" s="56"/>
      <c r="M1226" s="93"/>
      <c r="N1226" s="107"/>
      <c r="O1226" s="115"/>
      <c r="Q1226" s="127"/>
    </row>
    <row r="1227" spans="2:17" ht="15" customHeight="1">
      <c r="B1227" s="150"/>
      <c r="C1227" s="91"/>
      <c r="D1227" s="91"/>
      <c r="E1227" s="112"/>
      <c r="J1227" s="102"/>
      <c r="K1227" s="183"/>
      <c r="L1227" s="56"/>
      <c r="M1227" s="93"/>
      <c r="N1227" s="107"/>
      <c r="O1227" s="115"/>
      <c r="Q1227" s="127"/>
    </row>
    <row r="1228" spans="2:17" ht="15" customHeight="1">
      <c r="B1228" s="150"/>
      <c r="C1228" s="26">
        <v>96527</v>
      </c>
      <c r="D1228" s="16" t="s">
        <v>8</v>
      </c>
      <c r="E1228" s="447" t="str">
        <f>IFERROR(VLOOKUP($C1228,'SINAPI JULHO 2018'!$1:$1048576,2,0),IFERROR(VLOOKUP($C1228,'5-COMP. PROPRIA'!$B$13:$I$518,4,0),""))</f>
        <v>ESCAVAÇÃO MANUAL DE VALA PARA VIGA BALDRAME, COM PREVISÃO DE FÔRMA. AF_06/2017</v>
      </c>
      <c r="F1228" s="448"/>
      <c r="G1228" s="448"/>
      <c r="H1228" s="448"/>
      <c r="I1228" s="448"/>
      <c r="J1228" s="449"/>
      <c r="K1228" s="184">
        <f>SUM(K1230:K1230)*1.3</f>
        <v>2.6735852000000007</v>
      </c>
      <c r="L1228" s="58" t="s">
        <v>65</v>
      </c>
      <c r="M1228" s="93"/>
      <c r="N1228" s="68"/>
      <c r="O1228" s="115"/>
      <c r="Q1228" s="127"/>
    </row>
    <row r="1229" spans="2:17" ht="15" customHeight="1">
      <c r="B1229" s="150"/>
      <c r="E1229" s="76" t="s">
        <v>106</v>
      </c>
      <c r="F1229" s="17" t="s">
        <v>107</v>
      </c>
      <c r="G1229" s="17" t="s">
        <v>108</v>
      </c>
      <c r="H1229" s="67" t="s">
        <v>47</v>
      </c>
      <c r="I1229" s="221"/>
      <c r="J1229" s="222"/>
      <c r="K1229" s="186"/>
      <c r="M1229" s="93"/>
      <c r="N1229" s="68"/>
      <c r="O1229" s="115"/>
      <c r="Q1229" s="127"/>
    </row>
    <row r="1230" spans="2:17" ht="15" customHeight="1">
      <c r="B1230" s="150"/>
      <c r="E1230" s="105">
        <f>E1238</f>
        <v>10.870000000000001</v>
      </c>
      <c r="F1230" s="105">
        <f>F1238+0.3</f>
        <v>0.44</v>
      </c>
      <c r="G1230" s="105">
        <f>G1238+0.03</f>
        <v>0.43000000000000005</v>
      </c>
      <c r="H1230" s="105">
        <v>1</v>
      </c>
      <c r="J1230" s="102"/>
      <c r="K1230" s="70">
        <f>E1230*F1230*G1230*H1230</f>
        <v>2.0566040000000005</v>
      </c>
      <c r="M1230" s="93"/>
      <c r="N1230" s="114"/>
      <c r="O1230" s="115"/>
      <c r="Q1230" s="127"/>
    </row>
    <row r="1231" spans="2:17" ht="15" customHeight="1">
      <c r="B1231" s="150"/>
      <c r="E1231" s="118"/>
      <c r="J1231" s="102"/>
      <c r="K1231" s="183"/>
      <c r="M1231" s="93"/>
      <c r="N1231" s="68"/>
      <c r="O1231" s="115"/>
      <c r="Q1231" s="127"/>
    </row>
    <row r="1232" spans="2:17" ht="15" customHeight="1">
      <c r="B1232" s="150"/>
      <c r="C1232" s="26">
        <v>96617</v>
      </c>
      <c r="D1232" s="16" t="s">
        <v>8</v>
      </c>
      <c r="E1232" s="447" t="str">
        <f>IFERROR(VLOOKUP($C1232,'SINAPI JULHO 2018'!$1:$1048576,2,0),IFERROR(VLOOKUP($C1232,'5-COMP. PROPRIA'!$B$13:$I$518,4,0),""))</f>
        <v>LASTRO DE CONCRETO MAGRO, APLICADO EM BLOCOS DE COROAMENTO OU SAPATAS, ESPESSURA DE 3 CM. AF_08/2017</v>
      </c>
      <c r="F1232" s="448"/>
      <c r="G1232" s="448"/>
      <c r="H1232" s="448"/>
      <c r="I1232" s="448"/>
      <c r="J1232" s="449"/>
      <c r="K1232" s="184">
        <f>SUM(K1234:K1234)</f>
        <v>1.5218000000000003</v>
      </c>
      <c r="L1232" s="57" t="s">
        <v>25</v>
      </c>
      <c r="M1232" s="52">
        <f>K1232*0.03</f>
        <v>4.5654000000000007E-2</v>
      </c>
      <c r="N1232" s="109" t="s">
        <v>65</v>
      </c>
      <c r="O1232" s="115"/>
      <c r="Q1232" s="127"/>
    </row>
    <row r="1233" spans="2:17" ht="15" customHeight="1">
      <c r="B1233" s="150"/>
      <c r="E1233" s="76" t="s">
        <v>106</v>
      </c>
      <c r="F1233" s="17" t="s">
        <v>107</v>
      </c>
      <c r="H1233" s="67" t="s">
        <v>47</v>
      </c>
      <c r="J1233" s="102"/>
      <c r="N1233" s="104"/>
      <c r="O1233" s="115"/>
      <c r="Q1233" s="127"/>
    </row>
    <row r="1234" spans="2:17" ht="15" customHeight="1">
      <c r="B1234" s="150"/>
      <c r="E1234" s="105">
        <f>E1230</f>
        <v>10.870000000000001</v>
      </c>
      <c r="F1234" s="105">
        <f>F1238</f>
        <v>0.14000000000000001</v>
      </c>
      <c r="H1234" s="105">
        <f>H1230</f>
        <v>1</v>
      </c>
      <c r="J1234" s="102"/>
      <c r="K1234" s="70">
        <f>H1234*F1234*E1234</f>
        <v>1.5218000000000003</v>
      </c>
      <c r="N1234" s="104"/>
      <c r="O1234" s="115"/>
      <c r="Q1234" s="127"/>
    </row>
    <row r="1235" spans="2:17" ht="15" customHeight="1">
      <c r="B1235" s="150"/>
      <c r="E1235" s="118"/>
      <c r="J1235" s="102"/>
      <c r="K1235" s="183"/>
      <c r="M1235" s="93"/>
      <c r="N1235" s="68"/>
      <c r="O1235" s="115"/>
      <c r="Q1235" s="127"/>
    </row>
    <row r="1236" spans="2:17" ht="34.5" customHeight="1">
      <c r="B1236" s="150"/>
      <c r="C1236" s="26">
        <v>94965</v>
      </c>
      <c r="D1236" s="16" t="s">
        <v>8</v>
      </c>
      <c r="E1236" s="447" t="str">
        <f>IFERROR(VLOOKUP($C1236,'SINAPI JULHO 2018'!$1:$1048576,2,0),IFERROR(VLOOKUP($C1236,'5-COMP. PROPRIA'!$B$13:$I$518,4,0),""))</f>
        <v>CONCRETO FCK = 25MPA, TRAÇO 1:2,3:2,7 (CIMENTO/ AREIA MÉDIA/ BRITA 1)  - PREPARO MECÂNICO COM BETONEIRA 400 L. AF_07/2016</v>
      </c>
      <c r="F1236" s="448"/>
      <c r="G1236" s="448"/>
      <c r="H1236" s="448"/>
      <c r="I1236" s="448"/>
      <c r="J1236" s="449"/>
      <c r="K1236" s="184">
        <f>SUM(K1238:K1238)</f>
        <v>0.60872000000000015</v>
      </c>
      <c r="L1236" s="58" t="s">
        <v>65</v>
      </c>
      <c r="M1236" s="93"/>
      <c r="N1236" s="68"/>
      <c r="O1236" s="115"/>
      <c r="Q1236" s="127"/>
    </row>
    <row r="1237" spans="2:17" ht="15" customHeight="1">
      <c r="B1237" s="150"/>
      <c r="E1237" s="76" t="s">
        <v>106</v>
      </c>
      <c r="F1237" s="17" t="s">
        <v>107</v>
      </c>
      <c r="G1237" s="17" t="s">
        <v>108</v>
      </c>
      <c r="H1237" s="67" t="s">
        <v>47</v>
      </c>
      <c r="I1237" s="221"/>
      <c r="J1237" s="222"/>
      <c r="K1237" s="183"/>
      <c r="M1237" s="93"/>
      <c r="N1237" s="68"/>
      <c r="O1237" s="115"/>
      <c r="Q1237" s="127"/>
    </row>
    <row r="1238" spans="2:17" ht="15" customHeight="1">
      <c r="B1238" s="150"/>
      <c r="E1238" s="111">
        <f>(4.07*2)+2.73</f>
        <v>10.870000000000001</v>
      </c>
      <c r="F1238" s="74">
        <v>0.14000000000000001</v>
      </c>
      <c r="G1238" s="74">
        <v>0.4</v>
      </c>
      <c r="H1238" s="74">
        <v>1</v>
      </c>
      <c r="J1238" s="102"/>
      <c r="K1238" s="70">
        <f>E1238*F1238*G1238*H1238</f>
        <v>0.60872000000000015</v>
      </c>
      <c r="M1238" s="93"/>
      <c r="N1238" s="68"/>
      <c r="O1238" s="115"/>
      <c r="Q1238" s="127"/>
    </row>
    <row r="1239" spans="2:17" ht="15" customHeight="1">
      <c r="B1239" s="150"/>
      <c r="E1239" s="112"/>
      <c r="J1239" s="102"/>
      <c r="K1239" s="183"/>
      <c r="M1239" s="93"/>
      <c r="N1239" s="68"/>
      <c r="O1239" s="115"/>
      <c r="Q1239" s="127"/>
    </row>
    <row r="1240" spans="2:17" ht="15" customHeight="1">
      <c r="B1240" s="150"/>
      <c r="C1240" s="26" t="s">
        <v>111</v>
      </c>
      <c r="D1240" s="16" t="s">
        <v>8</v>
      </c>
      <c r="E1240" s="447" t="str">
        <f>IFERROR(VLOOKUP($C1240,'SINAPI JULHO 2018'!$1:$1048576,2,0),IFERROR(VLOOKUP($C1240,'5-COMP. PROPRIA'!$B$13:$I$518,4,0),""))</f>
        <v>LANCAMENTO/APLICACAO MANUAL DE CONCRETO EM FUNDACOES</v>
      </c>
      <c r="F1240" s="448"/>
      <c r="G1240" s="448"/>
      <c r="H1240" s="448"/>
      <c r="I1240" s="448"/>
      <c r="J1240" s="449"/>
      <c r="K1240" s="184">
        <f>K1236</f>
        <v>0.60872000000000015</v>
      </c>
      <c r="L1240" s="58" t="s">
        <v>65</v>
      </c>
      <c r="M1240" s="93"/>
      <c r="N1240" s="68"/>
      <c r="O1240" s="115"/>
      <c r="Q1240" s="26"/>
    </row>
    <row r="1241" spans="2:17" ht="15" customHeight="1">
      <c r="B1241" s="150"/>
      <c r="E1241" s="118"/>
      <c r="J1241" s="102"/>
      <c r="M1241" s="93"/>
      <c r="N1241" s="68"/>
      <c r="O1241" s="115"/>
      <c r="Q1241" s="26"/>
    </row>
    <row r="1242" spans="2:17" ht="15" customHeight="1">
      <c r="B1242" s="157" t="s">
        <v>219</v>
      </c>
      <c r="C1242" s="26">
        <v>96543</v>
      </c>
      <c r="D1242" s="16" t="s">
        <v>8</v>
      </c>
      <c r="E1242" s="447" t="str">
        <f>IFERROR(VLOOKUP($C1242,'SINAPI JULHO 2018'!$1:$1048576,2,0),IFERROR(VLOOKUP($C1242,'5-COMP. PROPRIA'!$B$13:$I$518,4,0),""))</f>
        <v>ARMAÇÃO DE BLOCO, VIGA BALDRAME E SAPATA UTILIZANDO AÇO CA-60 DE 5 MM - MONTAGEM. AF_06/2017</v>
      </c>
      <c r="F1242" s="448"/>
      <c r="G1242" s="448"/>
      <c r="H1242" s="448"/>
      <c r="I1242" s="448"/>
      <c r="J1242" s="449"/>
      <c r="K1242" s="184">
        <f>SUM(K1245:K1245)</f>
        <v>13.117632927083339</v>
      </c>
      <c r="L1242" s="58" t="s">
        <v>92</v>
      </c>
      <c r="M1242" s="52"/>
      <c r="N1242" s="68"/>
      <c r="O1242" s="115"/>
      <c r="Q1242" s="26"/>
    </row>
    <row r="1243" spans="2:17" ht="15" customHeight="1">
      <c r="B1243" s="150"/>
      <c r="E1243" s="118"/>
      <c r="H1243" s="70" t="s">
        <v>112</v>
      </c>
      <c r="I1243" s="69">
        <f>K1242/K1236</f>
        <v>21.549534970238099</v>
      </c>
      <c r="J1243" s="102"/>
      <c r="K1243" s="70"/>
      <c r="M1243" s="93"/>
      <c r="N1243" s="68"/>
      <c r="O1243" s="115"/>
      <c r="Q1243" s="26"/>
    </row>
    <row r="1244" spans="2:17" ht="15" customHeight="1">
      <c r="B1244" s="150"/>
      <c r="E1244" s="79" t="s">
        <v>93</v>
      </c>
      <c r="F1244" s="67" t="s">
        <v>27</v>
      </c>
      <c r="G1244" s="67" t="s">
        <v>94</v>
      </c>
      <c r="H1244" s="61" t="s">
        <v>95</v>
      </c>
      <c r="I1244" s="17" t="s">
        <v>54</v>
      </c>
      <c r="J1244" s="102"/>
      <c r="K1244" s="70"/>
      <c r="M1244" s="93"/>
      <c r="N1244" s="68"/>
      <c r="O1244" s="115"/>
      <c r="Q1244" s="127"/>
    </row>
    <row r="1245" spans="2:17" ht="15" customHeight="1">
      <c r="B1245" s="150"/>
      <c r="E1245" s="101">
        <v>5</v>
      </c>
      <c r="F1245" s="51">
        <f>(F1238-0.06)*2+(G1238-0.06)*2+0.1</f>
        <v>0.94000000000000006</v>
      </c>
      <c r="G1245" s="51">
        <f>E1230/0.12</f>
        <v>90.583333333333343</v>
      </c>
      <c r="H1245" s="51">
        <f>((E1245/1000)*(E1245/1000)*3.14*0.25)*7850</f>
        <v>0.15405625000000003</v>
      </c>
      <c r="I1245" s="51">
        <f>$H$138</f>
        <v>1</v>
      </c>
      <c r="J1245" s="102"/>
      <c r="K1245" s="70">
        <f>G1245*H1245*F1245*I1245</f>
        <v>13.117632927083339</v>
      </c>
      <c r="M1245" s="93"/>
      <c r="N1245" s="68"/>
      <c r="O1245" s="115"/>
      <c r="Q1245" s="127"/>
    </row>
    <row r="1246" spans="2:17" ht="15" customHeight="1">
      <c r="B1246" s="150"/>
      <c r="E1246" s="118"/>
      <c r="J1246" s="102"/>
      <c r="M1246" s="93"/>
      <c r="N1246" s="68"/>
      <c r="O1246" s="115"/>
      <c r="Q1246" s="127"/>
    </row>
    <row r="1247" spans="2:17" ht="30" customHeight="1">
      <c r="B1247" s="150"/>
      <c r="C1247" s="26">
        <v>96545</v>
      </c>
      <c r="D1247" s="16" t="s">
        <v>8</v>
      </c>
      <c r="E1247" s="447" t="str">
        <f>IFERROR(VLOOKUP($C1247,'SINAPI JULHO 2018'!$1:$1048576,2,0),IFERROR(VLOOKUP($C1247,'5-COMP. PROPRIA'!$B$13:$I$518,4,0),""))</f>
        <v>ARMAÇÃO DE BLOCO, VIGA BALDRAME OU SAPATA UTILIZANDO AÇO CA-50 DE 8 MM - MONTAGEM. AF_06/2017</v>
      </c>
      <c r="F1247" s="448"/>
      <c r="G1247" s="448"/>
      <c r="H1247" s="448"/>
      <c r="I1247" s="448"/>
      <c r="J1247" s="449"/>
      <c r="K1247" s="184">
        <f>SUM(K1250:K1250)</f>
        <v>17.14781632</v>
      </c>
      <c r="L1247" s="58" t="s">
        <v>92</v>
      </c>
      <c r="M1247" s="52"/>
      <c r="N1247" s="68"/>
      <c r="O1247" s="115"/>
      <c r="Q1247" s="127"/>
    </row>
    <row r="1248" spans="2:17" ht="15" customHeight="1">
      <c r="B1248" s="150"/>
      <c r="E1248" s="118"/>
      <c r="H1248" s="70" t="s">
        <v>112</v>
      </c>
      <c r="I1248" s="69">
        <f>K1247/K1240</f>
        <v>28.170285714285708</v>
      </c>
      <c r="J1248" s="102"/>
      <c r="K1248" s="70"/>
      <c r="M1248" s="93"/>
      <c r="N1248" s="68"/>
      <c r="O1248" s="115"/>
      <c r="Q1248" s="127"/>
    </row>
    <row r="1249" spans="2:17" ht="15" customHeight="1">
      <c r="B1249" s="150"/>
      <c r="E1249" s="79" t="s">
        <v>93</v>
      </c>
      <c r="F1249" s="67" t="s">
        <v>27</v>
      </c>
      <c r="G1249" s="67" t="s">
        <v>28</v>
      </c>
      <c r="H1249" s="61" t="s">
        <v>95</v>
      </c>
      <c r="I1249" s="17" t="s">
        <v>54</v>
      </c>
      <c r="J1249" s="102"/>
      <c r="K1249" s="70"/>
      <c r="M1249" s="93"/>
      <c r="N1249" s="68"/>
      <c r="O1249" s="115"/>
      <c r="Q1249" s="127"/>
    </row>
    <row r="1250" spans="2:17" ht="15" customHeight="1">
      <c r="B1250" s="150"/>
      <c r="E1250" s="101">
        <v>8</v>
      </c>
      <c r="F1250" s="51">
        <f>E1238</f>
        <v>10.870000000000001</v>
      </c>
      <c r="G1250" s="51">
        <v>1</v>
      </c>
      <c r="H1250" s="51">
        <f>((E1250/1000)*(E1250/1000)*3.14*0.25)*7850</f>
        <v>0.39438400000000001</v>
      </c>
      <c r="I1250" s="51">
        <v>4</v>
      </c>
      <c r="J1250" s="102"/>
      <c r="K1250" s="70">
        <f>G1250*H1250*F1250*I1250</f>
        <v>17.14781632</v>
      </c>
      <c r="M1250" s="93"/>
      <c r="N1250" s="68"/>
      <c r="O1250" s="115"/>
      <c r="Q1250" s="127"/>
    </row>
    <row r="1251" spans="2:17" ht="15" customHeight="1">
      <c r="B1251" s="150"/>
      <c r="E1251" s="118"/>
      <c r="J1251" s="102"/>
      <c r="K1251" s="183"/>
      <c r="M1251" s="93"/>
      <c r="N1251" s="68"/>
      <c r="O1251" s="115"/>
      <c r="Q1251" s="127"/>
    </row>
    <row r="1252" spans="2:17" ht="15" customHeight="1">
      <c r="B1252" s="150"/>
      <c r="C1252" s="26">
        <v>96536</v>
      </c>
      <c r="D1252" s="16" t="s">
        <v>8</v>
      </c>
      <c r="E1252" s="447" t="str">
        <f>IFERROR(VLOOKUP($C1252,'SINAPI JULHO 2018'!$1:$1048576,2,0),IFERROR(VLOOKUP($C1252,'5-COMP. PROPRIA'!$B$13:$I$518,4,0),""))</f>
        <v>FABRICAÇÃO, MONTAGEM E DESMONTAGEM DE FÔRMA PARA VIGA BALDRAME, EM MADEIRA SERRADA, E=25 MM, 4 UTILIZAÇÕES. AF_06/2017</v>
      </c>
      <c r="F1252" s="448"/>
      <c r="G1252" s="448"/>
      <c r="H1252" s="448"/>
      <c r="I1252" s="448"/>
      <c r="J1252" s="449"/>
      <c r="K1252" s="184">
        <f>SUM(K1254:K1254)</f>
        <v>8.6960000000000015</v>
      </c>
      <c r="L1252" s="58" t="s">
        <v>25</v>
      </c>
      <c r="M1252" s="93"/>
      <c r="N1252" s="68"/>
      <c r="O1252" s="115"/>
      <c r="Q1252" s="127"/>
    </row>
    <row r="1253" spans="2:17" ht="15" customHeight="1">
      <c r="B1253" s="150"/>
      <c r="D1253" s="51"/>
      <c r="E1253" s="76" t="s">
        <v>106</v>
      </c>
      <c r="F1253" s="17" t="s">
        <v>107</v>
      </c>
      <c r="G1253" s="17" t="s">
        <v>108</v>
      </c>
      <c r="H1253" s="67" t="s">
        <v>47</v>
      </c>
      <c r="I1253" s="221"/>
      <c r="J1253" s="222"/>
      <c r="K1253" s="186"/>
      <c r="L1253" s="100"/>
      <c r="M1253" s="93"/>
      <c r="N1253" s="68"/>
      <c r="O1253" s="115"/>
      <c r="Q1253" s="127"/>
    </row>
    <row r="1254" spans="2:17" ht="15" customHeight="1">
      <c r="B1254" s="150"/>
      <c r="E1254" s="118">
        <f>E1238</f>
        <v>10.870000000000001</v>
      </c>
      <c r="F1254" s="51">
        <f>F1238</f>
        <v>0.14000000000000001</v>
      </c>
      <c r="G1254" s="51">
        <f>G1238</f>
        <v>0.4</v>
      </c>
      <c r="H1254" s="51">
        <f>H1238</f>
        <v>1</v>
      </c>
      <c r="J1254" s="102"/>
      <c r="K1254" s="70">
        <f>E1254*(G1254*2)*H1254</f>
        <v>8.6960000000000015</v>
      </c>
      <c r="M1254" s="93"/>
      <c r="N1254" s="68"/>
      <c r="O1254" s="115"/>
      <c r="Q1254" s="127"/>
    </row>
    <row r="1255" spans="2:17" ht="15" customHeight="1">
      <c r="B1255" s="150"/>
      <c r="E1255" s="118"/>
      <c r="J1255" s="102"/>
      <c r="M1255" s="93"/>
      <c r="N1255" s="68"/>
      <c r="O1255" s="115"/>
      <c r="Q1255" s="127"/>
    </row>
    <row r="1256" spans="2:17" ht="15" customHeight="1">
      <c r="B1256" s="150"/>
      <c r="C1256" s="16">
        <v>93382</v>
      </c>
      <c r="D1256" s="16" t="s">
        <v>8</v>
      </c>
      <c r="E1256" s="447" t="str">
        <f>IFERROR(VLOOKUP($C1256,'SINAPI JULHO 2018'!$1:$1048576,2,0),IFERROR(VLOOKUP($C1256,'5-COMP. PROPRIA'!$B$13:$I$518,4,0),""))</f>
        <v>REATERRO MANUAL DE VALAS COM COMPACTAÇÃO MECANIZADA. AF_04/2016</v>
      </c>
      <c r="F1256" s="448"/>
      <c r="G1256" s="448"/>
      <c r="H1256" s="448"/>
      <c r="I1256" s="448"/>
      <c r="J1256" s="449"/>
      <c r="K1256" s="184">
        <f>SUM(K1258)</f>
        <v>2.0648652000000007</v>
      </c>
      <c r="L1256" s="58" t="s">
        <v>65</v>
      </c>
      <c r="M1256" s="93"/>
      <c r="N1256" s="68"/>
      <c r="O1256" s="115"/>
      <c r="Q1256" s="127"/>
    </row>
    <row r="1257" spans="2:17" ht="15" customHeight="1">
      <c r="B1257" s="150"/>
      <c r="E1257" s="79" t="s">
        <v>115</v>
      </c>
      <c r="F1257" s="67" t="s">
        <v>116</v>
      </c>
      <c r="J1257" s="102"/>
      <c r="K1257" s="184"/>
      <c r="M1257" s="93"/>
      <c r="N1257" s="68"/>
      <c r="O1257" s="115"/>
      <c r="Q1257" s="127"/>
    </row>
    <row r="1258" spans="2:17" ht="15" customHeight="1">
      <c r="B1258" s="150"/>
      <c r="E1258" s="112">
        <f>K1228</f>
        <v>2.6735852000000007</v>
      </c>
      <c r="F1258" s="51">
        <f>K1236</f>
        <v>0.60872000000000015</v>
      </c>
      <c r="J1258" s="102"/>
      <c r="K1258" s="70">
        <f>E1258-F1258</f>
        <v>2.0648652000000007</v>
      </c>
      <c r="M1258" s="93"/>
      <c r="N1258" s="68"/>
      <c r="O1258" s="115"/>
      <c r="Q1258" s="127"/>
    </row>
    <row r="1259" spans="2:17" ht="15" customHeight="1">
      <c r="B1259" s="150"/>
      <c r="E1259" s="118"/>
      <c r="J1259" s="102"/>
      <c r="M1259" s="93"/>
      <c r="N1259" s="68"/>
      <c r="O1259" s="115"/>
      <c r="Q1259" s="127"/>
    </row>
    <row r="1260" spans="2:17" ht="25.5" customHeight="1">
      <c r="B1260" s="157" t="s">
        <v>220</v>
      </c>
      <c r="C1260" s="16" t="s">
        <v>117</v>
      </c>
      <c r="D1260" s="16" t="s">
        <v>8</v>
      </c>
      <c r="E1260" s="447" t="str">
        <f>IFERROR(VLOOKUP($C1260,'SINAPI JULHO 2018'!$1:$1048576,2,0),IFERROR(VLOOKUP($C1260,'5-COMP. PROPRIA'!$B$13:$I$518,4,0),""))</f>
        <v>IMPERMEABILIZACAO DE ESTRUTURAS ENTERRADAS, COM TINTA ASFALTICA, DUAS DEMAOS.</v>
      </c>
      <c r="F1260" s="448"/>
      <c r="G1260" s="448"/>
      <c r="H1260" s="448"/>
      <c r="I1260" s="448"/>
      <c r="J1260" s="449"/>
      <c r="K1260" s="184">
        <f>K1252+(E1254*F1254)</f>
        <v>10.217800000000002</v>
      </c>
      <c r="L1260" s="57" t="s">
        <v>25</v>
      </c>
      <c r="M1260" s="52"/>
      <c r="N1260" s="68"/>
      <c r="O1260" s="115"/>
      <c r="Q1260" s="127"/>
    </row>
    <row r="1261" spans="2:17" ht="15" customHeight="1">
      <c r="B1261" s="150"/>
      <c r="E1261" s="112"/>
      <c r="J1261" s="102"/>
      <c r="K1261" s="183"/>
      <c r="L1261" s="57"/>
      <c r="M1261" s="93"/>
      <c r="N1261" s="68"/>
      <c r="O1261" s="115"/>
      <c r="Q1261" s="127"/>
    </row>
    <row r="1262" spans="2:17" ht="15" customHeight="1">
      <c r="B1262" s="150"/>
      <c r="C1262" s="26">
        <v>72897</v>
      </c>
      <c r="D1262" s="16" t="s">
        <v>8</v>
      </c>
      <c r="E1262" s="447" t="str">
        <f>IFERROR(VLOOKUP($C1262,'SINAPI JULHO 2018'!$1:$1048576,2,0),IFERROR(VLOOKUP($C1262,'5-COMP. PROPRIA'!$B$13:$I$518,4,0),""))</f>
        <v>CARGA MANUAL DE ENTULHO EM CAMINHAO BASCULANTE 6 M3</v>
      </c>
      <c r="F1262" s="448"/>
      <c r="G1262" s="448"/>
      <c r="H1262" s="448"/>
      <c r="I1262" s="448"/>
      <c r="J1262" s="449"/>
      <c r="K1262" s="184">
        <f>SUM(K1264:K1264)</f>
        <v>0.79133600000000026</v>
      </c>
      <c r="L1262" s="58" t="s">
        <v>65</v>
      </c>
      <c r="M1262" s="93"/>
      <c r="N1262" s="68"/>
      <c r="O1262" s="115"/>
      <c r="Q1262" s="127"/>
    </row>
    <row r="1263" spans="2:17" ht="15" customHeight="1">
      <c r="B1263" s="150"/>
      <c r="E1263" s="79"/>
      <c r="F1263" s="67" t="s">
        <v>116</v>
      </c>
      <c r="G1263" s="17"/>
      <c r="H1263" s="67" t="s">
        <v>119</v>
      </c>
      <c r="J1263" s="220"/>
      <c r="K1263" s="70"/>
      <c r="M1263" s="93"/>
      <c r="N1263" s="68"/>
      <c r="O1263" s="115"/>
      <c r="Q1263" s="127"/>
    </row>
    <row r="1264" spans="2:17" ht="15" customHeight="1">
      <c r="B1264" s="150"/>
      <c r="E1264" s="118"/>
      <c r="F1264" s="17">
        <f>K1236</f>
        <v>0.60872000000000015</v>
      </c>
      <c r="G1264" s="17"/>
      <c r="H1264" s="17">
        <v>1.3</v>
      </c>
      <c r="J1264" s="68"/>
      <c r="K1264" s="70">
        <f>H1264*F1264</f>
        <v>0.79133600000000026</v>
      </c>
      <c r="M1264" s="93"/>
      <c r="N1264" s="68"/>
      <c r="O1264" s="115"/>
      <c r="Q1264" s="127"/>
    </row>
    <row r="1265" spans="2:17" ht="15" customHeight="1">
      <c r="B1265" s="150"/>
      <c r="E1265" s="118"/>
      <c r="F1265" s="17"/>
      <c r="G1265" s="17"/>
      <c r="I1265" s="17"/>
      <c r="J1265" s="68"/>
      <c r="K1265" s="70"/>
      <c r="M1265" s="93"/>
      <c r="N1265" s="68"/>
      <c r="O1265" s="115"/>
      <c r="Q1265" s="127"/>
    </row>
    <row r="1266" spans="2:17" ht="35.25" customHeight="1">
      <c r="B1266" s="150"/>
      <c r="C1266" s="26">
        <v>97914</v>
      </c>
      <c r="D1266" s="16" t="s">
        <v>8</v>
      </c>
      <c r="E1266" s="447" t="str">
        <f>IFERROR(VLOOKUP($C1266,'SINAPI JULHO 2018'!$1:$1048576,2,0),IFERROR(VLOOKUP($C1266,'5-COMP. PROPRIA'!$B$13:$I$518,4,0),""))</f>
        <v>TRANSPORTE COM CAMINHÃO BASCULANTE DE 6 M3, EM VIA URBANA PAVIMENTADA, DMT ATÉ 30 KM (UNIDADE: M3XKM). AF_01/2018</v>
      </c>
      <c r="F1266" s="448"/>
      <c r="G1266" s="448"/>
      <c r="H1266" s="448"/>
      <c r="I1266" s="448"/>
      <c r="J1266" s="449"/>
      <c r="K1266" s="184">
        <f>K1268</f>
        <v>7.9133600000000026</v>
      </c>
      <c r="L1266" s="57" t="s">
        <v>78</v>
      </c>
      <c r="M1266" s="93"/>
      <c r="N1266" s="68"/>
      <c r="O1266" s="115"/>
      <c r="Q1266" s="127"/>
    </row>
    <row r="1267" spans="2:17" ht="15" customHeight="1">
      <c r="B1267" s="150"/>
      <c r="E1267" s="79" t="s">
        <v>80</v>
      </c>
      <c r="H1267" s="67" t="s">
        <v>81</v>
      </c>
      <c r="J1267" s="102"/>
      <c r="M1267" s="93"/>
      <c r="N1267" s="68"/>
      <c r="O1267" s="115"/>
      <c r="Q1267" s="127"/>
    </row>
    <row r="1268" spans="2:17" ht="15" customHeight="1">
      <c r="B1268" s="150"/>
      <c r="E1268" s="79">
        <f>K1262</f>
        <v>0.79133600000000026</v>
      </c>
      <c r="H1268" s="67">
        <v>10</v>
      </c>
      <c r="J1268" s="102"/>
      <c r="K1268" s="180">
        <f>E1268*H1268</f>
        <v>7.9133600000000026</v>
      </c>
      <c r="M1268" s="93"/>
      <c r="N1268" s="68"/>
      <c r="O1268" s="115"/>
      <c r="Q1268" s="127"/>
    </row>
    <row r="1269" spans="2:17" ht="15" customHeight="1">
      <c r="B1269" s="150"/>
      <c r="E1269" s="276"/>
      <c r="F1269" s="221"/>
      <c r="G1269" s="221"/>
      <c r="H1269" s="221"/>
      <c r="I1269" s="221"/>
      <c r="J1269" s="222"/>
      <c r="K1269" s="184"/>
      <c r="M1269" s="93"/>
      <c r="N1269" s="68"/>
      <c r="O1269" s="115"/>
      <c r="Q1269" s="127"/>
    </row>
    <row r="1270" spans="2:17" ht="15" customHeight="1">
      <c r="B1270" s="268"/>
      <c r="C1270" s="302"/>
      <c r="D1270" s="302"/>
      <c r="E1270" s="462" t="s">
        <v>125</v>
      </c>
      <c r="F1270" s="463"/>
      <c r="G1270" s="463"/>
      <c r="H1270" s="463"/>
      <c r="I1270" s="463"/>
      <c r="J1270" s="464"/>
      <c r="K1270" s="270"/>
      <c r="L1270" s="303"/>
      <c r="M1270" s="272"/>
      <c r="N1270" s="304"/>
      <c r="O1270" s="115"/>
      <c r="Q1270" s="127"/>
    </row>
    <row r="1271" spans="2:17" ht="15" customHeight="1">
      <c r="B1271" s="150"/>
      <c r="C1271" s="16"/>
      <c r="D1271" s="16"/>
      <c r="E1271" s="276"/>
      <c r="F1271" s="221"/>
      <c r="G1271" s="221"/>
      <c r="H1271" s="221"/>
      <c r="I1271" s="221"/>
      <c r="J1271" s="222"/>
      <c r="K1271" s="184"/>
      <c r="L1271" s="57"/>
      <c r="M1271" s="93"/>
      <c r="N1271" s="68"/>
      <c r="O1271" s="115"/>
      <c r="Q1271" s="127"/>
    </row>
    <row r="1272" spans="2:17" ht="15" customHeight="1">
      <c r="B1272" s="150"/>
      <c r="C1272" s="16"/>
      <c r="D1272" s="16"/>
      <c r="E1272" s="453" t="s">
        <v>127</v>
      </c>
      <c r="F1272" s="454"/>
      <c r="G1272" s="454"/>
      <c r="H1272" s="454"/>
      <c r="I1272" s="454"/>
      <c r="J1272" s="455"/>
      <c r="K1272" s="183"/>
      <c r="L1272" s="57"/>
      <c r="M1272" s="93"/>
      <c r="N1272" s="68"/>
      <c r="O1272" s="115"/>
      <c r="Q1272" s="127"/>
    </row>
    <row r="1273" spans="2:17" ht="15" customHeight="1">
      <c r="B1273" s="150"/>
      <c r="C1273" s="16"/>
      <c r="D1273" s="16"/>
      <c r="E1273" s="76"/>
      <c r="F1273" s="17"/>
      <c r="G1273" s="17"/>
      <c r="H1273" s="67"/>
      <c r="I1273" s="55"/>
      <c r="J1273" s="121"/>
      <c r="K1273" s="186"/>
      <c r="L1273" s="100"/>
      <c r="M1273" s="122"/>
      <c r="N1273" s="109"/>
      <c r="O1273" s="115"/>
      <c r="Q1273" s="127"/>
    </row>
    <row r="1274" spans="2:17" ht="33" customHeight="1">
      <c r="B1274" s="150"/>
      <c r="C1274" s="16">
        <v>94965</v>
      </c>
      <c r="D1274" s="16" t="s">
        <v>8</v>
      </c>
      <c r="E1274" s="447" t="str">
        <f>IFERROR(VLOOKUP($C1274,'SINAPI JULHO 2018'!$1:$1048576,2,0),IFERROR(VLOOKUP($C1274,'5-COMP. PROPRIA'!$B$13:$I$518,4,0),""))</f>
        <v>CONCRETO FCK = 25MPA, TRAÇO 1:2,3:2,7 (CIMENTO/ AREIA MÉDIA/ BRITA 1)  - PREPARO MECÂNICO COM BETONEIRA 400 L. AF_07/2016</v>
      </c>
      <c r="F1274" s="448"/>
      <c r="G1274" s="448"/>
      <c r="H1274" s="448"/>
      <c r="I1274" s="448"/>
      <c r="J1274" s="449"/>
      <c r="K1274" s="184">
        <f>K1276</f>
        <v>0.24752000000000002</v>
      </c>
      <c r="L1274" s="57" t="s">
        <v>65</v>
      </c>
      <c r="N1274" s="109"/>
      <c r="O1274" s="115"/>
      <c r="Q1274" s="127"/>
    </row>
    <row r="1275" spans="2:17" ht="15" customHeight="1">
      <c r="B1275" s="150"/>
      <c r="C1275" s="16"/>
      <c r="D1275" s="16"/>
      <c r="E1275" s="76" t="s">
        <v>68</v>
      </c>
      <c r="F1275" s="17" t="s">
        <v>107</v>
      </c>
      <c r="G1275" s="17" t="s">
        <v>108</v>
      </c>
      <c r="H1275" s="67" t="s">
        <v>47</v>
      </c>
      <c r="I1275" s="55" t="s">
        <v>128</v>
      </c>
      <c r="J1275" s="121"/>
      <c r="K1275" s="186"/>
      <c r="L1275" s="100"/>
      <c r="M1275" s="122"/>
      <c r="N1275" s="109"/>
      <c r="O1275" s="115"/>
      <c r="Q1275" s="127"/>
    </row>
    <row r="1276" spans="2:17" ht="15" customHeight="1">
      <c r="B1276" s="150" t="s">
        <v>248</v>
      </c>
      <c r="C1276" s="16"/>
      <c r="D1276" s="16"/>
      <c r="E1276" s="111">
        <v>0.14000000000000001</v>
      </c>
      <c r="F1276" s="74">
        <v>0.26</v>
      </c>
      <c r="G1276" s="105">
        <f>0.6+2.8</f>
        <v>3.4</v>
      </c>
      <c r="H1276" s="74">
        <v>2</v>
      </c>
      <c r="I1276" s="17">
        <f>H1276*G1276</f>
        <v>6.8</v>
      </c>
      <c r="J1276" s="89"/>
      <c r="K1276" s="70">
        <f>H1276*F1276*G1276*E1276</f>
        <v>0.24752000000000002</v>
      </c>
      <c r="L1276" s="57"/>
      <c r="N1276" s="109"/>
      <c r="O1276" s="115"/>
      <c r="Q1276" s="127"/>
    </row>
    <row r="1277" spans="2:17" ht="15" customHeight="1">
      <c r="B1277" s="150"/>
      <c r="C1277" s="16"/>
      <c r="D1277" s="17"/>
      <c r="E1277" s="112"/>
      <c r="F1277" s="17"/>
      <c r="G1277" s="17"/>
      <c r="H1277" s="17"/>
      <c r="I1277" s="17"/>
      <c r="J1277" s="89"/>
      <c r="K1277" s="70"/>
      <c r="L1277" s="57"/>
      <c r="N1277" s="109"/>
      <c r="O1277" s="115"/>
      <c r="Q1277" s="127"/>
    </row>
    <row r="1278" spans="2:17" ht="36" customHeight="1">
      <c r="B1278" s="150"/>
      <c r="C1278" s="16">
        <v>92873</v>
      </c>
      <c r="D1278" s="16" t="s">
        <v>8</v>
      </c>
      <c r="E1278" s="447" t="str">
        <f>IFERROR(VLOOKUP($C1278,'SINAPI JULHO 2018'!$1:$1048576,2,0),IFERROR(VLOOKUP($C1278,'5-COMP. PROPRIA'!$B$13:$I$518,4,0),""))</f>
        <v>LANÇAMENTO COM USO DE BALDES, ADENSAMENTO E ACABAMENTO DE CONCRETO EM ESTRUTURAS. AF_12/2015</v>
      </c>
      <c r="F1278" s="448"/>
      <c r="G1278" s="448"/>
      <c r="H1278" s="448"/>
      <c r="I1278" s="448"/>
      <c r="J1278" s="449"/>
      <c r="K1278" s="184">
        <f>K1274</f>
        <v>0.24752000000000002</v>
      </c>
      <c r="L1278" s="57" t="s">
        <v>65</v>
      </c>
      <c r="N1278" s="109"/>
      <c r="O1278" s="115"/>
      <c r="Q1278" s="127"/>
    </row>
    <row r="1279" spans="2:17" ht="15" customHeight="1">
      <c r="B1279" s="150"/>
      <c r="C1279" s="16"/>
      <c r="D1279" s="16"/>
      <c r="E1279" s="112"/>
      <c r="F1279" s="17"/>
      <c r="G1279" s="17"/>
      <c r="H1279" s="17"/>
      <c r="I1279" s="17"/>
      <c r="J1279" s="89"/>
      <c r="K1279" s="70"/>
      <c r="L1279" s="57"/>
      <c r="N1279" s="109"/>
      <c r="O1279" s="115"/>
      <c r="Q1279" s="127"/>
    </row>
    <row r="1280" spans="2:17" ht="45.75" customHeight="1">
      <c r="B1280" s="150"/>
      <c r="C1280" s="16">
        <v>92775</v>
      </c>
      <c r="D1280" s="16" t="s">
        <v>8</v>
      </c>
      <c r="E1280" s="447" t="str">
        <f>IFERROR(VLOOKUP($C1280,'SINAPI JULHO 2018'!$1:$1048576,2,0),IFERROR(VLOOKUP($C1280,'5-COMP. PROPRIA'!$B$13:$I$518,4,0),""))</f>
        <v>ARMAÇÃO DE PILAR OU VIGA DE UMA ESTRUTURA CONVENCIONAL DE CONCRETO ARMADO EM UMA EDIFICAÇÃO TÉRREA OU SOBRADO UTILIZANDO AÇO CA-60 DE 5,0 MM - MONTAGEM. AF_12/2015</v>
      </c>
      <c r="F1280" s="448"/>
      <c r="G1280" s="448"/>
      <c r="H1280" s="448"/>
      <c r="I1280" s="448"/>
      <c r="J1280" s="449"/>
      <c r="K1280" s="184">
        <f>SUM(K1283:K1283)</f>
        <v>4.609363000000001</v>
      </c>
      <c r="L1280" s="57" t="s">
        <v>92</v>
      </c>
      <c r="M1280" s="52"/>
      <c r="N1280" s="68"/>
      <c r="O1280" s="115"/>
      <c r="Q1280" s="127"/>
    </row>
    <row r="1281" spans="2:17" ht="15" customHeight="1">
      <c r="B1281" s="150"/>
      <c r="C1281" s="16"/>
      <c r="D1281" s="16"/>
      <c r="E1281" s="112"/>
      <c r="F1281" s="17"/>
      <c r="G1281" s="17"/>
      <c r="H1281" s="70" t="s">
        <v>112</v>
      </c>
      <c r="I1281" s="69">
        <f>K1280/K1274</f>
        <v>18.622184065934068</v>
      </c>
      <c r="J1281" s="89"/>
      <c r="K1281" s="70"/>
      <c r="L1281" s="57"/>
      <c r="M1281" s="93"/>
      <c r="N1281" s="68"/>
      <c r="O1281" s="115"/>
      <c r="Q1281" s="127"/>
    </row>
    <row r="1282" spans="2:17" ht="15" customHeight="1">
      <c r="B1282" s="157" t="s">
        <v>132</v>
      </c>
      <c r="C1282" s="16"/>
      <c r="D1282" s="16"/>
      <c r="E1282" s="79" t="s">
        <v>93</v>
      </c>
      <c r="F1282" s="67" t="s">
        <v>106</v>
      </c>
      <c r="G1282" s="67" t="s">
        <v>94</v>
      </c>
      <c r="H1282" s="67" t="s">
        <v>95</v>
      </c>
      <c r="I1282" s="67" t="s">
        <v>54</v>
      </c>
      <c r="J1282" s="89"/>
      <c r="K1282" s="70"/>
      <c r="L1282" s="57"/>
      <c r="M1282" s="93"/>
      <c r="N1282" s="68"/>
      <c r="O1282" s="115"/>
      <c r="Q1282" s="127"/>
    </row>
    <row r="1283" spans="2:17" ht="15" customHeight="1">
      <c r="B1283" s="150" t="str">
        <f>B1276</f>
        <v>PILAR  (TOCO 0,6 + PILAR 2,8)</v>
      </c>
      <c r="C1283" s="16"/>
      <c r="D1283" s="16"/>
      <c r="E1283" s="111">
        <v>5</v>
      </c>
      <c r="F1283" s="17">
        <f>(E1276-0.06)*2+(F1276-0.06)*2+0.1</f>
        <v>0.66</v>
      </c>
      <c r="G1283" s="17">
        <f>I1276/0.15</f>
        <v>45.333333333333336</v>
      </c>
      <c r="H1283" s="17">
        <f>((E1283/1000)*(E1283/1000)*3.14*0.25)*7850</f>
        <v>0.15405625000000003</v>
      </c>
      <c r="I1283" s="17">
        <v>1</v>
      </c>
      <c r="J1283" s="89"/>
      <c r="K1283" s="70">
        <f>G1283*H1283*F1283*I1283</f>
        <v>4.609363000000001</v>
      </c>
      <c r="L1283" s="57"/>
      <c r="M1283" s="93"/>
      <c r="N1283" s="68"/>
      <c r="O1283" s="115"/>
      <c r="Q1283" s="127"/>
    </row>
    <row r="1284" spans="2:17" ht="15" customHeight="1">
      <c r="B1284" s="150"/>
      <c r="C1284" s="16"/>
      <c r="D1284" s="16"/>
      <c r="E1284" s="112"/>
      <c r="F1284" s="17"/>
      <c r="G1284" s="17"/>
      <c r="H1284" s="17"/>
      <c r="I1284" s="17"/>
      <c r="J1284" s="89"/>
      <c r="K1284" s="70"/>
      <c r="L1284" s="57"/>
      <c r="M1284" s="93"/>
      <c r="N1284" s="68"/>
      <c r="O1284" s="115"/>
      <c r="Q1284" s="127"/>
    </row>
    <row r="1285" spans="2:17" ht="44.25" customHeight="1">
      <c r="B1285" s="150"/>
      <c r="C1285" s="16">
        <v>92778</v>
      </c>
      <c r="D1285" s="16" t="s">
        <v>8</v>
      </c>
      <c r="E1285" s="447" t="str">
        <f>IFERROR(VLOOKUP($C1285,'SINAPI JULHO 2018'!$1:$1048576,2,0),IFERROR(VLOOKUP($C1285,'5-COMP. PROPRIA'!$B$13:$I$518,4,0),""))</f>
        <v>ARMAÇÃO DE PILAR OU VIGA DE UMA ESTRUTURA CONVENCIONAL DE CONCRETO ARMADO EM UMA EDIFICAÇÃO TÉRREA OU SOBRADO UTILIZANDO AÇO CA-50 DE 10,0 MM - MONTAGEM. AF_12/2015</v>
      </c>
      <c r="F1285" s="448"/>
      <c r="G1285" s="448"/>
      <c r="H1285" s="448"/>
      <c r="I1285" s="448"/>
      <c r="J1285" s="449"/>
      <c r="K1285" s="184">
        <f>SUM(K1288:K1288)</f>
        <v>18.733240000000002</v>
      </c>
      <c r="L1285" s="57" t="s">
        <v>92</v>
      </c>
      <c r="M1285" s="52"/>
      <c r="N1285" s="68"/>
      <c r="O1285" s="115"/>
      <c r="Q1285" s="127"/>
    </row>
    <row r="1286" spans="2:17" ht="15" customHeight="1">
      <c r="B1286" s="150"/>
      <c r="C1286" s="16"/>
      <c r="D1286" s="16"/>
      <c r="E1286" s="112"/>
      <c r="F1286" s="17"/>
      <c r="G1286" s="17"/>
      <c r="H1286" s="70" t="s">
        <v>112</v>
      </c>
      <c r="I1286" s="69">
        <f>K1285/K1274</f>
        <v>75.683742727860377</v>
      </c>
      <c r="J1286" s="89"/>
      <c r="K1286" s="70"/>
      <c r="L1286" s="57"/>
      <c r="M1286" s="93"/>
      <c r="N1286" s="109"/>
      <c r="O1286" s="115"/>
      <c r="Q1286" s="127"/>
    </row>
    <row r="1287" spans="2:17" ht="15" customHeight="1">
      <c r="B1287" s="150"/>
      <c r="C1287" s="16"/>
      <c r="D1287" s="16"/>
      <c r="E1287" s="79" t="s">
        <v>93</v>
      </c>
      <c r="F1287" s="67" t="s">
        <v>106</v>
      </c>
      <c r="G1287" s="67" t="s">
        <v>94</v>
      </c>
      <c r="H1287" s="67" t="s">
        <v>95</v>
      </c>
      <c r="I1287" s="67" t="s">
        <v>54</v>
      </c>
      <c r="J1287" s="89"/>
      <c r="K1287" s="70"/>
      <c r="L1287" s="57"/>
      <c r="M1287" s="93"/>
      <c r="N1287" s="68"/>
      <c r="O1287" s="115"/>
      <c r="Q1287" s="127"/>
    </row>
    <row r="1288" spans="2:17" ht="15" customHeight="1">
      <c r="B1288" s="150" t="str">
        <f>B1283</f>
        <v>PILAR  (TOCO 0,6 + PILAR 2,8)</v>
      </c>
      <c r="C1288" s="16"/>
      <c r="D1288" s="16"/>
      <c r="E1288" s="111">
        <v>10</v>
      </c>
      <c r="F1288" s="17">
        <f>G1276+0.4</f>
        <v>3.8</v>
      </c>
      <c r="G1288" s="17">
        <v>4</v>
      </c>
      <c r="H1288" s="17">
        <f>((E1288/1000)*(E1288/1000)*3.14*0.25)*7850</f>
        <v>0.61622500000000013</v>
      </c>
      <c r="I1288" s="17">
        <f>H1276</f>
        <v>2</v>
      </c>
      <c r="J1288" s="89"/>
      <c r="K1288" s="70">
        <f>G1288*H1288*F1288*I1288</f>
        <v>18.733240000000002</v>
      </c>
      <c r="L1288" s="57"/>
      <c r="M1288" s="93"/>
      <c r="N1288" s="68"/>
      <c r="O1288" s="115"/>
      <c r="Q1288" s="127"/>
    </row>
    <row r="1289" spans="2:17" ht="15" customHeight="1">
      <c r="B1289" s="150"/>
      <c r="C1289" s="16"/>
      <c r="D1289" s="16"/>
      <c r="E1289" s="112"/>
      <c r="F1289" s="17"/>
      <c r="G1289" s="17"/>
      <c r="H1289" s="17"/>
      <c r="I1289" s="17"/>
      <c r="J1289" s="89"/>
      <c r="K1289" s="70"/>
      <c r="L1289" s="57"/>
      <c r="M1289" s="93"/>
      <c r="N1289" s="109"/>
      <c r="O1289" s="115"/>
      <c r="Q1289" s="127"/>
    </row>
    <row r="1290" spans="2:17" ht="45.75" customHeight="1">
      <c r="B1290" s="150"/>
      <c r="C1290" s="16">
        <v>92412</v>
      </c>
      <c r="D1290" s="16" t="s">
        <v>8</v>
      </c>
      <c r="E1290" s="447" t="str">
        <f>IFERROR(VLOOKUP($C1290,'SINAPI JULHO 2018'!$1:$1048576,2,0),IFERROR(VLOOKUP($C1290,'5-COMP. PROPRIA'!$B$13:$I$518,4,0),""))</f>
        <v>MONTAGEM E DESMONTAGEM DE FÔRMA DE PILARES RETANGULARES E ESTRUTURAS SIMILARES COM ÁREA MÉDIA DAS SEÇÕES MENOR OU IGUAL A 0,25 M², PÉ-DIREITO SIMPLES, EM MADEIRA SERRADA, 4 UTILIZAÇÕES. AF_12/2015</v>
      </c>
      <c r="F1290" s="448"/>
      <c r="G1290" s="448"/>
      <c r="H1290" s="448"/>
      <c r="I1290" s="448"/>
      <c r="J1290" s="449"/>
      <c r="K1290" s="184">
        <f>K1292</f>
        <v>5.44</v>
      </c>
      <c r="L1290" s="57" t="s">
        <v>25</v>
      </c>
      <c r="N1290" s="109"/>
      <c r="O1290" s="115"/>
      <c r="Q1290" s="127"/>
    </row>
    <row r="1291" spans="2:17" ht="15" customHeight="1">
      <c r="B1291" s="150"/>
      <c r="C1291" s="16"/>
      <c r="D1291" s="16"/>
      <c r="E1291" s="76" t="s">
        <v>68</v>
      </c>
      <c r="F1291" s="17" t="s">
        <v>107</v>
      </c>
      <c r="G1291" s="17" t="s">
        <v>108</v>
      </c>
      <c r="H1291" s="67" t="s">
        <v>47</v>
      </c>
      <c r="I1291" s="55"/>
      <c r="J1291" s="121"/>
      <c r="K1291" s="186"/>
      <c r="L1291" s="57"/>
      <c r="N1291" s="109"/>
      <c r="O1291" s="115"/>
      <c r="Q1291" s="127"/>
    </row>
    <row r="1292" spans="2:17" ht="15" customHeight="1">
      <c r="B1292" s="150" t="str">
        <f>B1288</f>
        <v>PILAR  (TOCO 0,6 + PILAR 2,8)</v>
      </c>
      <c r="C1292" s="16"/>
      <c r="D1292" s="16"/>
      <c r="E1292" s="112">
        <f t="shared" ref="E1292:G1292" si="22">E1276</f>
        <v>0.14000000000000001</v>
      </c>
      <c r="F1292" s="57">
        <f t="shared" si="22"/>
        <v>0.26</v>
      </c>
      <c r="G1292" s="57">
        <f t="shared" si="22"/>
        <v>3.4</v>
      </c>
      <c r="H1292" s="57">
        <f>I1288</f>
        <v>2</v>
      </c>
      <c r="I1292" s="17"/>
      <c r="J1292" s="89"/>
      <c r="K1292" s="70">
        <f>(E1292*2+F1292*2)*G1292*H1292</f>
        <v>5.44</v>
      </c>
      <c r="L1292" s="57"/>
      <c r="N1292" s="109"/>
      <c r="O1292" s="115"/>
      <c r="Q1292" s="127"/>
    </row>
    <row r="1293" spans="2:17" ht="15" customHeight="1">
      <c r="B1293" s="150"/>
      <c r="C1293" s="16"/>
      <c r="D1293" s="16"/>
      <c r="E1293" s="276"/>
      <c r="F1293" s="221"/>
      <c r="G1293" s="221"/>
      <c r="H1293" s="221"/>
      <c r="I1293" s="221"/>
      <c r="J1293" s="222"/>
      <c r="K1293" s="184"/>
      <c r="L1293" s="57"/>
      <c r="M1293" s="93"/>
      <c r="N1293" s="68"/>
      <c r="O1293" s="115"/>
      <c r="Q1293" s="127"/>
    </row>
    <row r="1294" spans="2:17" ht="15" customHeight="1">
      <c r="B1294" s="150"/>
      <c r="C1294" s="16"/>
      <c r="D1294" s="16"/>
      <c r="E1294" s="453" t="s">
        <v>133</v>
      </c>
      <c r="F1294" s="454"/>
      <c r="G1294" s="454"/>
      <c r="H1294" s="454"/>
      <c r="I1294" s="454"/>
      <c r="J1294" s="455"/>
      <c r="K1294" s="70"/>
      <c r="L1294" s="57"/>
      <c r="N1294" s="109"/>
      <c r="O1294" s="115"/>
      <c r="Q1294" s="127"/>
    </row>
    <row r="1295" spans="2:17" ht="15" customHeight="1">
      <c r="B1295" s="150"/>
      <c r="E1295" s="118"/>
      <c r="F1295" s="58"/>
      <c r="G1295" s="58"/>
      <c r="J1295" s="102"/>
      <c r="K1295" s="70"/>
      <c r="N1295" s="104"/>
      <c r="O1295" s="115"/>
      <c r="Q1295" s="127"/>
    </row>
    <row r="1296" spans="2:17" ht="44.25" customHeight="1">
      <c r="B1296" s="150"/>
      <c r="C1296" s="26">
        <v>94965</v>
      </c>
      <c r="D1296" s="16" t="s">
        <v>8</v>
      </c>
      <c r="E1296" s="447" t="str">
        <f>IFERROR(VLOOKUP($C1296,'SINAPI JULHO 2018'!$1:$1048576,2,0),IFERROR(VLOOKUP($C1296,'5-COMP. PROPRIA'!$B$13:$I$518,4,0),""))</f>
        <v>CONCRETO FCK = 25MPA, TRAÇO 1:2,3:2,7 (CIMENTO/ AREIA MÉDIA/ BRITA 1)  - PREPARO MECÂNICO COM BETONEIRA 400 L. AF_07/2016</v>
      </c>
      <c r="F1296" s="448"/>
      <c r="G1296" s="448"/>
      <c r="H1296" s="448"/>
      <c r="I1296" s="448"/>
      <c r="J1296" s="449"/>
      <c r="K1296" s="184">
        <f>SUM(K1298:K1298)</f>
        <v>0.30436000000000002</v>
      </c>
      <c r="L1296" s="58" t="s">
        <v>65</v>
      </c>
      <c r="N1296" s="104"/>
      <c r="O1296" s="115"/>
      <c r="Q1296" s="127"/>
    </row>
    <row r="1297" spans="2:17" ht="15" customHeight="1">
      <c r="B1297" s="150"/>
      <c r="E1297" s="76" t="s">
        <v>106</v>
      </c>
      <c r="F1297" s="17" t="s">
        <v>107</v>
      </c>
      <c r="G1297" s="17" t="s">
        <v>108</v>
      </c>
      <c r="H1297" s="67" t="s">
        <v>47</v>
      </c>
      <c r="I1297" s="221"/>
      <c r="J1297" s="222"/>
      <c r="K1297" s="183"/>
      <c r="N1297" s="104"/>
      <c r="O1297" s="115"/>
      <c r="Q1297" s="127"/>
    </row>
    <row r="1298" spans="2:17" ht="15" customHeight="1">
      <c r="B1298" s="150"/>
      <c r="E1298" s="111">
        <v>10.87</v>
      </c>
      <c r="F1298" s="74">
        <v>0.14000000000000001</v>
      </c>
      <c r="G1298" s="74">
        <v>0.2</v>
      </c>
      <c r="H1298" s="74">
        <v>1</v>
      </c>
      <c r="J1298" s="102"/>
      <c r="K1298" s="70">
        <f>E1298*F1298*G1298*H1298</f>
        <v>0.30436000000000002</v>
      </c>
      <c r="N1298" s="104"/>
      <c r="O1298" s="115"/>
      <c r="Q1298" s="127"/>
    </row>
    <row r="1299" spans="2:17" ht="15" customHeight="1">
      <c r="B1299" s="150"/>
      <c r="E1299" s="112"/>
      <c r="J1299" s="102"/>
      <c r="K1299" s="183"/>
      <c r="N1299" s="104"/>
      <c r="O1299" s="115"/>
      <c r="Q1299" s="127"/>
    </row>
    <row r="1300" spans="2:17" ht="15" customHeight="1">
      <c r="B1300" s="150"/>
      <c r="C1300" s="26" t="s">
        <v>111</v>
      </c>
      <c r="D1300" s="16" t="s">
        <v>8</v>
      </c>
      <c r="E1300" s="447" t="str">
        <f>IFERROR(VLOOKUP($C1300,'SINAPI JULHO 2018'!$1:$1048576,2,0),IFERROR(VLOOKUP($C1300,'5-COMP. PROPRIA'!$B$13:$I$518,4,0),""))</f>
        <v>LANCAMENTO/APLICACAO MANUAL DE CONCRETO EM FUNDACOES</v>
      </c>
      <c r="F1300" s="448"/>
      <c r="G1300" s="448"/>
      <c r="H1300" s="448"/>
      <c r="I1300" s="448"/>
      <c r="J1300" s="449"/>
      <c r="K1300" s="184">
        <f>K1296</f>
        <v>0.30436000000000002</v>
      </c>
      <c r="L1300" s="58" t="s">
        <v>65</v>
      </c>
      <c r="N1300" s="104"/>
      <c r="O1300" s="115"/>
      <c r="Q1300" s="127"/>
    </row>
    <row r="1301" spans="2:17" ht="15" customHeight="1">
      <c r="B1301" s="150"/>
      <c r="E1301" s="118"/>
      <c r="F1301" s="58"/>
      <c r="G1301" s="58"/>
      <c r="J1301" s="102"/>
      <c r="K1301" s="70"/>
      <c r="N1301" s="104"/>
      <c r="O1301" s="115"/>
      <c r="Q1301" s="127"/>
    </row>
    <row r="1302" spans="2:17" ht="50.25" customHeight="1">
      <c r="B1302" s="157" t="s">
        <v>132</v>
      </c>
      <c r="C1302" s="26">
        <v>92775</v>
      </c>
      <c r="D1302" s="16" t="s">
        <v>8</v>
      </c>
      <c r="E1302" s="447" t="str">
        <f>IFERROR(VLOOKUP($C1302,'SINAPI JULHO 2018'!$1:$1048576,2,0),IFERROR(VLOOKUP($C1302,'5-COMP. PROPRIA'!$B$13:$I$518,4,0),""))</f>
        <v>ARMAÇÃO DE PILAR OU VIGA DE UMA ESTRUTURA CONVENCIONAL DE CONCRETO ARMADO EM UMA EDIFICAÇÃO TÉRREA OU SOBRADO UTILIZANDO AÇO CA-60 DE 5,0 MM - MONTAGEM. AF_12/2015</v>
      </c>
      <c r="F1302" s="448"/>
      <c r="G1302" s="448"/>
      <c r="H1302" s="448"/>
      <c r="I1302" s="448"/>
      <c r="J1302" s="449"/>
      <c r="K1302" s="184">
        <f>SUM(K1305:K1305)</f>
        <v>6.0285291750000018</v>
      </c>
      <c r="L1302" s="58" t="s">
        <v>92</v>
      </c>
      <c r="M1302" s="52"/>
      <c r="N1302" s="68"/>
      <c r="O1302" s="115"/>
      <c r="Q1302" s="127"/>
    </row>
    <row r="1303" spans="2:17" ht="15" customHeight="1">
      <c r="B1303" s="150"/>
      <c r="E1303" s="118"/>
      <c r="H1303" s="70" t="s">
        <v>112</v>
      </c>
      <c r="I1303" s="69">
        <f>K1302/K1296</f>
        <v>19.807232142857149</v>
      </c>
      <c r="J1303" s="102"/>
      <c r="K1303" s="70"/>
      <c r="M1303" s="93"/>
      <c r="N1303" s="68"/>
      <c r="O1303" s="115"/>
      <c r="Q1303" s="127"/>
    </row>
    <row r="1304" spans="2:17" ht="15" customHeight="1">
      <c r="B1304" s="150"/>
      <c r="E1304" s="79" t="s">
        <v>93</v>
      </c>
      <c r="F1304" s="67" t="s">
        <v>106</v>
      </c>
      <c r="G1304" s="67" t="s">
        <v>94</v>
      </c>
      <c r="H1304" s="61" t="s">
        <v>95</v>
      </c>
      <c r="I1304" s="67" t="s">
        <v>54</v>
      </c>
      <c r="J1304" s="102"/>
      <c r="K1304" s="70"/>
      <c r="M1304" s="93"/>
      <c r="N1304" s="68"/>
      <c r="O1304" s="115"/>
      <c r="Q1304" s="127"/>
    </row>
    <row r="1305" spans="2:17" ht="15" customHeight="1">
      <c r="B1305" s="150"/>
      <c r="E1305" s="101">
        <v>5</v>
      </c>
      <c r="F1305" s="51">
        <f>(F1298-0.06)*2+(G1298-0.06)*2+0.1</f>
        <v>0.54</v>
      </c>
      <c r="G1305" s="51">
        <f>E1298/0.15</f>
        <v>72.466666666666669</v>
      </c>
      <c r="H1305" s="51">
        <f>((E1305/1000)*(E1305/1000)*3.14*0.25)*7850</f>
        <v>0.15405625000000003</v>
      </c>
      <c r="I1305" s="51">
        <v>1</v>
      </c>
      <c r="J1305" s="102"/>
      <c r="K1305" s="70">
        <f>G1305*H1305*F1305*I1305</f>
        <v>6.0285291750000018</v>
      </c>
      <c r="M1305" s="93"/>
      <c r="N1305" s="68"/>
      <c r="O1305" s="115"/>
      <c r="Q1305" s="127"/>
    </row>
    <row r="1306" spans="2:17" ht="15" customHeight="1">
      <c r="B1306" s="150"/>
      <c r="E1306" s="118"/>
      <c r="F1306" s="58"/>
      <c r="G1306" s="58"/>
      <c r="J1306" s="102"/>
      <c r="K1306" s="70"/>
      <c r="N1306" s="104"/>
      <c r="O1306" s="115"/>
      <c r="Q1306" s="127"/>
    </row>
    <row r="1307" spans="2:17" ht="48" customHeight="1">
      <c r="B1307" s="150"/>
      <c r="C1307" s="26">
        <v>92761</v>
      </c>
      <c r="D1307" s="16" t="s">
        <v>8</v>
      </c>
      <c r="E1307" s="447" t="str">
        <f>IFERROR(VLOOKUP($C1307,'SINAPI JULHO 2018'!$1:$1048576,2,0),IFERROR(VLOOKUP($C1307,'5-COMP. PROPRIA'!$B$13:$I$518,4,0),""))</f>
        <v>ARMAÇÃO DE PILAR OU VIGA DE UMA ESTRUTURA CONVENCIONAL DE CONCRETO ARMADO EM UM EDIFÍCIO DE MÚLTIPLOS PAVIMENTOS UTILIZANDO AÇO CA-50 DE 8,0 MM - MONTAGEM. AF_12/2015</v>
      </c>
      <c r="F1307" s="448"/>
      <c r="G1307" s="448"/>
      <c r="H1307" s="448"/>
      <c r="I1307" s="448"/>
      <c r="J1307" s="449"/>
      <c r="K1307" s="184">
        <f>SUM(K1310:K1310)</f>
        <v>17.14781632</v>
      </c>
      <c r="L1307" s="58" t="s">
        <v>92</v>
      </c>
      <c r="M1307" s="52"/>
      <c r="N1307" s="68"/>
      <c r="O1307" s="115"/>
      <c r="Q1307" s="127"/>
    </row>
    <row r="1308" spans="2:17" ht="15" customHeight="1">
      <c r="B1308" s="150"/>
      <c r="E1308" s="118"/>
      <c r="H1308" s="70" t="s">
        <v>112</v>
      </c>
      <c r="I1308" s="69">
        <f>K1307/K1298</f>
        <v>56.34057142857143</v>
      </c>
      <c r="J1308" s="102"/>
      <c r="K1308" s="70"/>
      <c r="M1308" s="93"/>
      <c r="N1308" s="68"/>
      <c r="O1308" s="115"/>
      <c r="Q1308" s="127"/>
    </row>
    <row r="1309" spans="2:17" ht="15" customHeight="1">
      <c r="B1309" s="150"/>
      <c r="E1309" s="79" t="s">
        <v>93</v>
      </c>
      <c r="F1309" s="67" t="s">
        <v>106</v>
      </c>
      <c r="G1309" s="67" t="s">
        <v>94</v>
      </c>
      <c r="H1309" s="61" t="s">
        <v>95</v>
      </c>
      <c r="I1309" s="67" t="s">
        <v>54</v>
      </c>
      <c r="J1309" s="102"/>
      <c r="K1309" s="70"/>
      <c r="M1309" s="93"/>
      <c r="N1309" s="68"/>
      <c r="O1309" s="115"/>
      <c r="Q1309" s="127"/>
    </row>
    <row r="1310" spans="2:17" ht="15" customHeight="1">
      <c r="B1310" s="150"/>
      <c r="E1310" s="101">
        <v>8</v>
      </c>
      <c r="F1310" s="51">
        <f>E1298</f>
        <v>10.87</v>
      </c>
      <c r="G1310" s="51">
        <v>1</v>
      </c>
      <c r="H1310" s="51">
        <f>((E1310/1000)*(E1310/1000)*3.14*0.25)*7850</f>
        <v>0.39438400000000001</v>
      </c>
      <c r="I1310" s="51">
        <v>4</v>
      </c>
      <c r="J1310" s="102"/>
      <c r="K1310" s="70">
        <f>G1310*H1310*F1310*I1310</f>
        <v>17.14781632</v>
      </c>
      <c r="M1310" s="93"/>
      <c r="N1310" s="68"/>
      <c r="O1310" s="115"/>
      <c r="Q1310" s="127"/>
    </row>
    <row r="1311" spans="2:17" ht="15" customHeight="1">
      <c r="B1311" s="150"/>
      <c r="E1311" s="118"/>
      <c r="F1311" s="58"/>
      <c r="G1311" s="58"/>
      <c r="J1311" s="102"/>
      <c r="K1311" s="70"/>
      <c r="N1311" s="104"/>
      <c r="O1311" s="115"/>
      <c r="Q1311" s="127"/>
    </row>
    <row r="1312" spans="2:17" ht="45.75" customHeight="1">
      <c r="B1312" s="150"/>
      <c r="C1312" s="26">
        <v>92412</v>
      </c>
      <c r="D1312" s="16" t="s">
        <v>8</v>
      </c>
      <c r="E1312" s="447" t="str">
        <f>IFERROR(VLOOKUP($C1312,'SINAPI JULHO 2018'!$1:$1048576,2,0),IFERROR(VLOOKUP($C1312,'5-COMP. PROPRIA'!$B$13:$I$518,4,0),""))</f>
        <v>MONTAGEM E DESMONTAGEM DE FÔRMA DE PILARES RETANGULARES E ESTRUTURAS SIMILARES COM ÁREA MÉDIA DAS SEÇÕES MENOR OU IGUAL A 0,25 M², PÉ-DIREITO SIMPLES, EM MADEIRA SERRADA, 4 UTILIZAÇÕES. AF_12/2015</v>
      </c>
      <c r="F1312" s="448"/>
      <c r="G1312" s="448"/>
      <c r="H1312" s="448"/>
      <c r="I1312" s="448"/>
      <c r="J1312" s="449"/>
      <c r="K1312" s="184">
        <f>K1314</f>
        <v>7.3916000000000004</v>
      </c>
      <c r="L1312" s="58" t="s">
        <v>25</v>
      </c>
      <c r="N1312" s="104"/>
      <c r="O1312" s="115"/>
      <c r="Q1312" s="127"/>
    </row>
    <row r="1313" spans="2:17" ht="15" customHeight="1">
      <c r="B1313" s="150"/>
      <c r="E1313" s="76" t="s">
        <v>68</v>
      </c>
      <c r="F1313" s="17" t="s">
        <v>107</v>
      </c>
      <c r="G1313" s="17" t="s">
        <v>108</v>
      </c>
      <c r="H1313" s="67" t="s">
        <v>47</v>
      </c>
      <c r="I1313" s="55"/>
      <c r="J1313" s="121"/>
      <c r="K1313" s="186"/>
      <c r="N1313" s="104"/>
      <c r="O1313" s="115"/>
      <c r="Q1313" s="127"/>
    </row>
    <row r="1314" spans="2:17" ht="15" customHeight="1">
      <c r="B1314" s="150"/>
      <c r="E1314" s="118">
        <f>E1298</f>
        <v>10.87</v>
      </c>
      <c r="F1314" s="58">
        <f>F1298</f>
        <v>0.14000000000000001</v>
      </c>
      <c r="G1314" s="58">
        <f>G1298</f>
        <v>0.2</v>
      </c>
      <c r="H1314" s="58">
        <v>2</v>
      </c>
      <c r="J1314" s="102"/>
      <c r="K1314" s="70">
        <f>E1314*(G1314+F1314)*H1314</f>
        <v>7.3916000000000004</v>
      </c>
      <c r="N1314" s="104"/>
      <c r="O1314" s="115"/>
      <c r="Q1314" s="127"/>
    </row>
    <row r="1315" spans="2:17" ht="15" customHeight="1">
      <c r="B1315" s="150"/>
      <c r="E1315" s="118"/>
      <c r="G1315" s="58"/>
      <c r="J1315" s="102"/>
      <c r="K1315" s="183"/>
      <c r="N1315" s="104"/>
      <c r="O1315" s="115"/>
      <c r="Q1315" s="127"/>
    </row>
    <row r="1316" spans="2:17" ht="15" customHeight="1">
      <c r="B1316" s="150"/>
      <c r="C1316" s="16"/>
      <c r="D1316" s="16"/>
      <c r="E1316" s="453" t="s">
        <v>249</v>
      </c>
      <c r="F1316" s="454"/>
      <c r="G1316" s="454"/>
      <c r="H1316" s="454"/>
      <c r="I1316" s="454"/>
      <c r="J1316" s="455"/>
      <c r="K1316" s="70"/>
      <c r="M1316" s="93"/>
      <c r="N1316" s="68"/>
      <c r="O1316" s="115"/>
      <c r="Q1316" s="127"/>
    </row>
    <row r="1317" spans="2:17" ht="15" customHeight="1">
      <c r="B1317" s="150"/>
      <c r="E1317" s="276"/>
      <c r="F1317" s="221"/>
      <c r="G1317" s="221"/>
      <c r="H1317" s="221"/>
      <c r="I1317" s="221"/>
      <c r="J1317" s="222"/>
      <c r="K1317" s="184"/>
      <c r="M1317" s="93"/>
      <c r="N1317" s="68"/>
      <c r="O1317" s="115"/>
      <c r="Q1317" s="127"/>
    </row>
    <row r="1318" spans="2:17" ht="54" customHeight="1">
      <c r="B1318" s="150" t="s">
        <v>250</v>
      </c>
      <c r="C1318" s="26">
        <v>89977</v>
      </c>
      <c r="D1318" s="26" t="s">
        <v>8</v>
      </c>
      <c r="E1318" s="447" t="str">
        <f>IFERROR(VLOOKUP($C1318,'SINAPI JULHO 2018'!$1:$1048576,2,0),IFERROR(VLOOKUP($C1318,'5-COMP. PROPRIA'!$B$13:$I$518,4,0),""))</f>
        <v>(COMPOSIÇÃO REPRESENTATIVA) DO SERVIÇO DE ALVENARIA DE VEDAÇÃO DE BLOCOS VAZADOS DE CERÂMICA DE 14X9X19CM (ESPESSURA 14CM, BLOCO DEITADO), PARA EDIFICAÇÃO HABITACIONAL UNIFAMILIAR (CASA) E EDIFICAÇÃO PÚBLICA PADRÃO. AF_12/2014</v>
      </c>
      <c r="F1318" s="448"/>
      <c r="G1318" s="448"/>
      <c r="H1318" s="448"/>
      <c r="I1318" s="448"/>
      <c r="J1318" s="449"/>
      <c r="K1318" s="184">
        <f>((3.75*2)+2.6)*2.8</f>
        <v>28.279999999999998</v>
      </c>
      <c r="L1318" s="57" t="s">
        <v>145</v>
      </c>
      <c r="M1318" s="93"/>
      <c r="N1318" s="68"/>
      <c r="O1318" s="115"/>
      <c r="Q1318" s="127"/>
    </row>
    <row r="1319" spans="2:17" ht="15" customHeight="1">
      <c r="B1319" s="150"/>
      <c r="E1319" s="276"/>
      <c r="F1319" s="221"/>
      <c r="G1319" s="221"/>
      <c r="H1319" s="221"/>
      <c r="I1319" s="221"/>
      <c r="J1319" s="222"/>
      <c r="K1319" s="184"/>
      <c r="M1319" s="93"/>
      <c r="N1319" s="68"/>
      <c r="O1319" s="115"/>
      <c r="Q1319" s="127"/>
    </row>
    <row r="1320" spans="2:17" ht="49.5" customHeight="1">
      <c r="B1320" s="150"/>
      <c r="C1320" s="26">
        <v>87894</v>
      </c>
      <c r="D1320" s="26" t="s">
        <v>8</v>
      </c>
      <c r="E1320" s="447" t="str">
        <f>IFERROR(VLOOKUP($C1320,'SINAPI JULHO 2018'!$1:$1048576,2,0),IFERROR(VLOOKUP($C1320,'5-COMP. PROPRIA'!$B$13:$I$518,4,0),""))</f>
        <v>CHAPISCO APLICADO EM ALVENARIA (SEM PRESENÇA DE VÃOS) E ESTRUTURAS DE CONCRETO DE FACHADA, COM COLHER DE PEDREIRO.  ARGAMASSA TRAÇO 1:3 COM PREPARO EM BETONEIRA 400L. AF_06/2014</v>
      </c>
      <c r="F1320" s="448"/>
      <c r="G1320" s="448"/>
      <c r="H1320" s="448"/>
      <c r="I1320" s="448"/>
      <c r="J1320" s="449"/>
      <c r="K1320" s="184">
        <f>K1318*2</f>
        <v>56.559999999999995</v>
      </c>
      <c r="L1320" s="57" t="s">
        <v>145</v>
      </c>
      <c r="M1320" s="93"/>
      <c r="N1320" s="68"/>
      <c r="O1320" s="115"/>
      <c r="Q1320" s="127"/>
    </row>
    <row r="1321" spans="2:17" ht="15" customHeight="1">
      <c r="B1321" s="150"/>
      <c r="E1321" s="276"/>
      <c r="F1321" s="221"/>
      <c r="G1321" s="221"/>
      <c r="H1321" s="221"/>
      <c r="I1321" s="221"/>
      <c r="J1321" s="222"/>
      <c r="K1321" s="184"/>
      <c r="M1321" s="93"/>
      <c r="N1321" s="68"/>
      <c r="O1321" s="115"/>
      <c r="Q1321" s="127"/>
    </row>
    <row r="1322" spans="2:17" ht="44.25" customHeight="1">
      <c r="B1322" s="150"/>
      <c r="C1322" s="26">
        <v>87529</v>
      </c>
      <c r="D1322" s="26" t="s">
        <v>8</v>
      </c>
      <c r="E1322" s="447" t="str">
        <f>IFERROR(VLOOKUP($C1322,'SINAPI JULHO 2018'!$1:$1048576,2,0),IFERROR(VLOOKUP($C1322,'5-COMP. PROPRIA'!$B$13:$I$518,4,0),""))</f>
        <v>MASSA ÚNICA, PARA RECEBIMENTO DE PINTURA, EM ARGAMASSA TRAÇO 1:2:8, PREPARO MECÂNICO COM BETONEIRA 400L, APLICADA MANUALMENTE EM FACES INTERNAS DE PAREDES, ESPESSURA DE 20MM, COM EXECUÇÃO DE TALISCAS. AF_06/2014</v>
      </c>
      <c r="F1322" s="448"/>
      <c r="G1322" s="448"/>
      <c r="H1322" s="448"/>
      <c r="I1322" s="448"/>
      <c r="J1322" s="449"/>
      <c r="K1322" s="184">
        <f>K1320</f>
        <v>56.559999999999995</v>
      </c>
      <c r="L1322" s="57" t="s">
        <v>145</v>
      </c>
      <c r="M1322" s="93"/>
      <c r="N1322" s="68"/>
      <c r="O1322" s="115"/>
      <c r="Q1322" s="127"/>
    </row>
    <row r="1323" spans="2:17" ht="15" customHeight="1">
      <c r="B1323" s="150"/>
      <c r="E1323" s="276"/>
      <c r="F1323" s="221"/>
      <c r="G1323" s="221"/>
      <c r="H1323" s="221"/>
      <c r="I1323" s="221"/>
      <c r="J1323" s="222"/>
      <c r="K1323" s="184"/>
      <c r="M1323" s="93"/>
      <c r="N1323" s="68"/>
      <c r="O1323" s="115"/>
      <c r="Q1323" s="127"/>
    </row>
    <row r="1324" spans="2:17" ht="15">
      <c r="B1324" s="150"/>
      <c r="C1324" s="26">
        <v>88485</v>
      </c>
      <c r="D1324" s="26" t="s">
        <v>8</v>
      </c>
      <c r="E1324" s="447" t="str">
        <f>IFERROR(VLOOKUP($C1324,'SINAPI JULHO 2018'!$1:$1048576,2,0),IFERROR(VLOOKUP($C1324,'5-COMP. PROPRIA'!$B$13:$I$518,4,0),""))</f>
        <v>APLICAÇÃO DE FUNDO SELADOR ACRÍLICO EM PAREDES, UMA DEMÃO. AF_06/2014</v>
      </c>
      <c r="F1324" s="448"/>
      <c r="G1324" s="448"/>
      <c r="H1324" s="448"/>
      <c r="I1324" s="448"/>
      <c r="J1324" s="449"/>
      <c r="K1324" s="184">
        <f>10.9*3</f>
        <v>32.700000000000003</v>
      </c>
      <c r="L1324" s="57" t="s">
        <v>145</v>
      </c>
      <c r="M1324" s="93"/>
      <c r="N1324" s="68"/>
      <c r="O1324" s="115"/>
      <c r="Q1324" s="127"/>
    </row>
    <row r="1325" spans="2:17" ht="15" customHeight="1">
      <c r="B1325" s="150"/>
      <c r="E1325" s="276"/>
      <c r="F1325" s="221"/>
      <c r="G1325" s="221"/>
      <c r="H1325" s="221"/>
      <c r="I1325" s="221"/>
      <c r="J1325" s="222"/>
      <c r="K1325" s="184"/>
      <c r="M1325" s="93"/>
      <c r="N1325" s="68"/>
      <c r="O1325" s="115"/>
      <c r="Q1325" s="127"/>
    </row>
    <row r="1326" spans="2:17" ht="36.75" customHeight="1">
      <c r="B1326" s="150"/>
      <c r="C1326" s="26">
        <v>88489</v>
      </c>
      <c r="D1326" s="26" t="s">
        <v>8</v>
      </c>
      <c r="E1326" s="447" t="str">
        <f>IFERROR(VLOOKUP($C1326,'SINAPI JULHO 2018'!$1:$1048576,2,0),IFERROR(VLOOKUP($C1326,'5-COMP. PROPRIA'!$B$13:$I$518,4,0),""))</f>
        <v>APLICAÇÃO MANUAL DE PINTURA COM TINTA LÁTEX ACRÍLICA EM PAREDES, DUAS DEMÃOS. AF_06/2014</v>
      </c>
      <c r="F1326" s="448"/>
      <c r="G1326" s="448"/>
      <c r="H1326" s="448"/>
      <c r="I1326" s="448"/>
      <c r="J1326" s="449"/>
      <c r="K1326" s="184">
        <f>10.9*2</f>
        <v>21.8</v>
      </c>
      <c r="L1326" s="57" t="s">
        <v>145</v>
      </c>
      <c r="M1326" s="93"/>
      <c r="N1326" s="68"/>
      <c r="O1326" s="115"/>
      <c r="Q1326" s="127"/>
    </row>
    <row r="1327" spans="2:17" ht="15" customHeight="1">
      <c r="B1327" s="150"/>
      <c r="E1327" s="276"/>
      <c r="F1327" s="221"/>
      <c r="G1327" s="221"/>
      <c r="H1327" s="221"/>
      <c r="I1327" s="221"/>
      <c r="J1327" s="222"/>
      <c r="K1327" s="184"/>
      <c r="M1327" s="93"/>
      <c r="N1327" s="68"/>
      <c r="O1327" s="115"/>
      <c r="Q1327" s="127"/>
    </row>
    <row r="1328" spans="2:17" ht="15">
      <c r="B1328" s="150"/>
      <c r="C1328" s="26" t="s">
        <v>168</v>
      </c>
      <c r="D1328" s="26" t="s">
        <v>35</v>
      </c>
      <c r="E1328" s="447" t="str">
        <f>IFERROR(VLOOKUP($C1328,'SINAPI JULHO 2018'!$1:$1048576,2,0),IFERROR(VLOOKUP($C1328,'5-COMP. PROPRIA'!$B$13:$I$518,4,0),""))</f>
        <v xml:space="preserve">PINTURA COM TINTA ESMALTE SINTÉTICO </v>
      </c>
      <c r="F1328" s="448"/>
      <c r="G1328" s="448"/>
      <c r="H1328" s="448"/>
      <c r="I1328" s="448"/>
      <c r="J1328" s="449"/>
      <c r="K1328" s="184">
        <f>10.9*1.2</f>
        <v>13.08</v>
      </c>
      <c r="L1328" s="57" t="s">
        <v>145</v>
      </c>
      <c r="M1328" s="93"/>
      <c r="N1328" s="68"/>
      <c r="O1328" s="115"/>
      <c r="Q1328" s="127"/>
    </row>
    <row r="1329" spans="2:17" ht="15" customHeight="1">
      <c r="B1329" s="150"/>
      <c r="E1329" s="276"/>
      <c r="F1329" s="221"/>
      <c r="G1329" s="221"/>
      <c r="H1329" s="221"/>
      <c r="I1329" s="221"/>
      <c r="J1329" s="222"/>
      <c r="K1329" s="184"/>
      <c r="M1329" s="93"/>
      <c r="N1329" s="68"/>
      <c r="O1329" s="115"/>
      <c r="Q1329" s="127"/>
    </row>
    <row r="1330" spans="2:17" ht="15" customHeight="1">
      <c r="B1330" s="150"/>
      <c r="C1330" s="16"/>
      <c r="D1330" s="16"/>
      <c r="E1330" s="453" t="s">
        <v>173</v>
      </c>
      <c r="F1330" s="454"/>
      <c r="G1330" s="454"/>
      <c r="H1330" s="454"/>
      <c r="I1330" s="454"/>
      <c r="J1330" s="455"/>
      <c r="K1330" s="70"/>
      <c r="M1330" s="93"/>
      <c r="N1330" s="68"/>
      <c r="O1330" s="115"/>
      <c r="Q1330" s="127"/>
    </row>
    <row r="1331" spans="2:17" ht="15" customHeight="1">
      <c r="B1331" s="150"/>
      <c r="E1331" s="276"/>
      <c r="F1331" s="221"/>
      <c r="G1331" s="221"/>
      <c r="H1331" s="221"/>
      <c r="I1331" s="221"/>
      <c r="J1331" s="222"/>
      <c r="K1331" s="184"/>
      <c r="M1331" s="93"/>
      <c r="N1331" s="68"/>
      <c r="O1331" s="115"/>
      <c r="Q1331" s="127"/>
    </row>
    <row r="1332" spans="2:17" ht="36" customHeight="1">
      <c r="B1332" s="150"/>
      <c r="C1332" s="94">
        <v>91341</v>
      </c>
      <c r="D1332" s="26" t="s">
        <v>8</v>
      </c>
      <c r="E1332" s="447" t="str">
        <f>IFERROR(VLOOKUP($C1332,'SINAPI JULHO 2018'!$1:$1048576,2,0),IFERROR(VLOOKUP($C1332,'5-COMP. PROPRIA'!$B$13:$I$518,4,0),""))</f>
        <v>PORTA EM ALUMÍNIO DE ABRIR TIPO VENEZIANA COM GUARNIÇÃO, FIXAÇÃO COM PARAFUSOS - FORNECIMENTO E INSTALAÇÃO. AF_08/2015</v>
      </c>
      <c r="F1332" s="448"/>
      <c r="G1332" s="448"/>
      <c r="H1332" s="448"/>
      <c r="I1332" s="448"/>
      <c r="J1332" s="449"/>
      <c r="K1332" s="184">
        <f>0.8*2.1*1</f>
        <v>1.6800000000000002</v>
      </c>
      <c r="L1332" s="57" t="s">
        <v>25</v>
      </c>
      <c r="M1332" s="93"/>
      <c r="N1332" s="68"/>
      <c r="O1332" s="115"/>
      <c r="Q1332" s="378"/>
    </row>
    <row r="1333" spans="2:17" ht="15" customHeight="1">
      <c r="B1333" s="150"/>
      <c r="C1333" s="91"/>
      <c r="D1333" s="91"/>
      <c r="E1333" s="113"/>
      <c r="F1333" s="56"/>
      <c r="G1333" s="56"/>
      <c r="H1333" s="56"/>
      <c r="I1333" s="56"/>
      <c r="J1333" s="240"/>
      <c r="K1333" s="183"/>
      <c r="L1333" s="56"/>
      <c r="M1333" s="93"/>
      <c r="N1333" s="68"/>
      <c r="O1333" s="115"/>
      <c r="Q1333" s="378"/>
    </row>
    <row r="1334" spans="2:17" ht="15" customHeight="1">
      <c r="B1334" s="150" t="s">
        <v>251</v>
      </c>
      <c r="C1334" s="94">
        <v>94576</v>
      </c>
      <c r="D1334" s="26" t="s">
        <v>8</v>
      </c>
      <c r="E1334" s="447" t="str">
        <f>IFERROR(VLOOKUP($C1334,'SINAPI JULHO 2018'!$1:$1048576,2,0),IFERROR(VLOOKUP($C1334,'5-COMP. PROPRIA'!$B$13:$I$518,4,0),""))</f>
        <v>JANELA DE ALUMÍNIO DE CORRER, 2 FOLHAS, FIXAÇÃO COM PARAFUSO, VEDAÇÃO COM ESPUMA EXPANSIVA PU, COM VIDROS, PADRONIZADA. AF_07/2016</v>
      </c>
      <c r="F1334" s="448"/>
      <c r="G1334" s="448"/>
      <c r="H1334" s="448"/>
      <c r="I1334" s="448"/>
      <c r="J1334" s="449"/>
      <c r="K1334" s="184">
        <f>1*1*2</f>
        <v>2</v>
      </c>
      <c r="L1334" s="57" t="s">
        <v>25</v>
      </c>
      <c r="M1334" s="93"/>
      <c r="N1334" s="68"/>
      <c r="O1334" s="115"/>
      <c r="Q1334" s="378"/>
    </row>
    <row r="1335" spans="2:17" ht="15" customHeight="1">
      <c r="B1335" s="150"/>
      <c r="C1335" s="91"/>
      <c r="D1335" s="91"/>
      <c r="E1335" s="113"/>
      <c r="F1335" s="56"/>
      <c r="G1335" s="56"/>
      <c r="H1335" s="56"/>
      <c r="I1335" s="56"/>
      <c r="J1335" s="240"/>
      <c r="K1335" s="183"/>
      <c r="L1335" s="56"/>
      <c r="M1335" s="93"/>
      <c r="N1335" s="68"/>
      <c r="O1335" s="115"/>
      <c r="Q1335" s="127"/>
    </row>
    <row r="1336" spans="2:17" ht="15" customHeight="1">
      <c r="B1336" s="150"/>
      <c r="C1336" s="94" t="s">
        <v>141</v>
      </c>
      <c r="D1336" s="26" t="s">
        <v>35</v>
      </c>
      <c r="E1336" s="447" t="str">
        <f>IFERROR(VLOOKUP($C1336,'SINAPI JULHO 2018'!$1:$1048576,2,0),IFERROR(VLOOKUP($C1336,'5-COMP. PROPRIA'!$B$13:$I$518,4,0),""))</f>
        <v xml:space="preserve">LIXAMENTO DE SUPERFICIE METÁLICA </v>
      </c>
      <c r="F1336" s="448"/>
      <c r="G1336" s="448"/>
      <c r="H1336" s="448"/>
      <c r="I1336" s="448"/>
      <c r="J1336" s="449"/>
      <c r="K1336" s="184">
        <f>(K1334+K1332)*2</f>
        <v>7.36</v>
      </c>
      <c r="L1336" s="58" t="s">
        <v>25</v>
      </c>
      <c r="M1336" s="93"/>
      <c r="N1336" s="68"/>
      <c r="O1336" s="115"/>
      <c r="Q1336" s="127"/>
    </row>
    <row r="1337" spans="2:17" ht="15" customHeight="1">
      <c r="B1337" s="150"/>
      <c r="E1337" s="276"/>
      <c r="F1337" s="221"/>
      <c r="G1337" s="221"/>
      <c r="H1337" s="221"/>
      <c r="I1337" s="221"/>
      <c r="J1337" s="222"/>
      <c r="K1337" s="184"/>
      <c r="M1337" s="93"/>
      <c r="N1337" s="68"/>
      <c r="O1337" s="115"/>
      <c r="Q1337" s="127"/>
    </row>
    <row r="1338" spans="2:17" ht="15" customHeight="1">
      <c r="B1338" s="150"/>
      <c r="C1338" s="94" t="s">
        <v>142</v>
      </c>
      <c r="D1338" s="26" t="s">
        <v>8</v>
      </c>
      <c r="E1338" s="447" t="str">
        <f>IFERROR(VLOOKUP($C1338,'SINAPI JULHO 2018'!$1:$1048576,2,0),IFERROR(VLOOKUP($C1338,'5-COMP. PROPRIA'!$B$13:$I$518,4,0),""))</f>
        <v>PINTURA ESMALTE ALTO BRILHO, DUAS DEMAOS, SOBRE SUPERFICIE METALICA</v>
      </c>
      <c r="F1338" s="448"/>
      <c r="G1338" s="448"/>
      <c r="H1338" s="448"/>
      <c r="I1338" s="448"/>
      <c r="J1338" s="449"/>
      <c r="K1338" s="184">
        <f>K1336</f>
        <v>7.36</v>
      </c>
      <c r="L1338" s="58" t="s">
        <v>25</v>
      </c>
      <c r="M1338" s="93"/>
      <c r="N1338" s="68"/>
      <c r="O1338" s="115"/>
      <c r="Q1338" s="127"/>
    </row>
    <row r="1339" spans="2:17" ht="15" customHeight="1">
      <c r="B1339" s="150"/>
      <c r="E1339" s="276"/>
      <c r="F1339" s="221"/>
      <c r="G1339" s="221"/>
      <c r="H1339" s="221"/>
      <c r="I1339" s="221"/>
      <c r="J1339" s="222"/>
      <c r="K1339" s="184"/>
      <c r="M1339" s="93"/>
      <c r="N1339" s="68"/>
      <c r="O1339" s="115"/>
      <c r="Q1339" s="127"/>
    </row>
    <row r="1340" spans="2:17" ht="15" customHeight="1">
      <c r="B1340" s="150"/>
      <c r="C1340" s="16"/>
      <c r="D1340" s="16"/>
      <c r="E1340" s="453" t="s">
        <v>252</v>
      </c>
      <c r="F1340" s="454"/>
      <c r="G1340" s="454"/>
      <c r="H1340" s="454"/>
      <c r="I1340" s="454"/>
      <c r="J1340" s="455"/>
      <c r="K1340" s="70"/>
      <c r="M1340" s="93"/>
      <c r="N1340" s="68"/>
      <c r="O1340" s="115"/>
      <c r="Q1340" s="127"/>
    </row>
    <row r="1341" spans="2:17" ht="15" customHeight="1">
      <c r="B1341" s="150"/>
      <c r="E1341" s="276"/>
      <c r="F1341" s="221"/>
      <c r="G1341" s="221"/>
      <c r="H1341" s="221"/>
      <c r="I1341" s="221"/>
      <c r="J1341" s="222"/>
      <c r="K1341" s="184"/>
      <c r="M1341" s="93"/>
      <c r="N1341" s="68"/>
      <c r="O1341" s="115"/>
      <c r="Q1341" s="127"/>
    </row>
    <row r="1342" spans="2:17" ht="15" customHeight="1">
      <c r="B1342" s="150"/>
      <c r="C1342" s="94" t="s">
        <v>253</v>
      </c>
      <c r="D1342" s="26" t="s">
        <v>8</v>
      </c>
      <c r="E1342" s="447" t="str">
        <f>IFERROR(VLOOKUP($C1342,'SINAPI JULHO 2018'!$1:$1048576,2,0),IFERROR(VLOOKUP($C1342,'5-COMP. PROPRIA'!$B$13:$I$518,4,0),""))</f>
        <v>CAPINA E LIMPEZA MANUAL DE TERRENO</v>
      </c>
      <c r="F1342" s="448"/>
      <c r="G1342" s="448"/>
      <c r="H1342" s="448"/>
      <c r="I1342" s="448"/>
      <c r="J1342" s="449"/>
      <c r="K1342" s="184">
        <v>10.199999999999999</v>
      </c>
      <c r="L1342" s="57" t="s">
        <v>145</v>
      </c>
      <c r="M1342" s="93"/>
      <c r="N1342" s="68"/>
      <c r="O1342" s="115"/>
      <c r="Q1342" s="127"/>
    </row>
    <row r="1343" spans="2:17" ht="15" customHeight="1">
      <c r="B1343" s="150"/>
      <c r="C1343" s="94"/>
      <c r="E1343" s="276"/>
      <c r="F1343" s="221"/>
      <c r="G1343" s="221"/>
      <c r="H1343" s="221"/>
      <c r="I1343" s="221"/>
      <c r="J1343" s="222"/>
      <c r="K1343" s="184"/>
      <c r="L1343" s="57"/>
      <c r="M1343" s="93"/>
      <c r="N1343" s="68"/>
      <c r="O1343" s="115"/>
      <c r="Q1343" s="127"/>
    </row>
    <row r="1344" spans="2:17" ht="15" customHeight="1">
      <c r="B1344" s="150"/>
      <c r="C1344" s="94" t="s">
        <v>189</v>
      </c>
      <c r="D1344" s="26" t="s">
        <v>35</v>
      </c>
      <c r="E1344" s="447" t="str">
        <f>IFERROR(VLOOKUP($C1344,'SINAPI JULHO 2018'!$1:$1048576,2,0),IFERROR(VLOOKUP($C1344,'5-COMP. PROPRIA'!$B$13:$I$518,4,0),""))</f>
        <v>AQUISIÇÃO DE CARGA E TRANSPORTE DE SOLO PARA ATERRO</v>
      </c>
      <c r="F1344" s="448"/>
      <c r="G1344" s="448"/>
      <c r="H1344" s="448"/>
      <c r="I1344" s="448"/>
      <c r="J1344" s="449"/>
      <c r="K1344" s="184">
        <f>10.2*0.1</f>
        <v>1.02</v>
      </c>
      <c r="L1344" s="57" t="s">
        <v>178</v>
      </c>
      <c r="M1344" s="93"/>
      <c r="N1344" s="68"/>
      <c r="O1344" s="115"/>
      <c r="Q1344" s="127"/>
    </row>
    <row r="1345" spans="2:17" ht="15" customHeight="1">
      <c r="B1345" s="150"/>
      <c r="C1345" s="94"/>
      <c r="E1345" s="276"/>
      <c r="F1345" s="221"/>
      <c r="G1345" s="221"/>
      <c r="H1345" s="221"/>
      <c r="I1345" s="221"/>
      <c r="J1345" s="222"/>
      <c r="K1345" s="184"/>
      <c r="L1345" s="57"/>
      <c r="M1345" s="93"/>
      <c r="N1345" s="68"/>
      <c r="O1345" s="115"/>
      <c r="Q1345" s="127"/>
    </row>
    <row r="1346" spans="2:17" ht="31.5" customHeight="1">
      <c r="B1346" s="150"/>
      <c r="C1346" s="26">
        <v>96385</v>
      </c>
      <c r="D1346" s="26" t="s">
        <v>8</v>
      </c>
      <c r="E1346" s="447" t="str">
        <f>IFERROR(VLOOKUP($C1346,'SINAPI JULHO 2018'!$1:$1048576,2,0),IFERROR(VLOOKUP($C1346,'5-COMP. PROPRIA'!$B$13:$I$518,4,0),""))</f>
        <v>EXECUÇÃO E COMPACTAÇÃO DE ATERRO COM SOLO PREDOMINANTEMENTE ARGILOSO - EXCLUSIVE ESCAVAÇÃO, CARGA E TRANSPORTE E SOLO. AF_09/2017</v>
      </c>
      <c r="F1346" s="448"/>
      <c r="G1346" s="448"/>
      <c r="H1346" s="448"/>
      <c r="I1346" s="448"/>
      <c r="J1346" s="449"/>
      <c r="K1346" s="184">
        <f>K1342*0.1</f>
        <v>1.02</v>
      </c>
      <c r="L1346" s="57" t="s">
        <v>178</v>
      </c>
      <c r="M1346" s="93"/>
      <c r="N1346" s="68"/>
      <c r="O1346" s="115"/>
      <c r="Q1346" s="127"/>
    </row>
    <row r="1347" spans="2:17" ht="15" customHeight="1">
      <c r="B1347" s="150"/>
      <c r="E1347" s="276"/>
      <c r="F1347" s="221"/>
      <c r="G1347" s="221"/>
      <c r="H1347" s="221"/>
      <c r="I1347" s="221"/>
      <c r="J1347" s="222"/>
      <c r="K1347" s="184"/>
      <c r="M1347" s="93"/>
      <c r="N1347" s="68"/>
      <c r="O1347" s="115"/>
      <c r="Q1347" s="127"/>
    </row>
    <row r="1348" spans="2:17" ht="26.25" customHeight="1">
      <c r="B1348" s="150"/>
      <c r="C1348" s="26">
        <v>95241</v>
      </c>
      <c r="D1348" s="26" t="s">
        <v>8</v>
      </c>
      <c r="E1348" s="447" t="str">
        <f>IFERROR(VLOOKUP($C1348,'SINAPI JULHO 2018'!$1:$1048576,2,0),IFERROR(VLOOKUP($C1348,'5-COMP. PROPRIA'!$B$13:$I$518,4,0),""))</f>
        <v>LASTRO DE CONCRETO MAGRO, APLICADO EM PISOS OU RADIERS, ESPESSURA DE 5 CM. AF_07/2016</v>
      </c>
      <c r="F1348" s="448"/>
      <c r="G1348" s="448"/>
      <c r="H1348" s="448"/>
      <c r="I1348" s="448"/>
      <c r="J1348" s="449"/>
      <c r="K1348" s="184">
        <v>10.199999999999999</v>
      </c>
      <c r="L1348" s="57" t="s">
        <v>145</v>
      </c>
      <c r="M1348" s="93"/>
      <c r="N1348" s="68"/>
      <c r="O1348" s="115"/>
      <c r="Q1348" s="127"/>
    </row>
    <row r="1349" spans="2:17" ht="15" customHeight="1">
      <c r="B1349" s="150"/>
      <c r="E1349" s="276"/>
      <c r="F1349" s="221"/>
      <c r="G1349" s="221"/>
      <c r="H1349" s="221"/>
      <c r="I1349" s="221"/>
      <c r="J1349" s="222"/>
      <c r="K1349" s="184"/>
      <c r="M1349" s="93"/>
      <c r="N1349" s="68"/>
      <c r="O1349" s="115"/>
      <c r="Q1349" s="127"/>
    </row>
    <row r="1350" spans="2:17" ht="41.25" customHeight="1">
      <c r="B1350" s="150"/>
      <c r="C1350" s="26">
        <v>87620</v>
      </c>
      <c r="D1350" s="26" t="s">
        <v>8</v>
      </c>
      <c r="E1350" s="447" t="str">
        <f>IFERROR(VLOOKUP($C1350,'SINAPI JULHO 2018'!$1:$1048576,2,0),IFERROR(VLOOKUP($C1350,'5-COMP. PROPRIA'!$B$13:$I$518,4,0),""))</f>
        <v>CONTRAPISO EM ARGAMASSA TRAÇO 1:4 (CIMENTO E AREIA), PREPARO MECÂNICO COM BETONEIRA 400 L, APLICADO EM ÁREAS SECAS SOBRE LAJE, ADERIDO, ESPESSURA 2CM. AF_06/2014</v>
      </c>
      <c r="F1350" s="448"/>
      <c r="G1350" s="448"/>
      <c r="H1350" s="448"/>
      <c r="I1350" s="448"/>
      <c r="J1350" s="449"/>
      <c r="K1350" s="184">
        <f>K1348</f>
        <v>10.199999999999999</v>
      </c>
      <c r="L1350" s="57" t="s">
        <v>145</v>
      </c>
      <c r="M1350" s="93"/>
      <c r="N1350" s="68"/>
      <c r="O1350" s="115"/>
      <c r="Q1350" s="127"/>
    </row>
    <row r="1351" spans="2:17" ht="15" customHeight="1">
      <c r="B1351" s="150"/>
      <c r="E1351" s="276"/>
      <c r="F1351" s="221"/>
      <c r="G1351" s="221"/>
      <c r="H1351" s="221"/>
      <c r="I1351" s="221"/>
      <c r="J1351" s="222"/>
      <c r="K1351" s="184"/>
      <c r="M1351" s="93"/>
      <c r="N1351" s="68"/>
      <c r="O1351" s="115"/>
      <c r="Q1351" s="127"/>
    </row>
    <row r="1352" spans="2:17" ht="30.75" customHeight="1">
      <c r="B1352" s="150"/>
      <c r="C1352" s="26">
        <v>84191</v>
      </c>
      <c r="D1352" s="26" t="s">
        <v>8</v>
      </c>
      <c r="E1352" s="447" t="str">
        <f>IFERROR(VLOOKUP($C1352,'SINAPI JULHO 2018'!$1:$1048576,2,0),IFERROR(VLOOKUP($C1352,'5-COMP. PROPRIA'!$B$13:$I$518,4,0),""))</f>
        <v>PISO EM GRANILITE, MARMORITE OU GRANITINA ESPESSURA 8 MM, INCLUSO JUNTAS DE DILATACAO PLASTICAS</v>
      </c>
      <c r="F1352" s="448"/>
      <c r="G1352" s="448"/>
      <c r="H1352" s="448"/>
      <c r="I1352" s="448"/>
      <c r="J1352" s="449"/>
      <c r="K1352" s="184">
        <f>K1350</f>
        <v>10.199999999999999</v>
      </c>
      <c r="L1352" s="57" t="s">
        <v>145</v>
      </c>
      <c r="M1352" s="93"/>
      <c r="N1352" s="68"/>
      <c r="O1352" s="115"/>
      <c r="Q1352" s="127"/>
    </row>
    <row r="1353" spans="2:17" ht="15" customHeight="1">
      <c r="B1353" s="150"/>
      <c r="E1353" s="276"/>
      <c r="F1353" s="221"/>
      <c r="G1353" s="221"/>
      <c r="H1353" s="221"/>
      <c r="I1353" s="221"/>
      <c r="J1353" s="222"/>
      <c r="K1353" s="184"/>
      <c r="M1353" s="93"/>
      <c r="N1353" s="68"/>
      <c r="O1353" s="115"/>
      <c r="Q1353" s="127"/>
    </row>
    <row r="1354" spans="2:17" ht="18" customHeight="1">
      <c r="B1354" s="150"/>
      <c r="C1354" s="26" t="s">
        <v>180</v>
      </c>
      <c r="D1354" s="26" t="s">
        <v>8</v>
      </c>
      <c r="E1354" s="447" t="str">
        <f>IFERROR(VLOOKUP($C1354,'SINAPI JULHO 2018'!$1:$1048576,2,0),IFERROR(VLOOKUP($C1354,'5-COMP. PROPRIA'!$B$13:$I$518,4,0),""))</f>
        <v>IMPERMEABILIZACAO COM PINTURA A BASE DE RESINA EPOXI ALCATRAO, UMA DEMAO.</v>
      </c>
      <c r="F1354" s="448"/>
      <c r="G1354" s="448"/>
      <c r="H1354" s="448"/>
      <c r="I1354" s="448"/>
      <c r="J1354" s="449"/>
      <c r="K1354" s="184">
        <f>K1352</f>
        <v>10.199999999999999</v>
      </c>
      <c r="L1354" s="57" t="s">
        <v>145</v>
      </c>
      <c r="M1354" s="93"/>
      <c r="N1354" s="68"/>
      <c r="O1354" s="115"/>
      <c r="Q1354" s="127"/>
    </row>
    <row r="1355" spans="2:17" ht="15" customHeight="1">
      <c r="B1355" s="150"/>
      <c r="E1355" s="276"/>
      <c r="F1355" s="221"/>
      <c r="G1355" s="221"/>
      <c r="H1355" s="221"/>
      <c r="I1355" s="221"/>
      <c r="J1355" s="222"/>
      <c r="K1355" s="184"/>
      <c r="M1355" s="93"/>
      <c r="N1355" s="68"/>
      <c r="O1355" s="115"/>
      <c r="Q1355" s="127"/>
    </row>
    <row r="1356" spans="2:17" ht="24" customHeight="1">
      <c r="B1356" s="150"/>
      <c r="C1356" s="26" t="s">
        <v>181</v>
      </c>
      <c r="D1356" s="26" t="s">
        <v>8</v>
      </c>
      <c r="E1356" s="447" t="str">
        <f>IFERROR(VLOOKUP($C1356,'SINAPI JULHO 2018'!$1:$1048576,2,0),IFERROR(VLOOKUP($C1356,'5-COMP. PROPRIA'!$B$13:$I$518,4,0),""))</f>
        <v>RODAPE EM MARMORITE, ALTURA 10CM</v>
      </c>
      <c r="F1356" s="448"/>
      <c r="G1356" s="448"/>
      <c r="H1356" s="448"/>
      <c r="I1356" s="448"/>
      <c r="J1356" s="449"/>
      <c r="K1356" s="184">
        <v>13.5</v>
      </c>
      <c r="L1356" s="57" t="s">
        <v>172</v>
      </c>
      <c r="M1356" s="93"/>
      <c r="N1356" s="68"/>
      <c r="O1356" s="115"/>
      <c r="Q1356" s="127"/>
    </row>
    <row r="1357" spans="2:17" ht="15" customHeight="1">
      <c r="B1357" s="157"/>
      <c r="E1357" s="266"/>
      <c r="F1357" s="99"/>
      <c r="G1357" s="99"/>
      <c r="H1357" s="99"/>
      <c r="I1357" s="99"/>
      <c r="J1357" s="267"/>
      <c r="M1357" s="93"/>
      <c r="N1357" s="68"/>
      <c r="O1357" s="115"/>
      <c r="Q1357" s="127"/>
    </row>
    <row r="1358" spans="2:17" ht="15" customHeight="1">
      <c r="B1358" s="157"/>
      <c r="E1358" s="453" t="s">
        <v>254</v>
      </c>
      <c r="F1358" s="454"/>
      <c r="G1358" s="454"/>
      <c r="H1358" s="454"/>
      <c r="I1358" s="454"/>
      <c r="J1358" s="455"/>
      <c r="M1358" s="93"/>
      <c r="N1358" s="68"/>
      <c r="O1358" s="115"/>
      <c r="Q1358" s="127"/>
    </row>
    <row r="1359" spans="2:17" ht="15" customHeight="1">
      <c r="B1359" s="150"/>
      <c r="E1359" s="276"/>
      <c r="F1359" s="221"/>
      <c r="G1359" s="221"/>
      <c r="H1359" s="221"/>
      <c r="I1359" s="221"/>
      <c r="J1359" s="222"/>
      <c r="K1359" s="184"/>
      <c r="M1359" s="93"/>
      <c r="N1359" s="68"/>
      <c r="O1359" s="115"/>
      <c r="Q1359" s="127"/>
    </row>
    <row r="1360" spans="2:17" ht="62.25" customHeight="1">
      <c r="B1360" s="150"/>
      <c r="C1360" s="26">
        <v>72110</v>
      </c>
      <c r="D1360" s="26" t="s">
        <v>8</v>
      </c>
      <c r="E1360" s="447" t="str">
        <f>IFERROR(VLOOKUP($C1360,'SINAPI JULHO 2018'!$1:$1048576,2,0),IFERROR(VLOOKUP($C1360,'5-COMP. PROPRIA'!$B$13:$I$518,4,0),""))</f>
        <v>ESTRUTURA METALICA EM TESOURAS OU TRELICAS, VAO LIVRE DE 12M, FORNECIMENTO E MONTAGEM, NAO SENDO CONSIDERADOS OS FECHAMENTOS METALICOS, AS COLUNAS, OS SERVICOS GERAIS EM ALVENARIA E CONCRETO, AS TELHAS DE COBERTURA E A PINTURA DE ACABAMENTO</v>
      </c>
      <c r="F1360" s="448"/>
      <c r="G1360" s="448"/>
      <c r="H1360" s="448"/>
      <c r="I1360" s="448"/>
      <c r="J1360" s="449"/>
      <c r="K1360" s="184">
        <v>16.5</v>
      </c>
      <c r="L1360" s="57" t="s">
        <v>25</v>
      </c>
      <c r="M1360" s="93"/>
      <c r="N1360" s="68"/>
      <c r="O1360" s="115"/>
      <c r="Q1360" s="127"/>
    </row>
    <row r="1361" spans="2:17" ht="15" customHeight="1">
      <c r="B1361" s="150"/>
      <c r="E1361" s="118"/>
      <c r="G1361" s="231"/>
      <c r="J1361" s="102"/>
      <c r="M1361" s="93"/>
      <c r="N1361" s="68"/>
      <c r="O1361" s="115"/>
      <c r="Q1361" s="127"/>
    </row>
    <row r="1362" spans="2:17" ht="43.5" customHeight="1">
      <c r="B1362" s="150"/>
      <c r="C1362" s="26">
        <v>92569</v>
      </c>
      <c r="D1362" s="26" t="s">
        <v>8</v>
      </c>
      <c r="E1362" s="447" t="str">
        <f>IFERROR(VLOOKUP($C1362,'SINAPI JULHO 2018'!$1:$1048576,2,0),IFERROR(VLOOKUP($C1362,'5-COMP. PROPRIA'!$B$13:$I$518,4,0),""))</f>
        <v>TRAMA DE AÇO COMPOSTA POR RIPAS E CAIBROS PARA TELHADOS DE ATÉ 2 ÁGUAS PARA TELHA DE ENCAIXE DE CERÂMICA OU DE CONCRETO, INCLUSO TRANSPORTE VERTICAL. AF_12/2015</v>
      </c>
      <c r="F1362" s="448"/>
      <c r="G1362" s="448"/>
      <c r="H1362" s="448"/>
      <c r="I1362" s="448"/>
      <c r="J1362" s="449"/>
      <c r="K1362" s="184">
        <f>K1360</f>
        <v>16.5</v>
      </c>
      <c r="L1362" s="57" t="s">
        <v>25</v>
      </c>
      <c r="M1362" s="93"/>
      <c r="N1362" s="68"/>
      <c r="O1362" s="115"/>
      <c r="Q1362" s="127"/>
    </row>
    <row r="1363" spans="2:17" ht="15" customHeight="1">
      <c r="B1363" s="150"/>
      <c r="E1363" s="276"/>
      <c r="F1363" s="221"/>
      <c r="G1363" s="221"/>
      <c r="H1363" s="221"/>
      <c r="I1363" s="221"/>
      <c r="J1363" s="222"/>
      <c r="K1363" s="184"/>
      <c r="L1363" s="57"/>
      <c r="M1363" s="93"/>
      <c r="N1363" s="68"/>
      <c r="O1363" s="115"/>
      <c r="Q1363" s="127"/>
    </row>
    <row r="1364" spans="2:17" ht="15" customHeight="1">
      <c r="B1364" s="150"/>
      <c r="C1364" s="94" t="s">
        <v>141</v>
      </c>
      <c r="D1364" s="26" t="s">
        <v>35</v>
      </c>
      <c r="E1364" s="447" t="str">
        <f>IFERROR(VLOOKUP($C1364,'SINAPI JULHO 2018'!$1:$1048576,2,0),IFERROR(VLOOKUP($C1364,'5-COMP. PROPRIA'!$B$13:$I$518,4,0),""))</f>
        <v xml:space="preserve">LIXAMENTO DE SUPERFICIE METÁLICA </v>
      </c>
      <c r="F1364" s="448"/>
      <c r="G1364" s="448"/>
      <c r="H1364" s="448"/>
      <c r="I1364" s="448"/>
      <c r="J1364" s="449"/>
      <c r="K1364" s="184">
        <f>(K1362+K1360)*2</f>
        <v>66</v>
      </c>
      <c r="L1364" s="58" t="s">
        <v>25</v>
      </c>
      <c r="M1364" s="93"/>
      <c r="N1364" s="68"/>
      <c r="O1364" s="115"/>
      <c r="Q1364" s="127"/>
    </row>
    <row r="1365" spans="2:17" ht="15" customHeight="1">
      <c r="B1365" s="150"/>
      <c r="E1365" s="276"/>
      <c r="F1365" s="221"/>
      <c r="G1365" s="221"/>
      <c r="H1365" s="221"/>
      <c r="I1365" s="221"/>
      <c r="J1365" s="222"/>
      <c r="K1365" s="184"/>
      <c r="M1365" s="93"/>
      <c r="N1365" s="68"/>
      <c r="O1365" s="115"/>
      <c r="Q1365" s="127"/>
    </row>
    <row r="1366" spans="2:17" ht="15" customHeight="1">
      <c r="B1366" s="150"/>
      <c r="C1366" s="94" t="s">
        <v>142</v>
      </c>
      <c r="D1366" s="26" t="s">
        <v>8</v>
      </c>
      <c r="E1366" s="447" t="str">
        <f>IFERROR(VLOOKUP($C1366,'SINAPI JULHO 2018'!$1:$1048576,2,0),IFERROR(VLOOKUP($C1366,'5-COMP. PROPRIA'!$B$13:$I$518,4,0),""))</f>
        <v>PINTURA ESMALTE ALTO BRILHO, DUAS DEMAOS, SOBRE SUPERFICIE METALICA</v>
      </c>
      <c r="F1366" s="448"/>
      <c r="G1366" s="448"/>
      <c r="H1366" s="448"/>
      <c r="I1366" s="448"/>
      <c r="J1366" s="449"/>
      <c r="K1366" s="184">
        <f>K1364</f>
        <v>66</v>
      </c>
      <c r="L1366" s="58" t="s">
        <v>25</v>
      </c>
      <c r="M1366" s="93"/>
      <c r="N1366" s="68"/>
      <c r="O1366" s="115"/>
      <c r="Q1366" s="127"/>
    </row>
    <row r="1367" spans="2:17" ht="15" customHeight="1">
      <c r="B1367" s="150"/>
      <c r="C1367" s="94"/>
      <c r="E1367" s="276"/>
      <c r="F1367" s="221"/>
      <c r="G1367" s="221"/>
      <c r="H1367" s="221"/>
      <c r="I1367" s="221"/>
      <c r="J1367" s="222"/>
      <c r="K1367" s="184"/>
      <c r="M1367" s="93"/>
      <c r="N1367" s="68"/>
      <c r="O1367" s="115"/>
      <c r="Q1367" s="127"/>
    </row>
    <row r="1368" spans="2:17" ht="44.25" customHeight="1">
      <c r="B1368" s="150"/>
      <c r="C1368" s="26">
        <v>94210</v>
      </c>
      <c r="D1368" s="26" t="s">
        <v>8</v>
      </c>
      <c r="E1368" s="447" t="str">
        <f>IFERROR(VLOOKUP($C1368,'SINAPI JULHO 2018'!$1:$1048576,2,0),IFERROR(VLOOKUP($C1368,'5-COMP. PROPRIA'!$B$13:$I$518,4,0),""))</f>
        <v>TELHAMENTO COM TELHA ONDULADA DE FIBROCIMENTO E = 6 MM, COM RECOBRIMENTO LATERAL DE 1 1/4 DE ONDA PARA TELHADO COM INCLINAÇÃO MÁXIMA DE 10°, COM ATÉ 2 ÁGUAS, INCLUSO IÇAMENTO. AF_06/2016</v>
      </c>
      <c r="F1368" s="448"/>
      <c r="G1368" s="448"/>
      <c r="H1368" s="448"/>
      <c r="I1368" s="448"/>
      <c r="J1368" s="449"/>
      <c r="K1368" s="184">
        <f>K1362</f>
        <v>16.5</v>
      </c>
      <c r="L1368" s="57" t="s">
        <v>25</v>
      </c>
      <c r="M1368" s="93"/>
      <c r="N1368" s="68"/>
      <c r="O1368" s="115"/>
      <c r="Q1368" s="127"/>
    </row>
    <row r="1369" spans="2:17" ht="15" customHeight="1">
      <c r="B1369" s="150"/>
      <c r="E1369" s="118"/>
      <c r="G1369" s="231"/>
      <c r="J1369" s="102"/>
      <c r="M1369" s="93"/>
      <c r="N1369" s="68"/>
      <c r="O1369" s="115"/>
      <c r="Q1369" s="127"/>
    </row>
    <row r="1370" spans="2:17" ht="39" customHeight="1">
      <c r="B1370" s="150"/>
      <c r="C1370" s="26">
        <v>94231</v>
      </c>
      <c r="D1370" s="26" t="s">
        <v>8</v>
      </c>
      <c r="E1370" s="447" t="str">
        <f>IFERROR(VLOOKUP($C1370,'SINAPI JULHO 2018'!$1:$1048576,2,0),IFERROR(VLOOKUP($C1370,'5-COMP. PROPRIA'!$B$13:$I$518,4,0),""))</f>
        <v>RUFO EM CHAPA DE AÇO GALVANIZADO NÚMERO 24, CORTE DE 25 CM, INCLUSO TRANSPORTE VERTICAL. AF_06/2016</v>
      </c>
      <c r="F1370" s="448"/>
      <c r="G1370" s="448"/>
      <c r="H1370" s="448"/>
      <c r="I1370" s="448"/>
      <c r="J1370" s="449"/>
      <c r="K1370" s="184">
        <v>3.5</v>
      </c>
      <c r="L1370" s="57" t="s">
        <v>172</v>
      </c>
      <c r="M1370" s="93"/>
      <c r="N1370" s="68"/>
      <c r="O1370" s="115"/>
      <c r="Q1370" s="127"/>
    </row>
    <row r="1371" spans="2:17" ht="15" customHeight="1">
      <c r="B1371" s="150"/>
      <c r="E1371" s="276"/>
      <c r="F1371" s="221"/>
      <c r="G1371" s="221"/>
      <c r="H1371" s="221"/>
      <c r="I1371" s="221"/>
      <c r="J1371" s="222"/>
      <c r="K1371" s="184"/>
      <c r="L1371" s="57"/>
      <c r="M1371" s="93"/>
      <c r="N1371" s="68"/>
      <c r="O1371" s="115"/>
      <c r="Q1371" s="127"/>
    </row>
    <row r="1372" spans="2:17" ht="34.5" customHeight="1">
      <c r="B1372" s="150"/>
      <c r="C1372" s="26">
        <v>96116</v>
      </c>
      <c r="D1372" s="26" t="s">
        <v>8</v>
      </c>
      <c r="E1372" s="447" t="str">
        <f>IFERROR(VLOOKUP($C1372,'SINAPI JULHO 2018'!$1:$1048576,2,0),IFERROR(VLOOKUP($C1372,'5-COMP. PROPRIA'!$B$13:$I$518,4,0),""))</f>
        <v>FORRO EM RÉGUAS DE PVC, FRISADO, PARA AMBIENTES COMERCIAIS, INCLUSIVE ESTRUTURA DE FIXAÇÃO. AF_05/2017_P</v>
      </c>
      <c r="F1372" s="448"/>
      <c r="G1372" s="448"/>
      <c r="H1372" s="448"/>
      <c r="I1372" s="448"/>
      <c r="J1372" s="449"/>
      <c r="K1372" s="184">
        <v>10.199999999999999</v>
      </c>
      <c r="L1372" s="57" t="s">
        <v>25</v>
      </c>
      <c r="M1372" s="93"/>
      <c r="N1372" s="68"/>
      <c r="O1372" s="115"/>
      <c r="Q1372" s="127"/>
    </row>
    <row r="1373" spans="2:17" ht="15" customHeight="1" thickBot="1">
      <c r="B1373" s="157"/>
      <c r="E1373" s="266"/>
      <c r="F1373" s="99"/>
      <c r="G1373" s="99"/>
      <c r="H1373" s="99"/>
      <c r="I1373" s="99"/>
      <c r="J1373" s="267"/>
      <c r="M1373" s="93"/>
      <c r="N1373" s="68"/>
      <c r="O1373" s="115"/>
      <c r="Q1373" s="127"/>
    </row>
    <row r="1374" spans="2:17" s="320" customFormat="1" ht="15.75" thickBot="1">
      <c r="B1374" s="322"/>
      <c r="C1374" s="323"/>
      <c r="D1374" s="379"/>
      <c r="E1374" s="459" t="s">
        <v>255</v>
      </c>
      <c r="F1374" s="460"/>
      <c r="G1374" s="460"/>
      <c r="H1374" s="460"/>
      <c r="I1374" s="460"/>
      <c r="J1374" s="461"/>
      <c r="K1374" s="350"/>
      <c r="L1374" s="325"/>
      <c r="M1374" s="352"/>
      <c r="N1374" s="318"/>
      <c r="O1374" s="319"/>
      <c r="Q1374" s="321"/>
    </row>
    <row r="1375" spans="2:17" ht="15" customHeight="1">
      <c r="B1375" s="150"/>
      <c r="D1375" s="91"/>
      <c r="E1375" s="276"/>
      <c r="F1375" s="221"/>
      <c r="G1375" s="221"/>
      <c r="H1375" s="221"/>
      <c r="I1375" s="221"/>
      <c r="J1375" s="222"/>
      <c r="K1375" s="184"/>
      <c r="M1375" s="93"/>
      <c r="N1375" s="68"/>
      <c r="O1375" s="115"/>
      <c r="Q1375" s="127"/>
    </row>
    <row r="1376" spans="2:17" ht="15">
      <c r="B1376" s="268"/>
      <c r="C1376" s="269"/>
      <c r="D1376" s="269"/>
      <c r="E1376" s="462" t="s">
        <v>256</v>
      </c>
      <c r="F1376" s="463"/>
      <c r="G1376" s="463"/>
      <c r="H1376" s="463"/>
      <c r="I1376" s="463"/>
      <c r="J1376" s="464"/>
      <c r="K1376" s="270"/>
      <c r="L1376" s="271"/>
      <c r="M1376" s="272"/>
      <c r="N1376" s="273"/>
      <c r="O1376" s="115"/>
      <c r="Q1376" s="127"/>
    </row>
    <row r="1377" spans="2:17" ht="15">
      <c r="B1377" s="150"/>
      <c r="E1377" s="276"/>
      <c r="F1377" s="221"/>
      <c r="G1377" s="221"/>
      <c r="H1377" s="221"/>
      <c r="I1377" s="221"/>
      <c r="J1377" s="222"/>
      <c r="K1377" s="184"/>
      <c r="M1377" s="93"/>
      <c r="N1377" s="68"/>
      <c r="O1377" s="115"/>
      <c r="Q1377" s="127"/>
    </row>
    <row r="1378" spans="2:17" ht="32.25" customHeight="1">
      <c r="B1378" s="150" t="s">
        <v>257</v>
      </c>
      <c r="C1378" s="16">
        <v>97622</v>
      </c>
      <c r="D1378" s="26" t="s">
        <v>8</v>
      </c>
      <c r="E1378" s="447" t="str">
        <f>IFERROR(VLOOKUP($C1378,'SINAPI JULHO 2018'!$1:$1048576,2,0),IFERROR(VLOOKUP($C1378,'5-COMP. PROPRIA'!$B$13:$I$518,4,0),""))</f>
        <v>DEMOLIÇÃO DE ALVENARIA DE BLOCO FURADO, DE FORMA MANUAL, SEM REAPROVEITAMENTO. AF_12/2017</v>
      </c>
      <c r="F1378" s="448"/>
      <c r="G1378" s="448"/>
      <c r="H1378" s="448"/>
      <c r="I1378" s="448"/>
      <c r="J1378" s="449"/>
      <c r="K1378" s="184">
        <f>((3.85+1.95)*3.5)*0.2</f>
        <v>4.0600000000000005</v>
      </c>
      <c r="L1378" s="57" t="s">
        <v>178</v>
      </c>
      <c r="M1378" s="93"/>
      <c r="N1378" s="68"/>
      <c r="O1378" s="115"/>
      <c r="Q1378" s="127"/>
    </row>
    <row r="1379" spans="2:17" ht="15" customHeight="1">
      <c r="B1379" s="150"/>
      <c r="E1379" s="276"/>
      <c r="F1379" s="221"/>
      <c r="G1379" s="221"/>
      <c r="H1379" s="221"/>
      <c r="I1379" s="221"/>
      <c r="J1379" s="222"/>
      <c r="K1379" s="184"/>
      <c r="M1379" s="93"/>
      <c r="N1379" s="68"/>
      <c r="O1379" s="115"/>
      <c r="Q1379" s="127"/>
    </row>
    <row r="1380" spans="2:17" ht="15" customHeight="1">
      <c r="B1380" s="150" t="s">
        <v>258</v>
      </c>
      <c r="C1380" s="94" t="s">
        <v>64</v>
      </c>
      <c r="D1380" s="16" t="s">
        <v>259</v>
      </c>
      <c r="E1380" s="447" t="str">
        <f>IFERROR(VLOOKUP($C1380,'SINAPI JULHO 2018'!$1:$1048576,2,0),IFERROR(VLOOKUP($C1380,'5-COMP. PROPRIA'!$B$13:$I$518,4,0),""))</f>
        <v>DEMOLIÇÃO DE CONCRETO SIMPLES</v>
      </c>
      <c r="F1380" s="448"/>
      <c r="G1380" s="448"/>
      <c r="H1380" s="448"/>
      <c r="I1380" s="448"/>
      <c r="J1380" s="449"/>
      <c r="K1380" s="184">
        <f>(3.85*1.95)*0.2</f>
        <v>1.5015000000000001</v>
      </c>
      <c r="L1380" s="57" t="s">
        <v>178</v>
      </c>
      <c r="M1380" s="93"/>
      <c r="N1380" s="68"/>
      <c r="O1380" s="115"/>
      <c r="Q1380" s="127"/>
    </row>
    <row r="1381" spans="2:17" ht="15" customHeight="1">
      <c r="B1381" s="150"/>
      <c r="C1381" s="94"/>
      <c r="D1381" s="16"/>
      <c r="E1381" s="276"/>
      <c r="F1381" s="221"/>
      <c r="G1381" s="221"/>
      <c r="H1381" s="221"/>
      <c r="I1381" s="221"/>
      <c r="J1381" s="222"/>
      <c r="K1381" s="184"/>
      <c r="L1381" s="57"/>
      <c r="M1381" s="93"/>
      <c r="N1381" s="68"/>
      <c r="O1381" s="115"/>
      <c r="Q1381" s="127"/>
    </row>
    <row r="1382" spans="2:17" ht="15" customHeight="1">
      <c r="B1382" s="150"/>
      <c r="C1382" s="26">
        <v>72897</v>
      </c>
      <c r="D1382" s="26" t="s">
        <v>8</v>
      </c>
      <c r="E1382" s="447" t="str">
        <f>IFERROR(VLOOKUP($C1382,'SINAPI JULHO 2018'!$1:$1048576,2,0),IFERROR(VLOOKUP($C1382,'5-COMP. PROPRIA'!$B$13:$I$518,4,0),""))</f>
        <v>CARGA MANUAL DE ENTULHO EM CAMINHAO BASCULANTE 6 M3</v>
      </c>
      <c r="F1382" s="448"/>
      <c r="G1382" s="448"/>
      <c r="H1382" s="448"/>
      <c r="I1382" s="448"/>
      <c r="J1382" s="449"/>
      <c r="K1382" s="184">
        <f>(K1380+K1378)*2</f>
        <v>11.123000000000001</v>
      </c>
      <c r="L1382" s="57" t="s">
        <v>178</v>
      </c>
      <c r="M1382" s="93"/>
      <c r="N1382" s="68"/>
      <c r="O1382" s="115"/>
      <c r="Q1382" s="127"/>
    </row>
    <row r="1383" spans="2:17" ht="15" customHeight="1">
      <c r="B1383" s="150"/>
      <c r="C1383" s="94"/>
      <c r="D1383" s="16"/>
      <c r="E1383" s="276"/>
      <c r="F1383" s="221"/>
      <c r="G1383" s="221"/>
      <c r="H1383" s="221"/>
      <c r="I1383" s="221"/>
      <c r="J1383" s="222"/>
      <c r="K1383" s="184"/>
      <c r="L1383" s="57"/>
      <c r="M1383" s="93"/>
      <c r="N1383" s="68"/>
      <c r="O1383" s="115"/>
      <c r="Q1383" s="127"/>
    </row>
    <row r="1384" spans="2:17" ht="33.75" customHeight="1">
      <c r="B1384" s="150"/>
      <c r="C1384" s="26">
        <v>97914</v>
      </c>
      <c r="D1384" s="26" t="s">
        <v>8</v>
      </c>
      <c r="E1384" s="447" t="str">
        <f>IFERROR(VLOOKUP($C1384,'SINAPI JULHO 2018'!$1:$1048576,2,0),IFERROR(VLOOKUP($C1384,'5-COMP. PROPRIA'!$B$13:$I$518,4,0),""))</f>
        <v>TRANSPORTE COM CAMINHÃO BASCULANTE DE 6 M3, EM VIA URBANA PAVIMENTADA, DMT ATÉ 30 KM (UNIDADE: M3XKM). AF_01/2018</v>
      </c>
      <c r="F1384" s="448"/>
      <c r="G1384" s="448"/>
      <c r="H1384" s="448"/>
      <c r="I1384" s="448"/>
      <c r="J1384" s="449"/>
      <c r="K1384" s="184">
        <f>K1382*7.5</f>
        <v>83.422500000000014</v>
      </c>
      <c r="L1384" s="57" t="s">
        <v>178</v>
      </c>
      <c r="M1384" s="93"/>
      <c r="N1384" s="68"/>
      <c r="O1384" s="115"/>
      <c r="Q1384" s="127"/>
    </row>
    <row r="1385" spans="2:17" ht="15">
      <c r="B1385" s="150"/>
      <c r="C1385" s="94"/>
      <c r="D1385" s="16"/>
      <c r="E1385" s="276"/>
      <c r="F1385" s="221"/>
      <c r="G1385" s="221"/>
      <c r="H1385" s="221"/>
      <c r="I1385" s="221"/>
      <c r="J1385" s="222"/>
      <c r="K1385" s="184"/>
      <c r="L1385" s="57"/>
      <c r="M1385" s="93"/>
      <c r="N1385" s="68"/>
      <c r="O1385" s="115"/>
      <c r="Q1385" s="127"/>
    </row>
    <row r="1386" spans="2:17" ht="15">
      <c r="B1386" s="268"/>
      <c r="C1386" s="269"/>
      <c r="D1386" s="269"/>
      <c r="E1386" s="462" t="s">
        <v>260</v>
      </c>
      <c r="F1386" s="463"/>
      <c r="G1386" s="463"/>
      <c r="H1386" s="463"/>
      <c r="I1386" s="463"/>
      <c r="J1386" s="464"/>
      <c r="K1386" s="270"/>
      <c r="L1386" s="271"/>
      <c r="M1386" s="272"/>
      <c r="N1386" s="273"/>
      <c r="O1386" s="115"/>
      <c r="Q1386" s="127"/>
    </row>
    <row r="1387" spans="2:17" ht="15">
      <c r="B1387" s="150"/>
      <c r="E1387" s="276"/>
      <c r="F1387" s="221"/>
      <c r="G1387" s="221"/>
      <c r="H1387" s="221"/>
      <c r="I1387" s="221"/>
      <c r="J1387" s="222"/>
      <c r="K1387" s="184"/>
      <c r="M1387" s="93"/>
      <c r="N1387" s="68"/>
      <c r="O1387" s="115"/>
      <c r="Q1387" s="127"/>
    </row>
    <row r="1388" spans="2:17" ht="48" customHeight="1">
      <c r="B1388" s="150"/>
      <c r="C1388" s="26">
        <v>89977</v>
      </c>
      <c r="D1388" s="26" t="s">
        <v>8</v>
      </c>
      <c r="E1388" s="447" t="str">
        <f>IFERROR(VLOOKUP($C1388,'SINAPI JULHO 2018'!$1:$1048576,2,0),IFERROR(VLOOKUP($C1388,'5-COMP. PROPRIA'!$B$13:$I$518,4,0),""))</f>
        <v>(COMPOSIÇÃO REPRESENTATIVA) DO SERVIÇO DE ALVENARIA DE VEDAÇÃO DE BLOCOS VAZADOS DE CERÂMICA DE 14X9X19CM (ESPESSURA 14CM, BLOCO DEITADO), PARA EDIFICAÇÃO HABITACIONAL UNIFAMILIAR (CASA) E EDIFICAÇÃO PÚBLICA PADRÃO. AF_12/2014</v>
      </c>
      <c r="F1388" s="448"/>
      <c r="G1388" s="448"/>
      <c r="H1388" s="448"/>
      <c r="I1388" s="448"/>
      <c r="J1388" s="449"/>
      <c r="K1388" s="184">
        <f>0.9*2.5</f>
        <v>2.25</v>
      </c>
      <c r="L1388" s="57" t="s">
        <v>145</v>
      </c>
      <c r="M1388" s="93"/>
      <c r="N1388" s="68"/>
      <c r="O1388" s="115"/>
      <c r="Q1388" s="127"/>
    </row>
    <row r="1389" spans="2:17" ht="15">
      <c r="B1389" s="150"/>
      <c r="E1389" s="276"/>
      <c r="F1389" s="221"/>
      <c r="G1389" s="221"/>
      <c r="H1389" s="221"/>
      <c r="I1389" s="221"/>
      <c r="J1389" s="222"/>
      <c r="K1389" s="184"/>
      <c r="M1389" s="93"/>
      <c r="N1389" s="68"/>
      <c r="O1389" s="115"/>
      <c r="Q1389" s="127"/>
    </row>
    <row r="1390" spans="2:17" ht="48" customHeight="1">
      <c r="B1390" s="150"/>
      <c r="C1390" s="26">
        <v>87894</v>
      </c>
      <c r="D1390" s="26" t="s">
        <v>8</v>
      </c>
      <c r="E1390" s="447" t="str">
        <f>IFERROR(VLOOKUP($C1390,'SINAPI JULHO 2018'!$1:$1048576,2,0),IFERROR(VLOOKUP($C1390,'5-COMP. PROPRIA'!$B$13:$I$518,4,0),""))</f>
        <v>CHAPISCO APLICADO EM ALVENARIA (SEM PRESENÇA DE VÃOS) E ESTRUTURAS DE CONCRETO DE FACHADA, COM COLHER DE PEDREIRO.  ARGAMASSA TRAÇO 1:3 COM PREPARO EM BETONEIRA 400L. AF_06/2014</v>
      </c>
      <c r="F1390" s="448"/>
      <c r="G1390" s="448"/>
      <c r="H1390" s="448"/>
      <c r="I1390" s="448"/>
      <c r="J1390" s="449"/>
      <c r="K1390" s="184">
        <f>K1388*2</f>
        <v>4.5</v>
      </c>
      <c r="L1390" s="57" t="s">
        <v>145</v>
      </c>
      <c r="M1390" s="93"/>
      <c r="N1390" s="68"/>
      <c r="O1390" s="115"/>
      <c r="Q1390" s="127"/>
    </row>
    <row r="1391" spans="2:17" ht="15">
      <c r="B1391" s="150"/>
      <c r="E1391" s="276"/>
      <c r="F1391" s="221"/>
      <c r="G1391" s="221"/>
      <c r="H1391" s="221"/>
      <c r="I1391" s="221"/>
      <c r="J1391" s="222"/>
      <c r="K1391" s="184"/>
      <c r="M1391" s="93"/>
      <c r="N1391" s="68"/>
      <c r="O1391" s="115"/>
      <c r="Q1391" s="127"/>
    </row>
    <row r="1392" spans="2:17" ht="45.75" customHeight="1">
      <c r="B1392" s="150"/>
      <c r="C1392" s="26">
        <v>87529</v>
      </c>
      <c r="D1392" s="26" t="s">
        <v>8</v>
      </c>
      <c r="E1392" s="447" t="str">
        <f>IFERROR(VLOOKUP($C1392,'SINAPI JULHO 2018'!$1:$1048576,2,0),IFERROR(VLOOKUP($C1392,'5-COMP. PROPRIA'!$B$13:$I$518,4,0),""))</f>
        <v>MASSA ÚNICA, PARA RECEBIMENTO DE PINTURA, EM ARGAMASSA TRAÇO 1:2:8, PREPARO MECÂNICO COM BETONEIRA 400L, APLICADA MANUALMENTE EM FACES INTERNAS DE PAREDES, ESPESSURA DE 20MM, COM EXECUÇÃO DE TALISCAS. AF_06/2014</v>
      </c>
      <c r="F1392" s="448"/>
      <c r="G1392" s="448"/>
      <c r="H1392" s="448"/>
      <c r="I1392" s="448"/>
      <c r="J1392" s="449"/>
      <c r="K1392" s="184">
        <f>K1390</f>
        <v>4.5</v>
      </c>
      <c r="L1392" s="57" t="s">
        <v>145</v>
      </c>
      <c r="M1392" s="93"/>
      <c r="N1392" s="68"/>
      <c r="O1392" s="115"/>
      <c r="Q1392" s="127"/>
    </row>
    <row r="1393" spans="2:17" ht="15">
      <c r="B1393" s="150"/>
      <c r="E1393" s="276"/>
      <c r="F1393" s="221"/>
      <c r="G1393" s="221"/>
      <c r="H1393" s="221"/>
      <c r="I1393" s="221"/>
      <c r="J1393" s="222"/>
      <c r="K1393" s="184"/>
      <c r="L1393" s="57"/>
      <c r="M1393" s="93"/>
      <c r="N1393" s="68"/>
      <c r="O1393" s="115"/>
      <c r="Q1393" s="127"/>
    </row>
    <row r="1394" spans="2:17" ht="21.75" customHeight="1">
      <c r="B1394" s="150"/>
      <c r="C1394" s="94">
        <v>88485</v>
      </c>
      <c r="D1394" s="26" t="s">
        <v>8</v>
      </c>
      <c r="E1394" s="447" t="str">
        <f>IFERROR(VLOOKUP($C1394,'SINAPI JULHO 2018'!$1:$1048576,2,0),IFERROR(VLOOKUP($C1394,'5-COMP. PROPRIA'!$B$13:$I$518,4,0),""))</f>
        <v>APLICAÇÃO DE FUNDO SELADOR ACRÍLICO EM PAREDES, UMA DEMÃO. AF_06/2014</v>
      </c>
      <c r="F1394" s="448"/>
      <c r="G1394" s="448"/>
      <c r="H1394" s="448"/>
      <c r="I1394" s="448"/>
      <c r="J1394" s="449"/>
      <c r="K1394" s="184">
        <f>K1392</f>
        <v>4.5</v>
      </c>
      <c r="L1394" s="57" t="s">
        <v>145</v>
      </c>
      <c r="M1394" s="93"/>
      <c r="N1394" s="68"/>
      <c r="O1394" s="115"/>
      <c r="Q1394" s="127"/>
    </row>
    <row r="1395" spans="2:17" ht="15">
      <c r="B1395" s="150"/>
      <c r="E1395" s="276"/>
      <c r="F1395" s="221"/>
      <c r="G1395" s="221"/>
      <c r="H1395" s="221"/>
      <c r="I1395" s="221"/>
      <c r="J1395" s="222"/>
      <c r="K1395" s="184"/>
      <c r="M1395" s="93"/>
      <c r="N1395" s="68"/>
      <c r="O1395" s="115"/>
      <c r="Q1395" s="127"/>
    </row>
    <row r="1396" spans="2:17" ht="15" customHeight="1">
      <c r="B1396" s="295"/>
      <c r="C1396" s="296"/>
      <c r="D1396" s="296"/>
      <c r="E1396" s="467" t="s">
        <v>244</v>
      </c>
      <c r="F1396" s="468"/>
      <c r="G1396" s="468"/>
      <c r="H1396" s="468"/>
      <c r="I1396" s="468"/>
      <c r="J1396" s="469"/>
      <c r="K1396" s="297"/>
      <c r="L1396" s="298"/>
      <c r="M1396" s="299"/>
      <c r="N1396" s="300"/>
      <c r="O1396" s="115"/>
      <c r="Q1396" s="127"/>
    </row>
    <row r="1397" spans="2:17" ht="15">
      <c r="B1397" s="150"/>
      <c r="E1397" s="276"/>
      <c r="F1397" s="221"/>
      <c r="G1397" s="221"/>
      <c r="H1397" s="221"/>
      <c r="I1397" s="221"/>
      <c r="J1397" s="222"/>
      <c r="K1397" s="184"/>
      <c r="M1397" s="93"/>
      <c r="N1397" s="68"/>
      <c r="O1397" s="115"/>
      <c r="Q1397" s="127"/>
    </row>
    <row r="1398" spans="2:17">
      <c r="B1398" s="150"/>
      <c r="E1398" s="500" t="s">
        <v>245</v>
      </c>
      <c r="F1398" s="501"/>
      <c r="G1398" s="501"/>
      <c r="H1398" s="501"/>
      <c r="I1398" s="501"/>
      <c r="J1398" s="502"/>
      <c r="K1398" s="183"/>
      <c r="L1398" s="56"/>
      <c r="M1398" s="93"/>
      <c r="N1398" s="107"/>
      <c r="O1398" s="115"/>
      <c r="Q1398" s="127"/>
    </row>
    <row r="1399" spans="2:17">
      <c r="B1399" s="150"/>
      <c r="E1399" s="118"/>
      <c r="J1399" s="102"/>
      <c r="N1399" s="104"/>
      <c r="O1399" s="115"/>
      <c r="Q1399" s="127"/>
    </row>
    <row r="1400" spans="2:17" ht="15" customHeight="1">
      <c r="B1400" s="150"/>
      <c r="C1400" s="26">
        <v>96523</v>
      </c>
      <c r="D1400" s="16" t="s">
        <v>8</v>
      </c>
      <c r="E1400" s="447" t="str">
        <f>IFERROR(VLOOKUP($C1400,'SINAPI JULHO 2018'!$1:$1048576,2,0),IFERROR(VLOOKUP($C1400,'5-COMP. PROPRIA'!$B$13:$I$518,4,0),""))</f>
        <v>ESCAVAÇÃO MANUAL PARA BLOCO DE COROAMENTO OU SAPATA, COM PREVISÃO DE FÔRMA. AF_06/2017</v>
      </c>
      <c r="F1400" s="448"/>
      <c r="G1400" s="448"/>
      <c r="H1400" s="448"/>
      <c r="I1400" s="448"/>
      <c r="J1400" s="449"/>
      <c r="K1400" s="184">
        <f>SUM(K1402:K1402)</f>
        <v>5.90625</v>
      </c>
      <c r="L1400" s="58" t="s">
        <v>65</v>
      </c>
      <c r="N1400" s="104"/>
      <c r="O1400" s="115"/>
      <c r="Q1400" s="127"/>
    </row>
    <row r="1401" spans="2:17" ht="38.25" customHeight="1">
      <c r="B1401" s="152" t="s">
        <v>246</v>
      </c>
      <c r="E1401" s="76" t="s">
        <v>106</v>
      </c>
      <c r="F1401" s="17" t="s">
        <v>107</v>
      </c>
      <c r="G1401" s="17" t="s">
        <v>108</v>
      </c>
      <c r="H1401" s="67" t="s">
        <v>47</v>
      </c>
      <c r="I1401" s="55"/>
      <c r="J1401" s="121"/>
      <c r="K1401" s="186"/>
      <c r="N1401" s="104"/>
      <c r="O1401" s="115"/>
      <c r="Q1401" s="127"/>
    </row>
    <row r="1402" spans="2:17">
      <c r="B1402" s="150" t="s">
        <v>247</v>
      </c>
      <c r="E1402" s="101">
        <f>0.6+0.15</f>
        <v>0.75</v>
      </c>
      <c r="F1402" s="126">
        <f>0.6+0.15</f>
        <v>0.75</v>
      </c>
      <c r="G1402" s="71">
        <f>0.1+0.05+0.9</f>
        <v>1.05</v>
      </c>
      <c r="H1402" s="71">
        <v>10</v>
      </c>
      <c r="J1402" s="102"/>
      <c r="K1402" s="70">
        <f>H1402*G1402*F1402*E1402</f>
        <v>5.90625</v>
      </c>
      <c r="N1402" s="104"/>
      <c r="O1402" s="115"/>
      <c r="Q1402" s="127"/>
    </row>
    <row r="1403" spans="2:17">
      <c r="B1403" s="150"/>
      <c r="E1403" s="112"/>
      <c r="J1403" s="102"/>
      <c r="K1403" s="183"/>
      <c r="M1403" s="120"/>
      <c r="N1403" s="68"/>
      <c r="O1403" s="115"/>
      <c r="Q1403" s="127"/>
    </row>
    <row r="1404" spans="2:17" ht="15" customHeight="1">
      <c r="B1404" s="150"/>
      <c r="C1404" s="26">
        <v>96617</v>
      </c>
      <c r="D1404" s="16" t="s">
        <v>8</v>
      </c>
      <c r="E1404" s="447" t="str">
        <f>IFERROR(VLOOKUP($C1404,'SINAPI JULHO 2018'!$1:$1048576,2,0),IFERROR(VLOOKUP($C1404,'5-COMP. PROPRIA'!$B$13:$I$518,4,0),""))</f>
        <v>LASTRO DE CONCRETO MAGRO, APLICADO EM BLOCOS DE COROAMENTO OU SAPATAS, ESPESSURA DE 3 CM. AF_08/2017</v>
      </c>
      <c r="F1404" s="448"/>
      <c r="G1404" s="448"/>
      <c r="H1404" s="448"/>
      <c r="I1404" s="448"/>
      <c r="J1404" s="449"/>
      <c r="K1404" s="184">
        <f>SUM(K1406:K1406)</f>
        <v>3.5999999999999996</v>
      </c>
      <c r="L1404" s="57" t="s">
        <v>25</v>
      </c>
      <c r="M1404" s="52">
        <f>K1404*0.05</f>
        <v>0.18</v>
      </c>
      <c r="N1404" s="109" t="s">
        <v>65</v>
      </c>
      <c r="O1404" s="115"/>
      <c r="Q1404" s="127"/>
    </row>
    <row r="1405" spans="2:17" ht="25.5">
      <c r="B1405" s="150"/>
      <c r="E1405" s="76" t="s">
        <v>106</v>
      </c>
      <c r="F1405" s="17" t="s">
        <v>107</v>
      </c>
      <c r="H1405" s="67" t="s">
        <v>47</v>
      </c>
      <c r="J1405" s="102"/>
      <c r="N1405" s="104"/>
      <c r="O1405" s="115"/>
      <c r="Q1405" s="127"/>
    </row>
    <row r="1406" spans="2:17" ht="15" customHeight="1">
      <c r="B1406" s="150" t="s">
        <v>247</v>
      </c>
      <c r="E1406" s="118">
        <f>E1410</f>
        <v>0.6</v>
      </c>
      <c r="F1406" s="51">
        <f>F1410</f>
        <v>0.6</v>
      </c>
      <c r="H1406" s="51">
        <f>H1402</f>
        <v>10</v>
      </c>
      <c r="J1406" s="102"/>
      <c r="K1406" s="70">
        <f>H1406*F1406*E1406</f>
        <v>3.5999999999999996</v>
      </c>
      <c r="N1406" s="104"/>
      <c r="O1406" s="115"/>
      <c r="Q1406" s="127"/>
    </row>
    <row r="1407" spans="2:17">
      <c r="B1407" s="150"/>
      <c r="E1407" s="118"/>
      <c r="J1407" s="102"/>
      <c r="N1407" s="104"/>
      <c r="O1407" s="115"/>
      <c r="Q1407" s="127"/>
    </row>
    <row r="1408" spans="2:17" ht="28.5" customHeight="1">
      <c r="B1408" s="150"/>
      <c r="C1408" s="26">
        <v>94965</v>
      </c>
      <c r="D1408" s="16" t="s">
        <v>8</v>
      </c>
      <c r="E1408" s="447" t="str">
        <f>IFERROR(VLOOKUP($C1408,'SINAPI JULHO 2018'!$1:$1048576,2,0),IFERROR(VLOOKUP($C1408,'5-COMP. PROPRIA'!$B$13:$I$518,4,0),""))</f>
        <v>CONCRETO FCK = 25MPA, TRAÇO 1:2,3:2,7 (CIMENTO/ AREIA MÉDIA/ BRITA 1)  - PREPARO MECÂNICO COM BETONEIRA 400 L. AF_07/2016</v>
      </c>
      <c r="F1408" s="448"/>
      <c r="G1408" s="448"/>
      <c r="H1408" s="448"/>
      <c r="I1408" s="448"/>
      <c r="J1408" s="449"/>
      <c r="K1408" s="184">
        <f>SUM(K1410:K1410)</f>
        <v>0.36</v>
      </c>
      <c r="L1408" s="58" t="s">
        <v>65</v>
      </c>
      <c r="M1408" s="52"/>
      <c r="N1408" s="109"/>
      <c r="O1408" s="115"/>
      <c r="Q1408" s="127"/>
    </row>
    <row r="1409" spans="2:17" ht="25.5">
      <c r="B1409" s="150"/>
      <c r="E1409" s="76" t="s">
        <v>106</v>
      </c>
      <c r="F1409" s="17" t="s">
        <v>107</v>
      </c>
      <c r="G1409" s="17" t="s">
        <v>108</v>
      </c>
      <c r="H1409" s="67" t="s">
        <v>47</v>
      </c>
      <c r="J1409" s="102"/>
      <c r="N1409" s="104"/>
      <c r="O1409" s="115"/>
      <c r="Q1409" s="127"/>
    </row>
    <row r="1410" spans="2:17" ht="15" customHeight="1">
      <c r="B1410" s="150" t="s">
        <v>247</v>
      </c>
      <c r="E1410" s="101">
        <v>0.6</v>
      </c>
      <c r="F1410" s="71">
        <v>0.6</v>
      </c>
      <c r="G1410" s="71">
        <v>0.1</v>
      </c>
      <c r="H1410" s="71">
        <v>10</v>
      </c>
      <c r="J1410" s="102"/>
      <c r="K1410" s="70">
        <f>E1410*F1410*G1410*H1410</f>
        <v>0.36</v>
      </c>
      <c r="N1410" s="104"/>
      <c r="O1410" s="115"/>
      <c r="Q1410" s="127"/>
    </row>
    <row r="1411" spans="2:17">
      <c r="B1411" s="150"/>
      <c r="E1411" s="118"/>
      <c r="J1411" s="102"/>
      <c r="N1411" s="104"/>
      <c r="O1411" s="115"/>
      <c r="Q1411" s="127"/>
    </row>
    <row r="1412" spans="2:17" ht="15" customHeight="1">
      <c r="B1412" s="150"/>
      <c r="C1412" s="26" t="s">
        <v>111</v>
      </c>
      <c r="D1412" s="16" t="s">
        <v>8</v>
      </c>
      <c r="E1412" s="447" t="str">
        <f>IFERROR(VLOOKUP($C1412,'SINAPI JULHO 2018'!$1:$1048576,2,0),IFERROR(VLOOKUP($C1412,'5-COMP. PROPRIA'!$B$13:$I$518,4,0),""))</f>
        <v>LANCAMENTO/APLICACAO MANUAL DE CONCRETO EM FUNDACOES</v>
      </c>
      <c r="F1412" s="448"/>
      <c r="G1412" s="448"/>
      <c r="H1412" s="448"/>
      <c r="I1412" s="448"/>
      <c r="J1412" s="449"/>
      <c r="K1412" s="184">
        <f>K1408</f>
        <v>0.36</v>
      </c>
      <c r="L1412" s="58" t="s">
        <v>65</v>
      </c>
      <c r="M1412" s="52"/>
      <c r="N1412" s="109"/>
      <c r="O1412" s="115"/>
      <c r="Q1412" s="127"/>
    </row>
    <row r="1413" spans="2:17" ht="15">
      <c r="B1413" s="150"/>
      <c r="E1413" s="276"/>
      <c r="F1413" s="221"/>
      <c r="G1413" s="221"/>
      <c r="H1413" s="221"/>
      <c r="I1413" s="221"/>
      <c r="J1413" s="222"/>
      <c r="K1413" s="184"/>
      <c r="M1413" s="93"/>
      <c r="N1413" s="68"/>
      <c r="O1413" s="115"/>
      <c r="Q1413" s="127"/>
    </row>
    <row r="1414" spans="2:17" ht="15" customHeight="1">
      <c r="B1414" s="150"/>
      <c r="C1414" s="26">
        <v>96545</v>
      </c>
      <c r="D1414" s="16" t="s">
        <v>8</v>
      </c>
      <c r="E1414" s="447" t="str">
        <f>IFERROR(VLOOKUP($C1414,'SINAPI JULHO 2018'!$1:$1048576,2,0),IFERROR(VLOOKUP($C1414,'5-COMP. PROPRIA'!$B$13:$I$518,4,0),""))</f>
        <v>ARMAÇÃO DE BLOCO, VIGA BALDRAME OU SAPATA UTILIZANDO AÇO CA-50 DE 8 MM - MONTAGEM. AF_06/2017</v>
      </c>
      <c r="F1414" s="448"/>
      <c r="G1414" s="448"/>
      <c r="H1414" s="448"/>
      <c r="I1414" s="448"/>
      <c r="J1414" s="449"/>
      <c r="K1414" s="184">
        <f>SUM(K1417:K1417)</f>
        <v>26.818112000000006</v>
      </c>
      <c r="L1414" s="58" t="s">
        <v>92</v>
      </c>
      <c r="M1414" s="52"/>
      <c r="N1414" s="109"/>
      <c r="O1414" s="115"/>
      <c r="Q1414" s="127"/>
    </row>
    <row r="1415" spans="2:17" ht="15" customHeight="1">
      <c r="B1415" s="150"/>
      <c r="E1415" s="118"/>
      <c r="H1415" s="70" t="s">
        <v>112</v>
      </c>
      <c r="I1415" s="69">
        <f>K1414/K1408</f>
        <v>74.494755555555571</v>
      </c>
      <c r="J1415" s="102"/>
      <c r="K1415" s="70"/>
      <c r="N1415" s="104"/>
      <c r="O1415" s="115"/>
      <c r="Q1415" s="127"/>
    </row>
    <row r="1416" spans="2:17">
      <c r="B1416" s="150"/>
      <c r="E1416" s="79" t="s">
        <v>93</v>
      </c>
      <c r="F1416" s="67" t="s">
        <v>27</v>
      </c>
      <c r="G1416" s="67" t="s">
        <v>94</v>
      </c>
      <c r="H1416" s="61" t="s">
        <v>95</v>
      </c>
      <c r="I1416" s="61"/>
      <c r="J1416" s="102"/>
      <c r="K1416" s="70"/>
      <c r="N1416" s="104"/>
      <c r="O1416" s="115"/>
      <c r="Q1416" s="127"/>
    </row>
    <row r="1417" spans="2:17">
      <c r="B1417" s="150"/>
      <c r="E1417" s="101">
        <v>8</v>
      </c>
      <c r="F1417" s="51">
        <f>(0.54+0.07+0.07)*10</f>
        <v>6.8000000000000016</v>
      </c>
      <c r="G1417" s="51">
        <v>10</v>
      </c>
      <c r="H1417" s="51">
        <f>((E1417/1000)*(E1417/1000)*3.14*0.25)*7850</f>
        <v>0.39438400000000001</v>
      </c>
      <c r="J1417" s="102"/>
      <c r="K1417" s="70">
        <f>G1417*H1417*F1417</f>
        <v>26.818112000000006</v>
      </c>
      <c r="N1417" s="104"/>
      <c r="O1417" s="115"/>
      <c r="Q1417" s="127"/>
    </row>
    <row r="1418" spans="2:17">
      <c r="B1418" s="150"/>
      <c r="E1418" s="276"/>
      <c r="J1418" s="102"/>
      <c r="K1418" s="70"/>
      <c r="N1418" s="104"/>
      <c r="O1418" s="115"/>
      <c r="Q1418" s="127"/>
    </row>
    <row r="1419" spans="2:17" ht="36.75" customHeight="1">
      <c r="B1419" s="150"/>
      <c r="C1419" s="26">
        <v>96529</v>
      </c>
      <c r="D1419" s="16" t="s">
        <v>8</v>
      </c>
      <c r="E1419" s="447" t="str">
        <f>IFERROR(VLOOKUP($C1419,'SINAPI JULHO 2018'!$1:$1048576,2,0),IFERROR(VLOOKUP($C1419,'5-COMP. PROPRIA'!$B$13:$I$518,4,0),""))</f>
        <v>FABRICAÇÃO, MONTAGEM E DESMONTAGEM DE FÔRMA PARA SAPATA, EM MADEIRA SERRADA, E=25 MM, 1 UTILIZAÇÃO. AF_06/2017</v>
      </c>
      <c r="F1419" s="448"/>
      <c r="G1419" s="448"/>
      <c r="H1419" s="448"/>
      <c r="I1419" s="448"/>
      <c r="J1419" s="449"/>
      <c r="K1419" s="184">
        <f>SUM(K1421:K1421)</f>
        <v>2.4</v>
      </c>
      <c r="L1419" s="58" t="s">
        <v>25</v>
      </c>
      <c r="N1419" s="104"/>
      <c r="O1419" s="115"/>
      <c r="Q1419" s="127"/>
    </row>
    <row r="1420" spans="2:17" ht="25.5">
      <c r="B1420" s="150"/>
      <c r="D1420" s="51"/>
      <c r="E1420" s="76" t="s">
        <v>106</v>
      </c>
      <c r="F1420" s="17" t="s">
        <v>107</v>
      </c>
      <c r="G1420" s="17" t="s">
        <v>108</v>
      </c>
      <c r="H1420" s="67" t="s">
        <v>47</v>
      </c>
      <c r="I1420" s="221"/>
      <c r="J1420" s="222"/>
      <c r="K1420" s="186"/>
      <c r="L1420" s="100"/>
      <c r="N1420" s="104"/>
      <c r="O1420" s="115"/>
    </row>
    <row r="1421" spans="2:17">
      <c r="B1421" s="150"/>
      <c r="E1421" s="118">
        <f>E1410</f>
        <v>0.6</v>
      </c>
      <c r="F1421" s="51">
        <f>F1410</f>
        <v>0.6</v>
      </c>
      <c r="G1421" s="51">
        <f>G1410</f>
        <v>0.1</v>
      </c>
      <c r="H1421" s="51">
        <f>H1410</f>
        <v>10</v>
      </c>
      <c r="J1421" s="102"/>
      <c r="K1421" s="70">
        <f>(((E1421*G1421)*2)+((F1421*G1421)*2))*H1421</f>
        <v>2.4</v>
      </c>
      <c r="N1421" s="104"/>
      <c r="O1421" s="115"/>
      <c r="Q1421" s="127"/>
    </row>
    <row r="1422" spans="2:17">
      <c r="B1422" s="150"/>
      <c r="E1422" s="118"/>
      <c r="J1422" s="102"/>
      <c r="N1422" s="104"/>
      <c r="O1422" s="115"/>
      <c r="Q1422" s="127"/>
    </row>
    <row r="1423" spans="2:17" ht="15" customHeight="1">
      <c r="B1423" s="150"/>
      <c r="C1423" s="16">
        <v>93382</v>
      </c>
      <c r="D1423" s="16" t="s">
        <v>8</v>
      </c>
      <c r="E1423" s="447" t="str">
        <f>IFERROR(VLOOKUP($C1423,'SINAPI JULHO 2018'!$1:$1048576,2,0),IFERROR(VLOOKUP($C1423,'5-COMP. PROPRIA'!$B$13:$I$518,4,0),""))</f>
        <v>REATERRO MANUAL DE VALAS COM COMPACTAÇÃO MECANIZADA. AF_04/2016</v>
      </c>
      <c r="F1423" s="448"/>
      <c r="G1423" s="448"/>
      <c r="H1423" s="448"/>
      <c r="I1423" s="448"/>
      <c r="J1423" s="449"/>
      <c r="K1423" s="184">
        <f>SUM(K1425)</f>
        <v>5.5462499999999997</v>
      </c>
      <c r="L1423" s="58" t="s">
        <v>65</v>
      </c>
      <c r="N1423" s="104"/>
      <c r="O1423" s="115"/>
      <c r="Q1423" s="127"/>
    </row>
    <row r="1424" spans="2:17" ht="38.25">
      <c r="B1424" s="150"/>
      <c r="E1424" s="79" t="s">
        <v>115</v>
      </c>
      <c r="F1424" s="67" t="s">
        <v>116</v>
      </c>
      <c r="J1424" s="102"/>
      <c r="K1424" s="184"/>
      <c r="N1424" s="104"/>
      <c r="O1424" s="115"/>
      <c r="Q1424" s="127"/>
    </row>
    <row r="1425" spans="2:17">
      <c r="B1425" s="150"/>
      <c r="E1425" s="112">
        <f>K1400</f>
        <v>5.90625</v>
      </c>
      <c r="F1425" s="51">
        <f>K1408</f>
        <v>0.36</v>
      </c>
      <c r="J1425" s="102"/>
      <c r="K1425" s="70">
        <f>E1425-F1425</f>
        <v>5.5462499999999997</v>
      </c>
      <c r="N1425" s="104"/>
      <c r="O1425" s="115"/>
      <c r="Q1425" s="127"/>
    </row>
    <row r="1426" spans="2:17">
      <c r="B1426" s="150"/>
      <c r="E1426" s="112"/>
      <c r="J1426" s="102"/>
      <c r="K1426" s="70"/>
      <c r="N1426" s="104"/>
      <c r="O1426" s="115"/>
      <c r="Q1426" s="127"/>
    </row>
    <row r="1427" spans="2:17" ht="15" customHeight="1">
      <c r="B1427" s="150"/>
      <c r="C1427" s="26">
        <v>72897</v>
      </c>
      <c r="D1427" s="16" t="s">
        <v>8</v>
      </c>
      <c r="E1427" s="447" t="str">
        <f>IFERROR(VLOOKUP($C1427,'SINAPI JULHO 2018'!$1:$1048576,2,0),IFERROR(VLOOKUP($C1427,'5-COMP. PROPRIA'!$B$13:$I$518,4,0),""))</f>
        <v>CARGA MANUAL DE ENTULHO EM CAMINHAO BASCULANTE 6 M3</v>
      </c>
      <c r="F1427" s="448"/>
      <c r="G1427" s="448"/>
      <c r="H1427" s="448"/>
      <c r="I1427" s="448"/>
      <c r="J1427" s="449"/>
      <c r="K1427" s="184">
        <f>SUM(K1429:K1429)</f>
        <v>0.46799999999999997</v>
      </c>
      <c r="L1427" s="58" t="s">
        <v>65</v>
      </c>
      <c r="N1427" s="104"/>
      <c r="O1427" s="115"/>
      <c r="Q1427" s="127"/>
    </row>
    <row r="1428" spans="2:17" ht="38.25">
      <c r="B1428" s="150"/>
      <c r="E1428" s="79"/>
      <c r="F1428" s="67" t="s">
        <v>116</v>
      </c>
      <c r="G1428" s="17"/>
      <c r="H1428" s="67" t="s">
        <v>119</v>
      </c>
      <c r="J1428" s="220"/>
      <c r="K1428" s="70"/>
      <c r="N1428" s="104"/>
      <c r="O1428" s="115"/>
      <c r="Q1428" s="127"/>
    </row>
    <row r="1429" spans="2:17" ht="15" customHeight="1">
      <c r="B1429" s="150"/>
      <c r="E1429" s="118"/>
      <c r="F1429" s="17">
        <f>K1408</f>
        <v>0.36</v>
      </c>
      <c r="G1429" s="17"/>
      <c r="H1429" s="17">
        <v>1.3</v>
      </c>
      <c r="J1429" s="68"/>
      <c r="K1429" s="70">
        <f>H1429*F1429</f>
        <v>0.46799999999999997</v>
      </c>
      <c r="N1429" s="104"/>
      <c r="O1429" s="115"/>
      <c r="Q1429" s="127"/>
    </row>
    <row r="1430" spans="2:17">
      <c r="B1430" s="150"/>
      <c r="E1430" s="118"/>
      <c r="F1430" s="17"/>
      <c r="G1430" s="17"/>
      <c r="I1430" s="17"/>
      <c r="J1430" s="68"/>
      <c r="K1430" s="70"/>
      <c r="N1430" s="104"/>
      <c r="O1430" s="115"/>
      <c r="Q1430" s="127"/>
    </row>
    <row r="1431" spans="2:17" ht="15" customHeight="1">
      <c r="B1431" s="150"/>
      <c r="C1431" s="26">
        <v>97914</v>
      </c>
      <c r="D1431" s="16" t="s">
        <v>8</v>
      </c>
      <c r="E1431" s="447" t="str">
        <f>IFERROR(VLOOKUP($C1431,'SINAPI JULHO 2018'!$1:$1048576,2,0),IFERROR(VLOOKUP($C1431,'5-COMP. PROPRIA'!$B$13:$I$518,4,0),""))</f>
        <v>TRANSPORTE COM CAMINHÃO BASCULANTE DE 6 M3, EM VIA URBANA PAVIMENTADA, DMT ATÉ 30 KM (UNIDADE: M3XKM). AF_01/2018</v>
      </c>
      <c r="F1431" s="448"/>
      <c r="G1431" s="448"/>
      <c r="H1431" s="448"/>
      <c r="I1431" s="448"/>
      <c r="J1431" s="449"/>
      <c r="K1431" s="184">
        <f>K1433</f>
        <v>3.51</v>
      </c>
      <c r="L1431" s="57" t="s">
        <v>78</v>
      </c>
      <c r="N1431" s="104"/>
      <c r="O1431" s="115"/>
      <c r="Q1431" s="127"/>
    </row>
    <row r="1432" spans="2:17" ht="25.5">
      <c r="B1432" s="150"/>
      <c r="E1432" s="79" t="s">
        <v>80</v>
      </c>
      <c r="H1432" s="67" t="s">
        <v>81</v>
      </c>
      <c r="J1432" s="102"/>
      <c r="N1432" s="104"/>
      <c r="O1432" s="115"/>
      <c r="Q1432" s="127"/>
    </row>
    <row r="1433" spans="2:17" ht="15" customHeight="1">
      <c r="B1433" s="150"/>
      <c r="E1433" s="79">
        <f>K1427</f>
        <v>0.46799999999999997</v>
      </c>
      <c r="H1433" s="67">
        <v>7.5</v>
      </c>
      <c r="J1433" s="102"/>
      <c r="K1433" s="180">
        <f>E1433*H1433</f>
        <v>3.51</v>
      </c>
      <c r="N1433" s="104"/>
      <c r="O1433" s="115"/>
      <c r="Q1433" s="127"/>
    </row>
    <row r="1434" spans="2:17">
      <c r="B1434" s="150"/>
      <c r="E1434" s="112"/>
      <c r="J1434" s="102"/>
      <c r="K1434" s="70"/>
      <c r="N1434" s="104"/>
      <c r="O1434" s="115"/>
      <c r="Q1434" s="127"/>
    </row>
    <row r="1435" spans="2:17" ht="15" customHeight="1">
      <c r="B1435" s="150"/>
      <c r="C1435" s="91"/>
      <c r="D1435" s="91"/>
      <c r="E1435" s="453" t="s">
        <v>103</v>
      </c>
      <c r="F1435" s="454"/>
      <c r="G1435" s="454"/>
      <c r="H1435" s="454"/>
      <c r="I1435" s="454"/>
      <c r="J1435" s="455"/>
      <c r="K1435" s="183"/>
      <c r="L1435" s="56"/>
      <c r="M1435" s="93"/>
      <c r="N1435" s="107"/>
      <c r="O1435" s="115"/>
      <c r="Q1435" s="127"/>
    </row>
    <row r="1436" spans="2:17">
      <c r="B1436" s="150"/>
      <c r="C1436" s="91"/>
      <c r="D1436" s="91"/>
      <c r="E1436" s="112"/>
      <c r="J1436" s="102"/>
      <c r="K1436" s="183"/>
      <c r="L1436" s="56"/>
      <c r="M1436" s="93"/>
      <c r="N1436" s="107"/>
      <c r="O1436" s="115"/>
      <c r="Q1436" s="127"/>
    </row>
    <row r="1437" spans="2:17" ht="24.75" customHeight="1">
      <c r="B1437" s="150"/>
      <c r="C1437" s="26">
        <v>96527</v>
      </c>
      <c r="D1437" s="16" t="s">
        <v>8</v>
      </c>
      <c r="E1437" s="447" t="str">
        <f>IFERROR(VLOOKUP($C1437,'SINAPI JULHO 2018'!$1:$1048576,2,0),IFERROR(VLOOKUP($C1437,'5-COMP. PROPRIA'!$B$13:$I$518,4,0),""))</f>
        <v>ESCAVAÇÃO MANUAL DE VALA PARA VIGA BALDRAME, COM PREVISÃO DE FÔRMA. AF_06/2017</v>
      </c>
      <c r="F1437" s="448"/>
      <c r="G1437" s="448"/>
      <c r="H1437" s="448"/>
      <c r="I1437" s="448"/>
      <c r="J1437" s="449"/>
      <c r="K1437" s="184">
        <f>SUM(K1439:K1439)*1.3</f>
        <v>1.8372900000000003</v>
      </c>
      <c r="L1437" s="58" t="s">
        <v>65</v>
      </c>
      <c r="M1437" s="93"/>
      <c r="N1437" s="68"/>
      <c r="O1437" s="115"/>
      <c r="Q1437" s="127"/>
    </row>
    <row r="1438" spans="2:17" ht="25.5">
      <c r="B1438" s="150"/>
      <c r="E1438" s="76" t="s">
        <v>106</v>
      </c>
      <c r="F1438" s="17" t="s">
        <v>107</v>
      </c>
      <c r="G1438" s="17" t="s">
        <v>108</v>
      </c>
      <c r="H1438" s="67" t="s">
        <v>47</v>
      </c>
      <c r="I1438" s="221"/>
      <c r="J1438" s="222"/>
      <c r="K1438" s="186"/>
      <c r="M1438" s="93"/>
      <c r="N1438" s="68"/>
      <c r="O1438" s="115"/>
      <c r="Q1438" s="127"/>
    </row>
    <row r="1439" spans="2:17">
      <c r="B1439" s="150"/>
      <c r="E1439" s="105">
        <f>2.1+2.04+2.04+1.93+3.1+3.9+3.67+2.85+2.1+2.04+2.04+2.05+3.79</f>
        <v>33.650000000000006</v>
      </c>
      <c r="F1439" s="105">
        <v>0.14000000000000001</v>
      </c>
      <c r="G1439" s="105">
        <v>0.3</v>
      </c>
      <c r="H1439" s="105">
        <v>1</v>
      </c>
      <c r="J1439" s="102"/>
      <c r="K1439" s="70">
        <f>E1439*F1439*G1439*H1439</f>
        <v>1.4133000000000002</v>
      </c>
      <c r="M1439" s="93"/>
      <c r="N1439" s="114"/>
      <c r="O1439" s="115"/>
      <c r="Q1439" s="127"/>
    </row>
    <row r="1440" spans="2:17">
      <c r="B1440" s="150"/>
      <c r="E1440" s="118"/>
      <c r="J1440" s="102"/>
      <c r="K1440" s="183"/>
      <c r="M1440" s="93"/>
      <c r="N1440" s="68"/>
      <c r="O1440" s="115"/>
      <c r="Q1440" s="127"/>
    </row>
    <row r="1441" spans="2:17" ht="33" customHeight="1">
      <c r="B1441" s="150"/>
      <c r="C1441" s="26">
        <v>96617</v>
      </c>
      <c r="D1441" s="16" t="s">
        <v>8</v>
      </c>
      <c r="E1441" s="447" t="str">
        <f>IFERROR(VLOOKUP($C1441,'SINAPI JULHO 2018'!$1:$1048576,2,0),IFERROR(VLOOKUP($C1441,'5-COMP. PROPRIA'!$B$13:$I$518,4,0),""))</f>
        <v>LASTRO DE CONCRETO MAGRO, APLICADO EM BLOCOS DE COROAMENTO OU SAPATAS, ESPESSURA DE 3 CM. AF_08/2017</v>
      </c>
      <c r="F1441" s="448"/>
      <c r="G1441" s="448"/>
      <c r="H1441" s="448"/>
      <c r="I1441" s="448"/>
      <c r="J1441" s="449"/>
      <c r="K1441" s="184">
        <f>SUM(K1443:K1443)</f>
        <v>4.7110000000000012</v>
      </c>
      <c r="L1441" s="57" t="s">
        <v>25</v>
      </c>
      <c r="M1441" s="52">
        <f>K1441*0.03</f>
        <v>0.14133000000000004</v>
      </c>
      <c r="N1441" s="109" t="s">
        <v>65</v>
      </c>
      <c r="O1441" s="115"/>
      <c r="Q1441" s="127"/>
    </row>
    <row r="1442" spans="2:17" ht="25.5">
      <c r="B1442" s="150"/>
      <c r="E1442" s="76" t="s">
        <v>106</v>
      </c>
      <c r="F1442" s="17" t="s">
        <v>107</v>
      </c>
      <c r="H1442" s="67" t="s">
        <v>47</v>
      </c>
      <c r="J1442" s="102"/>
      <c r="N1442" s="104"/>
      <c r="O1442" s="115"/>
      <c r="Q1442" s="127"/>
    </row>
    <row r="1443" spans="2:17">
      <c r="B1443" s="150"/>
      <c r="E1443" s="105">
        <f>E1439</f>
        <v>33.650000000000006</v>
      </c>
      <c r="F1443" s="105">
        <f>F1439</f>
        <v>0.14000000000000001</v>
      </c>
      <c r="H1443" s="105">
        <f>H1439</f>
        <v>1</v>
      </c>
      <c r="J1443" s="102"/>
      <c r="K1443" s="70">
        <f>H1443*F1443*E1443</f>
        <v>4.7110000000000012</v>
      </c>
      <c r="N1443" s="104"/>
      <c r="O1443" s="115"/>
      <c r="Q1443" s="127"/>
    </row>
    <row r="1444" spans="2:17">
      <c r="B1444" s="150"/>
      <c r="E1444" s="118"/>
      <c r="J1444" s="102"/>
      <c r="K1444" s="183"/>
      <c r="M1444" s="93"/>
      <c r="N1444" s="68"/>
      <c r="O1444" s="115"/>
      <c r="Q1444" s="127"/>
    </row>
    <row r="1445" spans="2:17" ht="31.5" customHeight="1">
      <c r="B1445" s="150"/>
      <c r="C1445" s="26">
        <v>94965</v>
      </c>
      <c r="D1445" s="16" t="s">
        <v>8</v>
      </c>
      <c r="E1445" s="447" t="str">
        <f>IFERROR(VLOOKUP($C1445,'SINAPI JULHO 2018'!$1:$1048576,2,0),IFERROR(VLOOKUP($C1445,'5-COMP. PROPRIA'!$B$13:$I$518,4,0),""))</f>
        <v>CONCRETO FCK = 25MPA, TRAÇO 1:2,3:2,7 (CIMENTO/ AREIA MÉDIA/ BRITA 1)  - PREPARO MECÂNICO COM BETONEIRA 400 L. AF_07/2016</v>
      </c>
      <c r="F1445" s="448"/>
      <c r="G1445" s="448"/>
      <c r="H1445" s="448"/>
      <c r="I1445" s="448"/>
      <c r="J1445" s="449"/>
      <c r="K1445" s="184">
        <f>SUM(K1447:K1447)</f>
        <v>1.4133000000000002</v>
      </c>
      <c r="L1445" s="58" t="s">
        <v>65</v>
      </c>
      <c r="M1445" s="93"/>
      <c r="N1445" s="68"/>
      <c r="O1445" s="115"/>
      <c r="Q1445" s="127"/>
    </row>
    <row r="1446" spans="2:17" ht="25.5">
      <c r="B1446" s="150"/>
      <c r="E1446" s="76" t="s">
        <v>106</v>
      </c>
      <c r="F1446" s="17" t="s">
        <v>107</v>
      </c>
      <c r="G1446" s="17" t="s">
        <v>108</v>
      </c>
      <c r="H1446" s="67" t="s">
        <v>47</v>
      </c>
      <c r="I1446" s="221"/>
      <c r="J1446" s="222"/>
      <c r="K1446" s="183"/>
      <c r="M1446" s="93"/>
      <c r="N1446" s="68"/>
      <c r="O1446" s="115"/>
      <c r="Q1446" s="127"/>
    </row>
    <row r="1447" spans="2:17">
      <c r="B1447" s="150"/>
      <c r="E1447" s="111">
        <f>E1443</f>
        <v>33.650000000000006</v>
      </c>
      <c r="F1447" s="74">
        <f>F1443</f>
        <v>0.14000000000000001</v>
      </c>
      <c r="G1447" s="74">
        <f>G1439</f>
        <v>0.3</v>
      </c>
      <c r="H1447" s="74">
        <v>1</v>
      </c>
      <c r="J1447" s="102"/>
      <c r="K1447" s="70">
        <f>E1447*F1447*G1447*H1447</f>
        <v>1.4133000000000002</v>
      </c>
      <c r="M1447" s="93"/>
      <c r="N1447" s="68"/>
      <c r="O1447" s="115"/>
      <c r="Q1447" s="127"/>
    </row>
    <row r="1448" spans="2:17">
      <c r="B1448" s="150"/>
      <c r="E1448" s="112"/>
      <c r="J1448" s="102"/>
      <c r="K1448" s="183"/>
      <c r="M1448" s="93"/>
      <c r="N1448" s="68"/>
      <c r="O1448" s="115"/>
      <c r="Q1448" s="127"/>
    </row>
    <row r="1449" spans="2:17" ht="15">
      <c r="B1449" s="150"/>
      <c r="C1449" s="26" t="s">
        <v>111</v>
      </c>
      <c r="D1449" s="16" t="s">
        <v>8</v>
      </c>
      <c r="E1449" s="447" t="str">
        <f>IFERROR(VLOOKUP($C1449,'SINAPI JULHO 2018'!$1:$1048576,2,0),IFERROR(VLOOKUP($C1449,'5-COMP. PROPRIA'!$B$13:$I$518,4,0),""))</f>
        <v>LANCAMENTO/APLICACAO MANUAL DE CONCRETO EM FUNDACOES</v>
      </c>
      <c r="F1449" s="448"/>
      <c r="G1449" s="448"/>
      <c r="H1449" s="448"/>
      <c r="I1449" s="448"/>
      <c r="J1449" s="449"/>
      <c r="K1449" s="184">
        <f>K1445</f>
        <v>1.4133000000000002</v>
      </c>
      <c r="L1449" s="58" t="s">
        <v>65</v>
      </c>
      <c r="M1449" s="93"/>
      <c r="N1449" s="68"/>
      <c r="O1449" s="115"/>
      <c r="Q1449" s="127"/>
    </row>
    <row r="1450" spans="2:17">
      <c r="B1450" s="150"/>
      <c r="E1450" s="118"/>
      <c r="J1450" s="102"/>
      <c r="M1450" s="93"/>
      <c r="N1450" s="68"/>
      <c r="O1450" s="115"/>
      <c r="Q1450" s="127"/>
    </row>
    <row r="1451" spans="2:17" ht="39.75" customHeight="1">
      <c r="B1451" s="150"/>
      <c r="C1451" s="26">
        <v>96543</v>
      </c>
      <c r="D1451" s="16" t="s">
        <v>8</v>
      </c>
      <c r="E1451" s="470" t="str">
        <f>IFERROR(VLOOKUP($C1451,'SINAPI JULHO 2018'!$1:$1048576,2,0),IFERROR(VLOOKUP($C1451,'5-COMP. PROPRIA'!$B$13:$I$518,4,0),""))</f>
        <v>ARMAÇÃO DE BLOCO, VIGA BALDRAME E SAPATA UTILIZANDO AÇO CA-60 DE 5 MM - MONTAGEM. AF_06/2017</v>
      </c>
      <c r="F1451" s="471"/>
      <c r="G1451" s="471"/>
      <c r="H1451" s="471"/>
      <c r="I1451" s="471"/>
      <c r="J1451" s="472"/>
      <c r="K1451" s="184">
        <f>SUM(K1454:K1454)</f>
        <v>19.180773406250008</v>
      </c>
      <c r="L1451" s="58" t="s">
        <v>92</v>
      </c>
      <c r="M1451" s="52">
        <v>0</v>
      </c>
      <c r="N1451" s="68" t="s">
        <v>92</v>
      </c>
      <c r="O1451" s="115"/>
      <c r="Q1451" s="127"/>
    </row>
    <row r="1452" spans="2:17">
      <c r="B1452" s="150"/>
      <c r="E1452" s="118"/>
      <c r="H1452" s="70" t="s">
        <v>112</v>
      </c>
      <c r="I1452" s="69">
        <f>K1451/K1445</f>
        <v>13.571622023809528</v>
      </c>
      <c r="J1452" s="102"/>
      <c r="K1452" s="70"/>
      <c r="M1452" s="93"/>
      <c r="N1452" s="68"/>
      <c r="O1452" s="115"/>
      <c r="Q1452" s="127"/>
    </row>
    <row r="1453" spans="2:17">
      <c r="B1453" s="150"/>
      <c r="E1453" s="79" t="s">
        <v>93</v>
      </c>
      <c r="F1453" s="67" t="s">
        <v>27</v>
      </c>
      <c r="G1453" s="67" t="s">
        <v>94</v>
      </c>
      <c r="H1453" s="61" t="s">
        <v>95</v>
      </c>
      <c r="I1453" s="17" t="s">
        <v>54</v>
      </c>
      <c r="J1453" s="102"/>
      <c r="K1453" s="70"/>
      <c r="M1453" s="93"/>
      <c r="N1453" s="68"/>
      <c r="O1453" s="115"/>
      <c r="Q1453" s="127"/>
    </row>
    <row r="1454" spans="2:17">
      <c r="B1454" s="150"/>
      <c r="E1454" s="101">
        <v>5</v>
      </c>
      <c r="F1454" s="51">
        <f>(F1447-0.06)*2+(G1447-0.06)*2+0.1</f>
        <v>0.74</v>
      </c>
      <c r="G1454" s="51">
        <f>E1439/0.2</f>
        <v>168.25000000000003</v>
      </c>
      <c r="H1454" s="51">
        <f>((E1454/1000)*(E1454/1000)*3.14*0.25)*7850</f>
        <v>0.15405625000000003</v>
      </c>
      <c r="I1454" s="51">
        <f>$H$138</f>
        <v>1</v>
      </c>
      <c r="J1454" s="102"/>
      <c r="K1454" s="70">
        <f>G1454*H1454*F1454*I1454</f>
        <v>19.180773406250008</v>
      </c>
      <c r="M1454" s="93"/>
      <c r="N1454" s="68"/>
      <c r="O1454" s="115"/>
      <c r="Q1454" s="127"/>
    </row>
    <row r="1455" spans="2:17">
      <c r="B1455" s="150"/>
      <c r="E1455" s="118"/>
      <c r="J1455" s="102"/>
      <c r="M1455" s="93"/>
      <c r="N1455" s="68"/>
      <c r="O1455" s="115"/>
      <c r="Q1455" s="127"/>
    </row>
    <row r="1456" spans="2:17" ht="32.25" customHeight="1">
      <c r="B1456" s="150"/>
      <c r="C1456" s="26">
        <v>96545</v>
      </c>
      <c r="D1456" s="16" t="s">
        <v>8</v>
      </c>
      <c r="E1456" s="447" t="str">
        <f>IFERROR(VLOOKUP($C1456,'SINAPI JULHO 2018'!$1:$1048576,2,0),IFERROR(VLOOKUP($C1456,'5-COMP. PROPRIA'!$B$13:$I$518,4,0),""))</f>
        <v>ARMAÇÃO DE BLOCO, VIGA BALDRAME OU SAPATA UTILIZANDO AÇO CA-50 DE 8 MM - MONTAGEM. AF_06/2017</v>
      </c>
      <c r="F1456" s="448"/>
      <c r="G1456" s="448"/>
      <c r="H1456" s="448"/>
      <c r="I1456" s="448"/>
      <c r="J1456" s="449"/>
      <c r="K1456" s="184">
        <f>SUM(K1459:K1459)</f>
        <v>53.084086400000011</v>
      </c>
      <c r="L1456" s="58" t="s">
        <v>92</v>
      </c>
      <c r="M1456" s="52">
        <v>0</v>
      </c>
      <c r="N1456" s="68" t="s">
        <v>92</v>
      </c>
      <c r="O1456" s="115"/>
      <c r="Q1456" s="127"/>
    </row>
    <row r="1457" spans="2:17">
      <c r="B1457" s="150"/>
      <c r="E1457" s="118"/>
      <c r="H1457" s="70" t="s">
        <v>112</v>
      </c>
      <c r="I1457" s="69">
        <f>K1456/K1449</f>
        <v>37.560380952380953</v>
      </c>
      <c r="J1457" s="102"/>
      <c r="K1457" s="70"/>
      <c r="M1457" s="93"/>
      <c r="N1457" s="68"/>
      <c r="O1457" s="115"/>
      <c r="Q1457" s="127"/>
    </row>
    <row r="1458" spans="2:17">
      <c r="B1458" s="150"/>
      <c r="E1458" s="79" t="s">
        <v>93</v>
      </c>
      <c r="F1458" s="67" t="s">
        <v>27</v>
      </c>
      <c r="G1458" s="67" t="s">
        <v>28</v>
      </c>
      <c r="H1458" s="61" t="s">
        <v>95</v>
      </c>
      <c r="I1458" s="17" t="s">
        <v>54</v>
      </c>
      <c r="J1458" s="102"/>
      <c r="K1458" s="70"/>
      <c r="M1458" s="93"/>
      <c r="N1458" s="68"/>
      <c r="O1458" s="115"/>
      <c r="Q1458" s="127"/>
    </row>
    <row r="1459" spans="2:17">
      <c r="B1459" s="150"/>
      <c r="E1459" s="101">
        <v>8</v>
      </c>
      <c r="F1459" s="51">
        <f>E1447</f>
        <v>33.650000000000006</v>
      </c>
      <c r="G1459" s="51">
        <v>1</v>
      </c>
      <c r="H1459" s="51">
        <f>((E1459/1000)*(E1459/1000)*3.14*0.25)*7850</f>
        <v>0.39438400000000001</v>
      </c>
      <c r="I1459" s="51">
        <v>4</v>
      </c>
      <c r="J1459" s="102"/>
      <c r="K1459" s="70">
        <f>G1459*H1459*F1459*I1459</f>
        <v>53.084086400000011</v>
      </c>
      <c r="M1459" s="93"/>
      <c r="N1459" s="68"/>
      <c r="O1459" s="115"/>
      <c r="Q1459" s="127"/>
    </row>
    <row r="1460" spans="2:17">
      <c r="B1460" s="150"/>
      <c r="E1460" s="118"/>
      <c r="J1460" s="102"/>
      <c r="K1460" s="183"/>
      <c r="M1460" s="93"/>
      <c r="N1460" s="68"/>
      <c r="O1460" s="115"/>
      <c r="Q1460" s="127"/>
    </row>
    <row r="1461" spans="2:17" ht="35.25" customHeight="1">
      <c r="B1461" s="150"/>
      <c r="C1461" s="26">
        <v>96536</v>
      </c>
      <c r="D1461" s="16" t="s">
        <v>8</v>
      </c>
      <c r="E1461" s="447" t="str">
        <f>IFERROR(VLOOKUP($C1461,'SINAPI JULHO 2018'!$1:$1048576,2,0),IFERROR(VLOOKUP($C1461,'5-COMP. PROPRIA'!$B$13:$I$518,4,0),""))</f>
        <v>FABRICAÇÃO, MONTAGEM E DESMONTAGEM DE FÔRMA PARA VIGA BALDRAME, EM MADEIRA SERRADA, E=25 MM, 4 UTILIZAÇÕES. AF_06/2017</v>
      </c>
      <c r="F1461" s="448"/>
      <c r="G1461" s="448"/>
      <c r="H1461" s="448"/>
      <c r="I1461" s="448"/>
      <c r="J1461" s="449"/>
      <c r="K1461" s="184">
        <f>SUM(K1463:K1463)</f>
        <v>20.190000000000001</v>
      </c>
      <c r="L1461" s="58" t="s">
        <v>25</v>
      </c>
      <c r="M1461" s="93"/>
      <c r="N1461" s="68"/>
      <c r="O1461" s="115"/>
      <c r="Q1461" s="127"/>
    </row>
    <row r="1462" spans="2:17" ht="25.5">
      <c r="B1462" s="150"/>
      <c r="D1462" s="51"/>
      <c r="E1462" s="76" t="s">
        <v>106</v>
      </c>
      <c r="F1462" s="17" t="s">
        <v>107</v>
      </c>
      <c r="G1462" s="17" t="s">
        <v>108</v>
      </c>
      <c r="H1462" s="67" t="s">
        <v>47</v>
      </c>
      <c r="I1462" s="221"/>
      <c r="J1462" s="222"/>
      <c r="K1462" s="186"/>
      <c r="L1462" s="100"/>
      <c r="M1462" s="93"/>
      <c r="N1462" s="68"/>
      <c r="O1462" s="115"/>
      <c r="Q1462" s="127"/>
    </row>
    <row r="1463" spans="2:17">
      <c r="B1463" s="150"/>
      <c r="E1463" s="118">
        <f>E1447</f>
        <v>33.650000000000006</v>
      </c>
      <c r="F1463" s="51">
        <f>F1447</f>
        <v>0.14000000000000001</v>
      </c>
      <c r="G1463" s="51">
        <f>G1447</f>
        <v>0.3</v>
      </c>
      <c r="H1463" s="51">
        <f>H1447</f>
        <v>1</v>
      </c>
      <c r="J1463" s="102"/>
      <c r="K1463" s="70">
        <f>E1463*(G1463*2)*H1463</f>
        <v>20.190000000000001</v>
      </c>
      <c r="M1463" s="93"/>
      <c r="N1463" s="68"/>
      <c r="O1463" s="115"/>
      <c r="Q1463" s="127"/>
    </row>
    <row r="1464" spans="2:17">
      <c r="B1464" s="150"/>
      <c r="E1464" s="118"/>
      <c r="J1464" s="102"/>
      <c r="M1464" s="93"/>
      <c r="N1464" s="68"/>
      <c r="O1464" s="115"/>
      <c r="Q1464" s="127"/>
    </row>
    <row r="1465" spans="2:17" ht="21.75" customHeight="1">
      <c r="B1465" s="150"/>
      <c r="C1465" s="16">
        <v>93382</v>
      </c>
      <c r="D1465" s="16" t="s">
        <v>8</v>
      </c>
      <c r="E1465" s="447" t="str">
        <f>IFERROR(VLOOKUP($C1465,'SINAPI JULHO 2018'!$1:$1048576,2,0),IFERROR(VLOOKUP($C1465,'5-COMP. PROPRIA'!$B$13:$I$518,4,0),""))</f>
        <v>REATERRO MANUAL DE VALAS COM COMPACTAÇÃO MECANIZADA. AF_04/2016</v>
      </c>
      <c r="F1465" s="448"/>
      <c r="G1465" s="448"/>
      <c r="H1465" s="448"/>
      <c r="I1465" s="448"/>
      <c r="J1465" s="449"/>
      <c r="K1465" s="184">
        <f>SUM(K1467)</f>
        <v>0.42399000000000009</v>
      </c>
      <c r="L1465" s="58" t="s">
        <v>65</v>
      </c>
      <c r="M1465" s="93"/>
      <c r="N1465" s="68"/>
      <c r="O1465" s="115"/>
      <c r="Q1465" s="127"/>
    </row>
    <row r="1466" spans="2:17" ht="38.25">
      <c r="B1466" s="150"/>
      <c r="E1466" s="79" t="s">
        <v>115</v>
      </c>
      <c r="F1466" s="67" t="s">
        <v>116</v>
      </c>
      <c r="J1466" s="102"/>
      <c r="K1466" s="184"/>
      <c r="M1466" s="93"/>
      <c r="N1466" s="68"/>
      <c r="O1466" s="115"/>
      <c r="Q1466" s="127"/>
    </row>
    <row r="1467" spans="2:17">
      <c r="B1467" s="150"/>
      <c r="E1467" s="112">
        <f>K1437</f>
        <v>1.8372900000000003</v>
      </c>
      <c r="F1467" s="51">
        <f>K1445</f>
        <v>1.4133000000000002</v>
      </c>
      <c r="J1467" s="102"/>
      <c r="K1467" s="70">
        <f>E1467-F1467</f>
        <v>0.42399000000000009</v>
      </c>
      <c r="M1467" s="93"/>
      <c r="N1467" s="68"/>
      <c r="O1467" s="115"/>
      <c r="Q1467" s="127"/>
    </row>
    <row r="1468" spans="2:17">
      <c r="B1468" s="150"/>
      <c r="E1468" s="118"/>
      <c r="J1468" s="102"/>
      <c r="M1468" s="93"/>
      <c r="N1468" s="68"/>
      <c r="O1468" s="115"/>
      <c r="Q1468" s="127"/>
    </row>
    <row r="1469" spans="2:17" ht="39.75" customHeight="1">
      <c r="B1469" s="150"/>
      <c r="C1469" s="16" t="s">
        <v>117</v>
      </c>
      <c r="D1469" s="16" t="s">
        <v>8</v>
      </c>
      <c r="E1469" s="470" t="str">
        <f>IFERROR(VLOOKUP($C1469,'SINAPI JULHO 2018'!$1:$1048576,2,0),IFERROR(VLOOKUP($C1469,'5-COMP. PROPRIA'!$B$13:$I$518,4,0),""))</f>
        <v>IMPERMEABILIZACAO DE ESTRUTURAS ENTERRADAS, COM TINTA ASFALTICA, DUAS DEMAOS.</v>
      </c>
      <c r="F1469" s="471"/>
      <c r="G1469" s="471"/>
      <c r="H1469" s="471"/>
      <c r="I1469" s="471"/>
      <c r="J1469" s="472"/>
      <c r="K1469" s="184">
        <f>K1461+(E1463*F1463)</f>
        <v>24.901000000000003</v>
      </c>
      <c r="L1469" s="57" t="s">
        <v>25</v>
      </c>
      <c r="M1469" s="52"/>
      <c r="N1469" s="68"/>
      <c r="O1469" s="115"/>
      <c r="Q1469" s="127"/>
    </row>
    <row r="1470" spans="2:17">
      <c r="B1470" s="150"/>
      <c r="E1470" s="112"/>
      <c r="J1470" s="102"/>
      <c r="K1470" s="183"/>
      <c r="L1470" s="57"/>
      <c r="M1470" s="93"/>
      <c r="N1470" s="68"/>
      <c r="O1470" s="115"/>
      <c r="Q1470" s="127"/>
    </row>
    <row r="1471" spans="2:17" ht="15">
      <c r="B1471" s="150"/>
      <c r="C1471" s="26">
        <v>72897</v>
      </c>
      <c r="D1471" s="16" t="s">
        <v>8</v>
      </c>
      <c r="E1471" s="447" t="str">
        <f>IFERROR(VLOOKUP($C1471,'SINAPI JULHO 2018'!$1:$1048576,2,0),IFERROR(VLOOKUP($C1471,'5-COMP. PROPRIA'!$B$13:$I$518,4,0),""))</f>
        <v>CARGA MANUAL DE ENTULHO EM CAMINHAO BASCULANTE 6 M3</v>
      </c>
      <c r="F1471" s="448"/>
      <c r="G1471" s="448"/>
      <c r="H1471" s="448"/>
      <c r="I1471" s="448"/>
      <c r="J1471" s="449"/>
      <c r="K1471" s="184">
        <f>SUM(K1473:K1473)</f>
        <v>1.8372900000000003</v>
      </c>
      <c r="L1471" s="58" t="s">
        <v>65</v>
      </c>
      <c r="M1471" s="93"/>
      <c r="N1471" s="68"/>
      <c r="O1471" s="115"/>
      <c r="Q1471" s="127"/>
    </row>
    <row r="1472" spans="2:17" ht="38.25">
      <c r="B1472" s="150"/>
      <c r="E1472" s="79"/>
      <c r="F1472" s="67" t="s">
        <v>116</v>
      </c>
      <c r="G1472" s="17"/>
      <c r="H1472" s="67" t="s">
        <v>119</v>
      </c>
      <c r="J1472" s="220"/>
      <c r="K1472" s="70"/>
      <c r="M1472" s="93"/>
      <c r="N1472" s="68"/>
      <c r="O1472" s="115"/>
      <c r="Q1472" s="127"/>
    </row>
    <row r="1473" spans="2:17">
      <c r="B1473" s="150"/>
      <c r="E1473" s="118"/>
      <c r="F1473" s="17">
        <f>K1445</f>
        <v>1.4133000000000002</v>
      </c>
      <c r="G1473" s="17"/>
      <c r="H1473" s="17">
        <v>1.3</v>
      </c>
      <c r="J1473" s="68"/>
      <c r="K1473" s="70">
        <f>H1473*F1473</f>
        <v>1.8372900000000003</v>
      </c>
      <c r="M1473" s="93"/>
      <c r="N1473" s="68"/>
      <c r="O1473" s="115"/>
      <c r="Q1473" s="127"/>
    </row>
    <row r="1474" spans="2:17">
      <c r="B1474" s="150"/>
      <c r="E1474" s="118"/>
      <c r="F1474" s="17"/>
      <c r="G1474" s="17"/>
      <c r="I1474" s="17"/>
      <c r="J1474" s="68"/>
      <c r="K1474" s="70"/>
      <c r="M1474" s="93"/>
      <c r="N1474" s="68"/>
      <c r="O1474" s="115"/>
      <c r="Q1474" s="127"/>
    </row>
    <row r="1475" spans="2:17" ht="31.5" customHeight="1">
      <c r="B1475" s="150"/>
      <c r="C1475" s="26">
        <v>97914</v>
      </c>
      <c r="D1475" s="16" t="s">
        <v>8</v>
      </c>
      <c r="E1475" s="447" t="str">
        <f>IFERROR(VLOOKUP($C1475,'SINAPI JULHO 2018'!$1:$1048576,2,0),IFERROR(VLOOKUP($C1475,'5-COMP. PROPRIA'!$B$13:$I$518,4,0),""))</f>
        <v>TRANSPORTE COM CAMINHÃO BASCULANTE DE 6 M3, EM VIA URBANA PAVIMENTADA, DMT ATÉ 30 KM (UNIDADE: M3XKM). AF_01/2018</v>
      </c>
      <c r="F1475" s="448"/>
      <c r="G1475" s="448"/>
      <c r="H1475" s="448"/>
      <c r="I1475" s="448"/>
      <c r="J1475" s="449"/>
      <c r="K1475" s="184">
        <f>K1477</f>
        <v>13.779675000000003</v>
      </c>
      <c r="L1475" s="57" t="s">
        <v>78</v>
      </c>
      <c r="M1475" s="93"/>
      <c r="N1475" s="68"/>
      <c r="O1475" s="115"/>
      <c r="Q1475" s="127"/>
    </row>
    <row r="1476" spans="2:17" ht="25.5">
      <c r="B1476" s="150"/>
      <c r="E1476" s="79" t="s">
        <v>80</v>
      </c>
      <c r="H1476" s="67" t="s">
        <v>81</v>
      </c>
      <c r="J1476" s="102"/>
      <c r="M1476" s="93"/>
      <c r="N1476" s="68"/>
      <c r="O1476" s="115"/>
      <c r="Q1476" s="127"/>
    </row>
    <row r="1477" spans="2:17">
      <c r="B1477" s="150"/>
      <c r="E1477" s="79">
        <f>K1471</f>
        <v>1.8372900000000003</v>
      </c>
      <c r="H1477" s="67">
        <v>7.5</v>
      </c>
      <c r="J1477" s="102"/>
      <c r="K1477" s="180">
        <f>E1477*H1477</f>
        <v>13.779675000000003</v>
      </c>
      <c r="M1477" s="93"/>
      <c r="N1477" s="68"/>
      <c r="O1477" s="115"/>
      <c r="Q1477" s="127"/>
    </row>
    <row r="1478" spans="2:17" ht="15">
      <c r="B1478" s="150"/>
      <c r="E1478" s="276"/>
      <c r="F1478" s="221"/>
      <c r="G1478" s="221"/>
      <c r="H1478" s="221"/>
      <c r="I1478" s="221"/>
      <c r="J1478" s="222"/>
      <c r="K1478" s="184"/>
      <c r="M1478" s="93"/>
      <c r="N1478" s="68"/>
      <c r="O1478" s="115"/>
      <c r="Q1478" s="127"/>
    </row>
    <row r="1479" spans="2:17" ht="15">
      <c r="B1479" s="268"/>
      <c r="C1479" s="302"/>
      <c r="D1479" s="302"/>
      <c r="E1479" s="462" t="s">
        <v>125</v>
      </c>
      <c r="F1479" s="463"/>
      <c r="G1479" s="463"/>
      <c r="H1479" s="463"/>
      <c r="I1479" s="463"/>
      <c r="J1479" s="464"/>
      <c r="K1479" s="270"/>
      <c r="L1479" s="303"/>
      <c r="M1479" s="272"/>
      <c r="N1479" s="304"/>
      <c r="O1479" s="115"/>
      <c r="Q1479" s="127"/>
    </row>
    <row r="1480" spans="2:17" ht="15">
      <c r="B1480" s="150"/>
      <c r="C1480" s="16"/>
      <c r="D1480" s="16"/>
      <c r="E1480" s="276"/>
      <c r="F1480" s="221"/>
      <c r="G1480" s="221"/>
      <c r="H1480" s="221"/>
      <c r="I1480" s="221"/>
      <c r="J1480" s="222"/>
      <c r="K1480" s="184"/>
      <c r="L1480" s="57"/>
      <c r="M1480" s="93"/>
      <c r="N1480" s="68"/>
      <c r="O1480" s="115"/>
      <c r="Q1480" s="127"/>
    </row>
    <row r="1481" spans="2:17" ht="15">
      <c r="B1481" s="150"/>
      <c r="C1481" s="16"/>
      <c r="D1481" s="16"/>
      <c r="E1481" s="453" t="s">
        <v>127</v>
      </c>
      <c r="F1481" s="454"/>
      <c r="G1481" s="454"/>
      <c r="H1481" s="454"/>
      <c r="I1481" s="454"/>
      <c r="J1481" s="455"/>
      <c r="K1481" s="183"/>
      <c r="L1481" s="57"/>
      <c r="M1481" s="93"/>
      <c r="N1481" s="68"/>
      <c r="O1481" s="115"/>
      <c r="Q1481" s="127"/>
    </row>
    <row r="1482" spans="2:17">
      <c r="B1482" s="150"/>
      <c r="C1482" s="16"/>
      <c r="D1482" s="16"/>
      <c r="E1482" s="76"/>
      <c r="F1482" s="17"/>
      <c r="G1482" s="17"/>
      <c r="H1482" s="67"/>
      <c r="I1482" s="55"/>
      <c r="J1482" s="121"/>
      <c r="K1482" s="186"/>
      <c r="L1482" s="100"/>
      <c r="M1482" s="122"/>
      <c r="N1482" s="109"/>
      <c r="O1482" s="115"/>
      <c r="Q1482" s="127"/>
    </row>
    <row r="1483" spans="2:17" ht="39" customHeight="1">
      <c r="B1483" s="150"/>
      <c r="C1483" s="16">
        <v>94965</v>
      </c>
      <c r="D1483" s="16" t="s">
        <v>8</v>
      </c>
      <c r="E1483" s="447" t="str">
        <f>IFERROR(VLOOKUP($C1483,'SINAPI JULHO 2018'!$1:$1048576,2,0),IFERROR(VLOOKUP($C1483,'5-COMP. PROPRIA'!$B$13:$I$518,4,0),""))</f>
        <v>CONCRETO FCK = 25MPA, TRAÇO 1:2,3:2,7 (CIMENTO/ AREIA MÉDIA/ BRITA 1)  - PREPARO MECÂNICO COM BETONEIRA 400 L. AF_07/2016</v>
      </c>
      <c r="F1483" s="448"/>
      <c r="G1483" s="448"/>
      <c r="H1483" s="448"/>
      <c r="I1483" s="448"/>
      <c r="J1483" s="449"/>
      <c r="K1483" s="184">
        <f>K1485+K1486</f>
        <v>1.4742000000000004</v>
      </c>
      <c r="L1483" s="57" t="s">
        <v>65</v>
      </c>
      <c r="N1483" s="109"/>
      <c r="O1483" s="115"/>
      <c r="Q1483" s="127"/>
    </row>
    <row r="1484" spans="2:17" ht="25.5">
      <c r="B1484" s="150"/>
      <c r="C1484" s="16"/>
      <c r="D1484" s="16"/>
      <c r="E1484" s="76" t="s">
        <v>68</v>
      </c>
      <c r="F1484" s="17" t="s">
        <v>107</v>
      </c>
      <c r="G1484" s="17" t="s">
        <v>108</v>
      </c>
      <c r="H1484" s="67" t="s">
        <v>47</v>
      </c>
      <c r="I1484" s="55" t="s">
        <v>128</v>
      </c>
      <c r="J1484" s="121"/>
      <c r="K1484" s="186"/>
      <c r="L1484" s="100"/>
      <c r="M1484" s="122"/>
      <c r="N1484" s="109"/>
      <c r="O1484" s="115"/>
      <c r="Q1484" s="127"/>
    </row>
    <row r="1485" spans="2:17">
      <c r="B1485" s="150" t="s">
        <v>261</v>
      </c>
      <c r="C1485" s="16"/>
      <c r="D1485" s="16"/>
      <c r="E1485" s="111">
        <v>0.14000000000000001</v>
      </c>
      <c r="F1485" s="74">
        <v>0.26</v>
      </c>
      <c r="G1485" s="105">
        <f>0.6+2.7</f>
        <v>3.3000000000000003</v>
      </c>
      <c r="H1485" s="74">
        <v>10</v>
      </c>
      <c r="I1485" s="17">
        <f>H1485*G1485</f>
        <v>33</v>
      </c>
      <c r="J1485" s="89"/>
      <c r="K1485" s="70">
        <f>H1485*F1485*G1485*E1485</f>
        <v>1.2012000000000003</v>
      </c>
      <c r="L1485" s="57"/>
      <c r="N1485" s="109"/>
      <c r="O1485" s="115"/>
      <c r="Q1485" s="127"/>
    </row>
    <row r="1486" spans="2:17" ht="25.5">
      <c r="B1486" s="150" t="s">
        <v>262</v>
      </c>
      <c r="C1486" s="16"/>
      <c r="D1486" s="16"/>
      <c r="E1486" s="111">
        <v>0.14000000000000001</v>
      </c>
      <c r="F1486" s="74">
        <v>0.26</v>
      </c>
      <c r="G1486" s="105">
        <f>1.2+0.3</f>
        <v>1.5</v>
      </c>
      <c r="H1486" s="74">
        <v>5</v>
      </c>
      <c r="I1486" s="17">
        <f>H1486*G1486</f>
        <v>7.5</v>
      </c>
      <c r="J1486" s="89"/>
      <c r="K1486" s="70">
        <f>H1486*F1486*G1486*E1486</f>
        <v>0.27300000000000008</v>
      </c>
      <c r="L1486" s="57"/>
      <c r="N1486" s="109"/>
      <c r="O1486" s="115"/>
      <c r="Q1486" s="127"/>
    </row>
    <row r="1487" spans="2:17">
      <c r="B1487" s="150"/>
      <c r="C1487" s="16"/>
      <c r="D1487" s="17"/>
      <c r="E1487" s="112"/>
      <c r="F1487" s="17"/>
      <c r="G1487" s="17"/>
      <c r="H1487" s="17"/>
      <c r="I1487" s="17"/>
      <c r="J1487" s="89"/>
      <c r="K1487" s="70"/>
      <c r="L1487" s="57"/>
      <c r="N1487" s="109"/>
      <c r="O1487" s="115"/>
      <c r="Q1487" s="127"/>
    </row>
    <row r="1488" spans="2:17" ht="33.75" customHeight="1">
      <c r="B1488" s="150"/>
      <c r="C1488" s="16">
        <v>92873</v>
      </c>
      <c r="D1488" s="16" t="s">
        <v>8</v>
      </c>
      <c r="E1488" s="447" t="str">
        <f>IFERROR(VLOOKUP($C1488,'SINAPI JULHO 2018'!$1:$1048576,2,0),IFERROR(VLOOKUP($C1488,'5-COMP. PROPRIA'!$B$13:$I$518,4,0),""))</f>
        <v>LANÇAMENTO COM USO DE BALDES, ADENSAMENTO E ACABAMENTO DE CONCRETO EM ESTRUTURAS. AF_12/2015</v>
      </c>
      <c r="F1488" s="448"/>
      <c r="G1488" s="448"/>
      <c r="H1488" s="448"/>
      <c r="I1488" s="448"/>
      <c r="J1488" s="449"/>
      <c r="K1488" s="184">
        <f>K1483</f>
        <v>1.4742000000000004</v>
      </c>
      <c r="L1488" s="57" t="s">
        <v>65</v>
      </c>
      <c r="N1488" s="109"/>
      <c r="O1488" s="115"/>
      <c r="Q1488" s="127"/>
    </row>
    <row r="1489" spans="2:17">
      <c r="B1489" s="150"/>
      <c r="C1489" s="16"/>
      <c r="D1489" s="16"/>
      <c r="E1489" s="112"/>
      <c r="F1489" s="17"/>
      <c r="G1489" s="17"/>
      <c r="H1489" s="17"/>
      <c r="I1489" s="17"/>
      <c r="J1489" s="89"/>
      <c r="K1489" s="70"/>
      <c r="L1489" s="57"/>
      <c r="N1489" s="109"/>
      <c r="O1489" s="115"/>
      <c r="Q1489" s="127"/>
    </row>
    <row r="1490" spans="2:17" ht="54.75" customHeight="1">
      <c r="B1490" s="150"/>
      <c r="C1490" s="16">
        <v>92775</v>
      </c>
      <c r="D1490" s="16" t="s">
        <v>8</v>
      </c>
      <c r="E1490" s="470" t="str">
        <f>IFERROR(VLOOKUP($C1490,'SINAPI JULHO 2018'!$1:$1048576,2,0),IFERROR(VLOOKUP($C1490,'5-COMP. PROPRIA'!$B$13:$I$518,4,0),""))</f>
        <v>ARMAÇÃO DE PILAR OU VIGA DE UMA ESTRUTURA CONVENCIONAL DE CONCRETO ARMADO EM UMA EDIFICAÇÃO TÉRREA OU SOBRADO UTILIZANDO AÇO CA-60 DE 5,0 MM - MONTAGEM. AF_12/2015</v>
      </c>
      <c r="F1490" s="471"/>
      <c r="G1490" s="471"/>
      <c r="H1490" s="471"/>
      <c r="I1490" s="471"/>
      <c r="J1490" s="472"/>
      <c r="K1490" s="184">
        <f>SUM(K1493:K1494)</f>
        <v>27.452823750000007</v>
      </c>
      <c r="L1490" s="57" t="s">
        <v>92</v>
      </c>
      <c r="M1490" s="52">
        <v>0</v>
      </c>
      <c r="N1490" s="68" t="s">
        <v>92</v>
      </c>
      <c r="O1490" s="115"/>
      <c r="Q1490" s="127"/>
    </row>
    <row r="1491" spans="2:17">
      <c r="B1491" s="150"/>
      <c r="C1491" s="16"/>
      <c r="D1491" s="16"/>
      <c r="E1491" s="112"/>
      <c r="F1491" s="17"/>
      <c r="G1491" s="17"/>
      <c r="H1491" s="70" t="s">
        <v>112</v>
      </c>
      <c r="I1491" s="69">
        <f>K1490/K1483</f>
        <v>18.622184065934064</v>
      </c>
      <c r="J1491" s="89"/>
      <c r="K1491" s="70"/>
      <c r="L1491" s="57"/>
      <c r="M1491" s="93"/>
      <c r="N1491" s="68"/>
      <c r="O1491" s="115"/>
      <c r="Q1491" s="127"/>
    </row>
    <row r="1492" spans="2:17" ht="25.5">
      <c r="B1492" s="150" t="s">
        <v>113</v>
      </c>
      <c r="C1492" s="16"/>
      <c r="D1492" s="16"/>
      <c r="E1492" s="79" t="s">
        <v>93</v>
      </c>
      <c r="F1492" s="67" t="s">
        <v>106</v>
      </c>
      <c r="G1492" s="67" t="s">
        <v>94</v>
      </c>
      <c r="H1492" s="67" t="s">
        <v>95</v>
      </c>
      <c r="I1492" s="67" t="s">
        <v>54</v>
      </c>
      <c r="J1492" s="89"/>
      <c r="K1492" s="70"/>
      <c r="L1492" s="57"/>
      <c r="M1492" s="93"/>
      <c r="N1492" s="68"/>
      <c r="O1492" s="115"/>
      <c r="Q1492" s="127"/>
    </row>
    <row r="1493" spans="2:17">
      <c r="B1493" s="150" t="str">
        <f>B1485</f>
        <v>PILAR TIPO 01 (TOCO 0,6 + PILAR 2,7)</v>
      </c>
      <c r="C1493" s="16"/>
      <c r="D1493" s="16"/>
      <c r="E1493" s="111">
        <v>5</v>
      </c>
      <c r="F1493" s="17">
        <f>(E1485-0.06)*2+(F1485-0.06)*2+0.1</f>
        <v>0.66</v>
      </c>
      <c r="G1493" s="17">
        <f>I1485/0.15</f>
        <v>220</v>
      </c>
      <c r="H1493" s="17">
        <f>((E1493/1000)*(E1493/1000)*3.14*0.25)*7850</f>
        <v>0.15405625000000003</v>
      </c>
      <c r="I1493" s="17">
        <v>1</v>
      </c>
      <c r="J1493" s="89"/>
      <c r="K1493" s="70">
        <f>G1493*H1493*F1493*I1493</f>
        <v>22.368967500000007</v>
      </c>
      <c r="L1493" s="57"/>
      <c r="M1493" s="93"/>
      <c r="N1493" s="68"/>
      <c r="O1493" s="115"/>
      <c r="Q1493" s="127"/>
    </row>
    <row r="1494" spans="2:17" ht="25.5">
      <c r="B1494" s="150" t="str">
        <f>B1486</f>
        <v>TOCO PLATIBANDA DE 1,2 M NA PAREDE QUE ENTRA EM CONTATO COM O MURO</v>
      </c>
      <c r="C1494" s="16"/>
      <c r="D1494" s="16"/>
      <c r="E1494" s="111">
        <v>5</v>
      </c>
      <c r="F1494" s="17">
        <f>(E1486-0.06)*2+(F1486-0.06)*2+0.1</f>
        <v>0.66</v>
      </c>
      <c r="G1494" s="17">
        <f>I1486/0.15</f>
        <v>50</v>
      </c>
      <c r="H1494" s="17">
        <f>((E1494/1000)*(E1494/1000)*3.14*0.25)*7850</f>
        <v>0.15405625000000003</v>
      </c>
      <c r="I1494" s="17">
        <v>1</v>
      </c>
      <c r="J1494" s="89"/>
      <c r="K1494" s="70">
        <f>G1494*H1494*F1494*I1494</f>
        <v>5.083856250000002</v>
      </c>
      <c r="L1494" s="57"/>
      <c r="M1494" s="93"/>
      <c r="N1494" s="68"/>
      <c r="O1494" s="115"/>
      <c r="Q1494" s="127"/>
    </row>
    <row r="1495" spans="2:17">
      <c r="B1495" s="150"/>
      <c r="C1495" s="16"/>
      <c r="D1495" s="16"/>
      <c r="E1495" s="112"/>
      <c r="F1495" s="17"/>
      <c r="G1495" s="17"/>
      <c r="H1495" s="17"/>
      <c r="I1495" s="17"/>
      <c r="J1495" s="89"/>
      <c r="K1495" s="70"/>
      <c r="L1495" s="57"/>
      <c r="M1495" s="93"/>
      <c r="N1495" s="68"/>
      <c r="O1495" s="115"/>
      <c r="Q1495" s="127"/>
    </row>
    <row r="1496" spans="2:17" ht="61.5" customHeight="1">
      <c r="B1496" s="150"/>
      <c r="C1496" s="16">
        <v>92778</v>
      </c>
      <c r="D1496" s="16" t="s">
        <v>8</v>
      </c>
      <c r="E1496" s="447" t="str">
        <f>IFERROR(VLOOKUP($C1496,'SINAPI JULHO 2018'!$1:$1048576,2,0),IFERROR(VLOOKUP($C1496,'5-COMP. PROPRIA'!$B$13:$I$518,4,0),""))</f>
        <v>ARMAÇÃO DE PILAR OU VIGA DE UMA ESTRUTURA CONVENCIONAL DE CONCRETO ARMADO EM UMA EDIFICAÇÃO TÉRREA OU SOBRADO UTILIZANDO AÇO CA-50 DE 10,0 MM - MONTAGEM. AF_12/2015</v>
      </c>
      <c r="F1496" s="448"/>
      <c r="G1496" s="448"/>
      <c r="H1496" s="448"/>
      <c r="I1496" s="448"/>
      <c r="J1496" s="449"/>
      <c r="K1496" s="184">
        <f>SUM(K1499:K1500)</f>
        <v>99.828450000000032</v>
      </c>
      <c r="L1496" s="57" t="s">
        <v>92</v>
      </c>
      <c r="M1496" s="52">
        <v>0</v>
      </c>
      <c r="N1496" s="68" t="s">
        <v>92</v>
      </c>
      <c r="O1496" s="115"/>
      <c r="Q1496" s="127"/>
    </row>
    <row r="1497" spans="2:17">
      <c r="B1497" s="150"/>
      <c r="C1497" s="16"/>
      <c r="D1497" s="16"/>
      <c r="E1497" s="112"/>
      <c r="F1497" s="17"/>
      <c r="G1497" s="17"/>
      <c r="H1497" s="70" t="s">
        <v>112</v>
      </c>
      <c r="I1497" s="69">
        <f>K1496/K1483</f>
        <v>67.717032967032964</v>
      </c>
      <c r="J1497" s="89"/>
      <c r="K1497" s="70"/>
      <c r="L1497" s="57"/>
      <c r="M1497" s="93"/>
      <c r="N1497" s="109"/>
      <c r="O1497" s="115"/>
      <c r="Q1497" s="127"/>
    </row>
    <row r="1498" spans="2:17" ht="25.5">
      <c r="B1498" s="150" t="s">
        <v>113</v>
      </c>
      <c r="C1498" s="16"/>
      <c r="D1498" s="16"/>
      <c r="E1498" s="79" t="s">
        <v>93</v>
      </c>
      <c r="F1498" s="67" t="s">
        <v>106</v>
      </c>
      <c r="G1498" s="67" t="s">
        <v>94</v>
      </c>
      <c r="H1498" s="67" t="s">
        <v>95</v>
      </c>
      <c r="I1498" s="67" t="s">
        <v>54</v>
      </c>
      <c r="J1498" s="89"/>
      <c r="K1498" s="70"/>
      <c r="L1498" s="57"/>
      <c r="M1498" s="93"/>
      <c r="N1498" s="68"/>
      <c r="O1498" s="115"/>
      <c r="Q1498" s="127"/>
    </row>
    <row r="1499" spans="2:17">
      <c r="B1499" s="150" t="str">
        <f>B1493</f>
        <v>PILAR TIPO 01 (TOCO 0,6 + PILAR 2,7)</v>
      </c>
      <c r="C1499" s="16"/>
      <c r="D1499" s="16"/>
      <c r="E1499" s="111">
        <v>10</v>
      </c>
      <c r="F1499" s="17">
        <f>G1485</f>
        <v>3.3000000000000003</v>
      </c>
      <c r="G1499" s="17">
        <v>4</v>
      </c>
      <c r="H1499" s="17">
        <f>((E1499/1000)*(E1499/1000)*3.14*0.25)*7850</f>
        <v>0.61622500000000013</v>
      </c>
      <c r="I1499" s="17">
        <f>H1485</f>
        <v>10</v>
      </c>
      <c r="J1499" s="89"/>
      <c r="K1499" s="70">
        <f>G1499*H1499*F1499*I1499</f>
        <v>81.341700000000031</v>
      </c>
      <c r="L1499" s="57"/>
      <c r="M1499" s="93"/>
      <c r="N1499" s="68"/>
      <c r="O1499" s="115"/>
      <c r="Q1499" s="127"/>
    </row>
    <row r="1500" spans="2:17" ht="25.5">
      <c r="B1500" s="150" t="str">
        <f>B1494</f>
        <v>TOCO PLATIBANDA DE 1,2 M NA PAREDE QUE ENTRA EM CONTATO COM O MURO</v>
      </c>
      <c r="C1500" s="16"/>
      <c r="D1500" s="16"/>
      <c r="E1500" s="111">
        <v>10</v>
      </c>
      <c r="F1500" s="17">
        <f>G1486</f>
        <v>1.5</v>
      </c>
      <c r="G1500" s="17">
        <v>4</v>
      </c>
      <c r="H1500" s="17">
        <f>((E1500/1000)*(E1500/1000)*3.14*0.25)*7850</f>
        <v>0.61622500000000013</v>
      </c>
      <c r="I1500" s="17">
        <f>H1486</f>
        <v>5</v>
      </c>
      <c r="J1500" s="89"/>
      <c r="K1500" s="70">
        <f>G1500*H1500*F1500*I1500</f>
        <v>18.486750000000004</v>
      </c>
      <c r="L1500" s="57"/>
      <c r="M1500" s="93"/>
      <c r="N1500" s="68"/>
      <c r="O1500" s="115"/>
      <c r="Q1500" s="127"/>
    </row>
    <row r="1501" spans="2:17">
      <c r="B1501" s="150"/>
      <c r="C1501" s="16"/>
      <c r="D1501" s="16"/>
      <c r="E1501" s="112"/>
      <c r="F1501" s="17"/>
      <c r="G1501" s="17"/>
      <c r="H1501" s="17"/>
      <c r="I1501" s="17"/>
      <c r="J1501" s="89"/>
      <c r="K1501" s="70"/>
      <c r="L1501" s="57"/>
      <c r="M1501" s="93"/>
      <c r="N1501" s="109"/>
      <c r="O1501" s="115"/>
      <c r="Q1501" s="127"/>
    </row>
    <row r="1502" spans="2:17" ht="63.75" customHeight="1">
      <c r="B1502" s="150"/>
      <c r="C1502" s="16">
        <v>92412</v>
      </c>
      <c r="D1502" s="16" t="s">
        <v>8</v>
      </c>
      <c r="E1502" s="447" t="str">
        <f>IFERROR(VLOOKUP($C1502,'SINAPI JULHO 2018'!$1:$1048576,2,0),IFERROR(VLOOKUP($C1502,'5-COMP. PROPRIA'!$B$13:$I$518,4,0),""))</f>
        <v>MONTAGEM E DESMONTAGEM DE FÔRMA DE PILARES RETANGULARES E ESTRUTURAS SIMILARES COM ÁREA MÉDIA DAS SEÇÕES MENOR OU IGUAL A 0,25 M², PÉ-DIREITO SIMPLES, EM MADEIRA SERRADA, 4 UTILIZAÇÕES. AF_12/2015</v>
      </c>
      <c r="F1502" s="448"/>
      <c r="G1502" s="448"/>
      <c r="H1502" s="448"/>
      <c r="I1502" s="448"/>
      <c r="J1502" s="449"/>
      <c r="K1502" s="184">
        <f>K1504+K1505</f>
        <v>32.400000000000006</v>
      </c>
      <c r="L1502" s="57" t="s">
        <v>25</v>
      </c>
      <c r="N1502" s="109"/>
      <c r="O1502" s="115"/>
      <c r="Q1502" s="127"/>
    </row>
    <row r="1503" spans="2:17" ht="25.5">
      <c r="B1503" s="150"/>
      <c r="C1503" s="16"/>
      <c r="D1503" s="16"/>
      <c r="E1503" s="76" t="s">
        <v>68</v>
      </c>
      <c r="F1503" s="17" t="s">
        <v>107</v>
      </c>
      <c r="G1503" s="17" t="s">
        <v>108</v>
      </c>
      <c r="H1503" s="67" t="s">
        <v>47</v>
      </c>
      <c r="I1503" s="55"/>
      <c r="J1503" s="121"/>
      <c r="K1503" s="186"/>
      <c r="L1503" s="57"/>
      <c r="N1503" s="109"/>
      <c r="O1503" s="115"/>
      <c r="Q1503" s="127"/>
    </row>
    <row r="1504" spans="2:17">
      <c r="B1504" s="150" t="str">
        <f>B1499</f>
        <v>PILAR TIPO 01 (TOCO 0,6 + PILAR 2,7)</v>
      </c>
      <c r="C1504" s="16"/>
      <c r="D1504" s="16"/>
      <c r="E1504" s="112">
        <f t="shared" ref="E1504:G1505" si="23">E1485</f>
        <v>0.14000000000000001</v>
      </c>
      <c r="F1504" s="57">
        <f t="shared" si="23"/>
        <v>0.26</v>
      </c>
      <c r="G1504" s="57">
        <f t="shared" si="23"/>
        <v>3.3000000000000003</v>
      </c>
      <c r="H1504" s="57">
        <f>I1499</f>
        <v>10</v>
      </c>
      <c r="I1504" s="17"/>
      <c r="J1504" s="89"/>
      <c r="K1504" s="70">
        <f>(E1504*2+F1504*2)*G1504*H1504</f>
        <v>26.400000000000006</v>
      </c>
      <c r="L1504" s="57"/>
      <c r="N1504" s="109"/>
      <c r="O1504" s="115"/>
      <c r="Q1504" s="127"/>
    </row>
    <row r="1505" spans="2:17" ht="25.5">
      <c r="B1505" s="150" t="str">
        <f>B1500</f>
        <v>TOCO PLATIBANDA DE 1,2 M NA PAREDE QUE ENTRA EM CONTATO COM O MURO</v>
      </c>
      <c r="C1505" s="16"/>
      <c r="D1505" s="16"/>
      <c r="E1505" s="112">
        <f t="shared" si="23"/>
        <v>0.14000000000000001</v>
      </c>
      <c r="F1505" s="57">
        <f t="shared" si="23"/>
        <v>0.26</v>
      </c>
      <c r="G1505" s="57">
        <f t="shared" si="23"/>
        <v>1.5</v>
      </c>
      <c r="H1505" s="57">
        <f>I1500</f>
        <v>5</v>
      </c>
      <c r="I1505" s="17"/>
      <c r="J1505" s="89"/>
      <c r="K1505" s="70">
        <f>(E1505*2+F1505*2)*G1505*H1505</f>
        <v>6.0000000000000009</v>
      </c>
      <c r="L1505" s="57"/>
      <c r="N1505" s="109"/>
      <c r="O1505" s="115"/>
      <c r="Q1505" s="127"/>
    </row>
    <row r="1506" spans="2:17" ht="15">
      <c r="B1506" s="150"/>
      <c r="C1506" s="16"/>
      <c r="D1506" s="16"/>
      <c r="E1506" s="276"/>
      <c r="F1506" s="221"/>
      <c r="G1506" s="221"/>
      <c r="H1506" s="221"/>
      <c r="I1506" s="221"/>
      <c r="J1506" s="222"/>
      <c r="K1506" s="184"/>
      <c r="L1506" s="57"/>
      <c r="M1506" s="93"/>
      <c r="N1506" s="68"/>
      <c r="O1506" s="115"/>
      <c r="Q1506" s="127"/>
    </row>
    <row r="1507" spans="2:17" ht="15">
      <c r="B1507" s="150"/>
      <c r="C1507" s="16"/>
      <c r="D1507" s="16"/>
      <c r="E1507" s="453" t="s">
        <v>133</v>
      </c>
      <c r="F1507" s="454"/>
      <c r="G1507" s="454"/>
      <c r="H1507" s="454"/>
      <c r="I1507" s="454"/>
      <c r="J1507" s="455"/>
      <c r="K1507" s="70"/>
      <c r="L1507" s="57"/>
      <c r="N1507" s="109"/>
      <c r="O1507" s="115"/>
      <c r="Q1507" s="127"/>
    </row>
    <row r="1508" spans="2:17">
      <c r="B1508" s="150"/>
      <c r="E1508" s="118"/>
      <c r="F1508" s="58"/>
      <c r="G1508" s="58"/>
      <c r="J1508" s="102"/>
      <c r="K1508" s="70"/>
      <c r="N1508" s="104"/>
      <c r="O1508" s="115"/>
      <c r="Q1508" s="127"/>
    </row>
    <row r="1509" spans="2:17" ht="31.5" customHeight="1">
      <c r="B1509" s="150"/>
      <c r="C1509" s="26">
        <v>94965</v>
      </c>
      <c r="D1509" s="16" t="s">
        <v>8</v>
      </c>
      <c r="E1509" s="447" t="str">
        <f>IFERROR(VLOOKUP($C1509,'SINAPI JULHO 2018'!$1:$1048576,2,0),IFERROR(VLOOKUP($C1509,'5-COMP. PROPRIA'!$B$13:$I$518,4,0),""))</f>
        <v>CONCRETO FCK = 25MPA, TRAÇO 1:2,3:2,7 (CIMENTO/ AREIA MÉDIA/ BRITA 1)  - PREPARO MECÂNICO COM BETONEIRA 400 L. AF_07/2016</v>
      </c>
      <c r="F1509" s="448"/>
      <c r="G1509" s="448"/>
      <c r="H1509" s="448"/>
      <c r="I1509" s="448"/>
      <c r="J1509" s="449"/>
      <c r="K1509" s="184">
        <f>SUM(K1511:K1511)</f>
        <v>0.99959999999999993</v>
      </c>
      <c r="L1509" s="58" t="s">
        <v>65</v>
      </c>
      <c r="N1509" s="104"/>
      <c r="O1509" s="115"/>
      <c r="Q1509" s="127"/>
    </row>
    <row r="1510" spans="2:17" ht="25.5">
      <c r="B1510" s="150"/>
      <c r="E1510" s="76" t="s">
        <v>106</v>
      </c>
      <c r="F1510" s="17" t="s">
        <v>107</v>
      </c>
      <c r="G1510" s="17" t="s">
        <v>108</v>
      </c>
      <c r="H1510" s="67" t="s">
        <v>47</v>
      </c>
      <c r="I1510" s="221"/>
      <c r="J1510" s="222"/>
      <c r="K1510" s="183"/>
      <c r="N1510" s="104"/>
      <c r="O1510" s="115"/>
      <c r="Q1510" s="127"/>
    </row>
    <row r="1511" spans="2:17">
      <c r="B1511" s="150"/>
      <c r="E1511" s="111">
        <f>1.93+2.1+2.04+2.04+3.67+2.1+2.04+2.04+2.05+3.79</f>
        <v>23.799999999999997</v>
      </c>
      <c r="F1511" s="74">
        <v>0.14000000000000001</v>
      </c>
      <c r="G1511" s="74">
        <v>0.3</v>
      </c>
      <c r="H1511" s="74">
        <v>1</v>
      </c>
      <c r="J1511" s="102"/>
      <c r="K1511" s="70">
        <f>E1511*F1511*G1511*H1511</f>
        <v>0.99959999999999993</v>
      </c>
      <c r="N1511" s="104"/>
      <c r="O1511" s="115"/>
      <c r="Q1511" s="127"/>
    </row>
    <row r="1512" spans="2:17">
      <c r="B1512" s="150"/>
      <c r="E1512" s="112"/>
      <c r="J1512" s="102"/>
      <c r="K1512" s="183"/>
      <c r="N1512" s="104"/>
      <c r="O1512" s="115"/>
      <c r="Q1512" s="127"/>
    </row>
    <row r="1513" spans="2:17" ht="15">
      <c r="B1513" s="150"/>
      <c r="C1513" s="26" t="s">
        <v>111</v>
      </c>
      <c r="D1513" s="16" t="s">
        <v>8</v>
      </c>
      <c r="E1513" s="447" t="str">
        <f>IFERROR(VLOOKUP($C1513,'SINAPI JULHO 2018'!$1:$1048576,2,0),IFERROR(VLOOKUP($C1513,'5-COMP. PROPRIA'!$B$13:$I$518,4,0),""))</f>
        <v>LANCAMENTO/APLICACAO MANUAL DE CONCRETO EM FUNDACOES</v>
      </c>
      <c r="F1513" s="448"/>
      <c r="G1513" s="448"/>
      <c r="H1513" s="448"/>
      <c r="I1513" s="448"/>
      <c r="J1513" s="449"/>
      <c r="K1513" s="184">
        <f>K1509</f>
        <v>0.99959999999999993</v>
      </c>
      <c r="L1513" s="58" t="s">
        <v>65</v>
      </c>
      <c r="N1513" s="104"/>
      <c r="O1513" s="115"/>
      <c r="Q1513" s="127"/>
    </row>
    <row r="1514" spans="2:17">
      <c r="B1514" s="150"/>
      <c r="E1514" s="118"/>
      <c r="F1514" s="58"/>
      <c r="G1514" s="58"/>
      <c r="J1514" s="102"/>
      <c r="K1514" s="70"/>
      <c r="N1514" s="104"/>
      <c r="O1514" s="115"/>
      <c r="Q1514" s="127"/>
    </row>
    <row r="1515" spans="2:17" ht="48" customHeight="1">
      <c r="B1515" s="150"/>
      <c r="C1515" s="26">
        <v>92775</v>
      </c>
      <c r="D1515" s="16" t="s">
        <v>8</v>
      </c>
      <c r="E1515" s="470" t="str">
        <f>IFERROR(VLOOKUP($C1515,'SINAPI JULHO 2018'!$1:$1048576,2,0),IFERROR(VLOOKUP($C1515,'5-COMP. PROPRIA'!$B$13:$I$518,4,0),""))</f>
        <v>ARMAÇÃO DE PILAR OU VIGA DE UMA ESTRUTURA CONVENCIONAL DE CONCRETO ARMADO EM UMA EDIFICAÇÃO TÉRREA OU SOBRADO UTILIZANDO AÇO CA-60 DE 5,0 MM - MONTAGEM. AF_12/2015</v>
      </c>
      <c r="F1515" s="471"/>
      <c r="G1515" s="471"/>
      <c r="H1515" s="471"/>
      <c r="I1515" s="471"/>
      <c r="J1515" s="472"/>
      <c r="K1515" s="184">
        <f>SUM(K1518:K1518)</f>
        <v>13.566193375000001</v>
      </c>
      <c r="L1515" s="58" t="s">
        <v>92</v>
      </c>
      <c r="M1515" s="52">
        <v>0</v>
      </c>
      <c r="N1515" s="68" t="s">
        <v>92</v>
      </c>
      <c r="O1515" s="115"/>
      <c r="Q1515" s="127"/>
    </row>
    <row r="1516" spans="2:17">
      <c r="B1516" s="150"/>
      <c r="E1516" s="118"/>
      <c r="H1516" s="70" t="s">
        <v>112</v>
      </c>
      <c r="I1516" s="69">
        <f>K1515/K1509</f>
        <v>13.571622023809526</v>
      </c>
      <c r="J1516" s="102"/>
      <c r="K1516" s="70"/>
      <c r="M1516" s="93"/>
      <c r="N1516" s="68"/>
      <c r="O1516" s="115"/>
      <c r="Q1516" s="127"/>
    </row>
    <row r="1517" spans="2:17">
      <c r="B1517" s="150"/>
      <c r="E1517" s="79" t="s">
        <v>93</v>
      </c>
      <c r="F1517" s="67" t="s">
        <v>106</v>
      </c>
      <c r="G1517" s="67" t="s">
        <v>94</v>
      </c>
      <c r="H1517" s="61" t="s">
        <v>95</v>
      </c>
      <c r="I1517" s="67" t="s">
        <v>54</v>
      </c>
      <c r="J1517" s="102"/>
      <c r="K1517" s="70"/>
      <c r="M1517" s="93"/>
      <c r="N1517" s="68"/>
      <c r="O1517" s="115"/>
      <c r="Q1517" s="127"/>
    </row>
    <row r="1518" spans="2:17">
      <c r="B1518" s="150"/>
      <c r="E1518" s="101">
        <v>5</v>
      </c>
      <c r="F1518" s="51">
        <f>(F1511-0.06)*2+(G1511-0.06)*2+0.1</f>
        <v>0.74</v>
      </c>
      <c r="G1518" s="51">
        <f>E1511/0.2</f>
        <v>118.99999999999999</v>
      </c>
      <c r="H1518" s="51">
        <f>((E1518/1000)*(E1518/1000)*3.14*0.25)*7850</f>
        <v>0.15405625000000003</v>
      </c>
      <c r="I1518" s="51">
        <v>1</v>
      </c>
      <c r="J1518" s="102"/>
      <c r="K1518" s="70">
        <f>G1518*H1518*F1518*I1518</f>
        <v>13.566193375000001</v>
      </c>
      <c r="M1518" s="93"/>
      <c r="N1518" s="68"/>
      <c r="O1518" s="115"/>
      <c r="Q1518" s="127"/>
    </row>
    <row r="1519" spans="2:17">
      <c r="B1519" s="150"/>
      <c r="E1519" s="118"/>
      <c r="F1519" s="58"/>
      <c r="G1519" s="58"/>
      <c r="J1519" s="102"/>
      <c r="K1519" s="70"/>
      <c r="N1519" s="104"/>
      <c r="O1519" s="115"/>
      <c r="Q1519" s="127"/>
    </row>
    <row r="1520" spans="2:17" ht="55.5" customHeight="1">
      <c r="B1520" s="150"/>
      <c r="C1520" s="26">
        <v>92761</v>
      </c>
      <c r="D1520" s="16" t="s">
        <v>8</v>
      </c>
      <c r="E1520" s="447" t="str">
        <f>IFERROR(VLOOKUP($C1520,'SINAPI JULHO 2018'!$1:$1048576,2,0),IFERROR(VLOOKUP($C1520,'5-COMP. PROPRIA'!$B$13:$I$518,4,0),""))</f>
        <v>ARMAÇÃO DE PILAR OU VIGA DE UMA ESTRUTURA CONVENCIONAL DE CONCRETO ARMADO EM UM EDIFÍCIO DE MÚLTIPLOS PAVIMENTOS UTILIZANDO AÇO CA-50 DE 8,0 MM - MONTAGEM. AF_12/2015</v>
      </c>
      <c r="F1520" s="448"/>
      <c r="G1520" s="448"/>
      <c r="H1520" s="448"/>
      <c r="I1520" s="448"/>
      <c r="J1520" s="449"/>
      <c r="K1520" s="184">
        <f>SUM(K1523:K1523)</f>
        <v>37.545356799999993</v>
      </c>
      <c r="L1520" s="58" t="s">
        <v>92</v>
      </c>
      <c r="M1520" s="52">
        <v>0</v>
      </c>
      <c r="N1520" s="68" t="s">
        <v>92</v>
      </c>
      <c r="O1520" s="115"/>
      <c r="Q1520" s="127"/>
    </row>
    <row r="1521" spans="2:17">
      <c r="B1521" s="150"/>
      <c r="E1521" s="118"/>
      <c r="H1521" s="70" t="s">
        <v>112</v>
      </c>
      <c r="I1521" s="69">
        <f>K1520/K1511</f>
        <v>37.560380952380946</v>
      </c>
      <c r="J1521" s="102"/>
      <c r="K1521" s="70"/>
      <c r="M1521" s="93"/>
      <c r="N1521" s="68"/>
      <c r="O1521" s="115"/>
      <c r="Q1521" s="127"/>
    </row>
    <row r="1522" spans="2:17">
      <c r="B1522" s="150"/>
      <c r="E1522" s="79" t="s">
        <v>93</v>
      </c>
      <c r="F1522" s="67" t="s">
        <v>106</v>
      </c>
      <c r="G1522" s="67" t="s">
        <v>94</v>
      </c>
      <c r="H1522" s="61" t="s">
        <v>95</v>
      </c>
      <c r="I1522" s="67" t="s">
        <v>54</v>
      </c>
      <c r="J1522" s="102"/>
      <c r="K1522" s="70"/>
      <c r="M1522" s="93"/>
      <c r="N1522" s="68"/>
      <c r="O1522" s="115"/>
      <c r="Q1522" s="127"/>
    </row>
    <row r="1523" spans="2:17">
      <c r="B1523" s="150"/>
      <c r="E1523" s="101">
        <v>8</v>
      </c>
      <c r="F1523" s="51">
        <f>E1511</f>
        <v>23.799999999999997</v>
      </c>
      <c r="G1523" s="51">
        <v>1</v>
      </c>
      <c r="H1523" s="51">
        <f>((E1523/1000)*(E1523/1000)*3.14*0.25)*7850</f>
        <v>0.39438400000000001</v>
      </c>
      <c r="I1523" s="51">
        <v>4</v>
      </c>
      <c r="J1523" s="102"/>
      <c r="K1523" s="70">
        <f>G1523*H1523*F1523*I1523</f>
        <v>37.545356799999993</v>
      </c>
      <c r="M1523" s="93"/>
      <c r="N1523" s="68"/>
      <c r="O1523" s="115"/>
      <c r="Q1523" s="127"/>
    </row>
    <row r="1524" spans="2:17">
      <c r="B1524" s="150"/>
      <c r="E1524" s="118"/>
      <c r="F1524" s="58"/>
      <c r="G1524" s="58"/>
      <c r="J1524" s="102"/>
      <c r="K1524" s="70"/>
      <c r="N1524" s="104"/>
      <c r="O1524" s="115"/>
      <c r="Q1524" s="127"/>
    </row>
    <row r="1525" spans="2:17" ht="68.25" customHeight="1">
      <c r="B1525" s="150"/>
      <c r="C1525" s="26">
        <v>92412</v>
      </c>
      <c r="D1525" s="16" t="s">
        <v>8</v>
      </c>
      <c r="E1525" s="447" t="str">
        <f>IFERROR(VLOOKUP($C1525,'SINAPI JULHO 2018'!$1:$1048576,2,0),IFERROR(VLOOKUP($C1525,'5-COMP. PROPRIA'!$B$13:$I$518,4,0),""))</f>
        <v>MONTAGEM E DESMONTAGEM DE FÔRMA DE PILARES RETANGULARES E ESTRUTURAS SIMILARES COM ÁREA MÉDIA DAS SEÇÕES MENOR OU IGUAL A 0,25 M², PÉ-DIREITO SIMPLES, EM MADEIRA SERRADA, 4 UTILIZAÇÕES. AF_12/2015</v>
      </c>
      <c r="F1525" s="448"/>
      <c r="G1525" s="448"/>
      <c r="H1525" s="448"/>
      <c r="I1525" s="448"/>
      <c r="J1525" s="449"/>
      <c r="K1525" s="184">
        <f>K1527</f>
        <v>14.279999999999998</v>
      </c>
      <c r="L1525" s="58" t="s">
        <v>25</v>
      </c>
      <c r="N1525" s="104"/>
      <c r="O1525" s="115"/>
      <c r="Q1525" s="127"/>
    </row>
    <row r="1526" spans="2:17" ht="25.5">
      <c r="B1526" s="150"/>
      <c r="E1526" s="76" t="s">
        <v>68</v>
      </c>
      <c r="F1526" s="17" t="s">
        <v>107</v>
      </c>
      <c r="G1526" s="17" t="s">
        <v>108</v>
      </c>
      <c r="H1526" s="67" t="s">
        <v>47</v>
      </c>
      <c r="I1526" s="55"/>
      <c r="J1526" s="121"/>
      <c r="K1526" s="186"/>
      <c r="N1526" s="104"/>
      <c r="O1526" s="115"/>
      <c r="Q1526" s="127"/>
    </row>
    <row r="1527" spans="2:17">
      <c r="B1527" s="150"/>
      <c r="E1527" s="118">
        <f>E1511</f>
        <v>23.799999999999997</v>
      </c>
      <c r="F1527" s="58">
        <f>F1511</f>
        <v>0.14000000000000001</v>
      </c>
      <c r="G1527" s="58">
        <f>G1511</f>
        <v>0.3</v>
      </c>
      <c r="H1527" s="58">
        <v>2</v>
      </c>
      <c r="J1527" s="102"/>
      <c r="K1527" s="70">
        <f>E1527*G1527*H1527</f>
        <v>14.279999999999998</v>
      </c>
      <c r="N1527" s="104"/>
      <c r="O1527" s="115"/>
      <c r="Q1527" s="127"/>
    </row>
    <row r="1528" spans="2:17">
      <c r="B1528" s="150"/>
      <c r="E1528" s="118"/>
      <c r="G1528" s="58"/>
      <c r="J1528" s="102"/>
      <c r="K1528" s="183"/>
      <c r="N1528" s="104"/>
      <c r="O1528" s="115"/>
      <c r="Q1528" s="127"/>
    </row>
    <row r="1529" spans="2:17" ht="15">
      <c r="B1529" s="150"/>
      <c r="C1529" s="16"/>
      <c r="D1529" s="16"/>
      <c r="E1529" s="453" t="s">
        <v>249</v>
      </c>
      <c r="F1529" s="454"/>
      <c r="G1529" s="454"/>
      <c r="H1529" s="454"/>
      <c r="I1529" s="454"/>
      <c r="J1529" s="455"/>
      <c r="K1529" s="70"/>
      <c r="M1529" s="93"/>
      <c r="N1529" s="68"/>
      <c r="O1529" s="115"/>
      <c r="Q1529" s="127"/>
    </row>
    <row r="1530" spans="2:17" ht="15">
      <c r="B1530" s="150"/>
      <c r="E1530" s="276"/>
      <c r="F1530" s="221"/>
      <c r="G1530" s="221"/>
      <c r="H1530" s="221"/>
      <c r="I1530" s="221"/>
      <c r="J1530" s="222"/>
      <c r="K1530" s="184"/>
      <c r="M1530" s="93"/>
      <c r="N1530" s="68"/>
      <c r="O1530" s="115"/>
      <c r="Q1530" s="127"/>
    </row>
    <row r="1531" spans="2:17" ht="62.25" customHeight="1">
      <c r="B1531" s="150" t="s">
        <v>263</v>
      </c>
      <c r="C1531" s="26">
        <v>89977</v>
      </c>
      <c r="D1531" s="26" t="s">
        <v>8</v>
      </c>
      <c r="E1531" s="447" t="str">
        <f>IFERROR(VLOOKUP($C1531,'SINAPI JULHO 2018'!$1:$1048576,2,0),IFERROR(VLOOKUP($C1531,'5-COMP. PROPRIA'!$B$13:$I$518,4,0),""))</f>
        <v>(COMPOSIÇÃO REPRESENTATIVA) DO SERVIÇO DE ALVENARIA DE VEDAÇÃO DE BLOCOS VAZADOS DE CERÂMICA DE 14X9X19CM (ESPESSURA 14CM, BLOCO DEITADO), PARA EDIFICAÇÃO HABITACIONAL UNIFAMILIAR (CASA) E EDIFICAÇÃO PÚBLICA PADRÃO. AF_12/2014</v>
      </c>
      <c r="F1531" s="448"/>
      <c r="G1531" s="448"/>
      <c r="H1531" s="448"/>
      <c r="I1531" s="448"/>
      <c r="J1531" s="449"/>
      <c r="K1531" s="184">
        <f>(33.65*3)+(9.3*1.2)</f>
        <v>112.10999999999999</v>
      </c>
      <c r="L1531" s="57" t="s">
        <v>145</v>
      </c>
      <c r="M1531" s="93"/>
      <c r="N1531" s="68"/>
      <c r="O1531" s="115"/>
      <c r="Q1531" s="127"/>
    </row>
    <row r="1532" spans="2:17" ht="15">
      <c r="B1532" s="150"/>
      <c r="E1532" s="276"/>
      <c r="F1532" s="221"/>
      <c r="G1532" s="221"/>
      <c r="H1532" s="221"/>
      <c r="I1532" s="221"/>
      <c r="J1532" s="222"/>
      <c r="K1532" s="184"/>
      <c r="M1532" s="93"/>
      <c r="N1532" s="68"/>
      <c r="O1532" s="115"/>
      <c r="Q1532" s="127"/>
    </row>
    <row r="1533" spans="2:17" ht="41.25" customHeight="1">
      <c r="B1533" s="150"/>
      <c r="C1533" s="26">
        <v>87894</v>
      </c>
      <c r="D1533" s="26" t="s">
        <v>8</v>
      </c>
      <c r="E1533" s="447" t="str">
        <f>IFERROR(VLOOKUP($C1533,'SINAPI JULHO 2018'!$1:$1048576,2,0),IFERROR(VLOOKUP($C1533,'5-COMP. PROPRIA'!$B$13:$I$518,4,0),""))</f>
        <v>CHAPISCO APLICADO EM ALVENARIA (SEM PRESENÇA DE VÃOS) E ESTRUTURAS DE CONCRETO DE FACHADA, COM COLHER DE PEDREIRO.  ARGAMASSA TRAÇO 1:3 COM PREPARO EM BETONEIRA 400L. AF_06/2014</v>
      </c>
      <c r="F1533" s="448"/>
      <c r="G1533" s="448"/>
      <c r="H1533" s="448"/>
      <c r="I1533" s="448"/>
      <c r="J1533" s="449"/>
      <c r="K1533" s="184">
        <f>K1531*2</f>
        <v>224.21999999999997</v>
      </c>
      <c r="L1533" s="57" t="s">
        <v>145</v>
      </c>
      <c r="M1533" s="93"/>
      <c r="N1533" s="68"/>
      <c r="O1533" s="115"/>
      <c r="Q1533" s="127"/>
    </row>
    <row r="1534" spans="2:17" ht="15">
      <c r="B1534" s="150"/>
      <c r="E1534" s="276"/>
      <c r="F1534" s="221"/>
      <c r="G1534" s="221"/>
      <c r="H1534" s="221"/>
      <c r="I1534" s="221"/>
      <c r="J1534" s="222"/>
      <c r="K1534" s="184"/>
      <c r="M1534" s="93"/>
      <c r="N1534" s="68"/>
      <c r="O1534" s="115"/>
      <c r="Q1534" s="127"/>
    </row>
    <row r="1535" spans="2:17" ht="61.5" customHeight="1">
      <c r="B1535" s="150"/>
      <c r="C1535" s="26">
        <v>87529</v>
      </c>
      <c r="D1535" s="26" t="s">
        <v>8</v>
      </c>
      <c r="E1535" s="447" t="str">
        <f>IFERROR(VLOOKUP($C1535,'SINAPI JULHO 2018'!$1:$1048576,2,0),IFERROR(VLOOKUP($C1535,'5-COMP. PROPRIA'!$B$13:$I$518,4,0),""))</f>
        <v>MASSA ÚNICA, PARA RECEBIMENTO DE PINTURA, EM ARGAMASSA TRAÇO 1:2:8, PREPARO MECÂNICO COM BETONEIRA 400L, APLICADA MANUALMENTE EM FACES INTERNAS DE PAREDES, ESPESSURA DE 20MM, COM EXECUÇÃO DE TALISCAS. AF_06/2014</v>
      </c>
      <c r="F1535" s="448"/>
      <c r="G1535" s="448"/>
      <c r="H1535" s="448"/>
      <c r="I1535" s="448"/>
      <c r="J1535" s="449"/>
      <c r="K1535" s="184">
        <f>K1533</f>
        <v>224.21999999999997</v>
      </c>
      <c r="L1535" s="57" t="s">
        <v>145</v>
      </c>
      <c r="M1535" s="93"/>
      <c r="N1535" s="68"/>
      <c r="O1535" s="115"/>
      <c r="Q1535" s="127"/>
    </row>
    <row r="1536" spans="2:17" ht="15">
      <c r="B1536" s="150"/>
      <c r="E1536" s="276"/>
      <c r="F1536" s="221"/>
      <c r="G1536" s="221"/>
      <c r="H1536" s="221"/>
      <c r="I1536" s="221"/>
      <c r="J1536" s="222"/>
      <c r="K1536" s="184"/>
      <c r="M1536" s="93"/>
      <c r="N1536" s="68"/>
      <c r="O1536" s="115"/>
      <c r="Q1536" s="127"/>
    </row>
    <row r="1537" spans="2:17" ht="15">
      <c r="B1537" s="150" t="s">
        <v>264</v>
      </c>
      <c r="C1537" s="26">
        <v>88485</v>
      </c>
      <c r="D1537" s="26" t="s">
        <v>8</v>
      </c>
      <c r="E1537" s="447" t="str">
        <f>IFERROR(VLOOKUP($C1537,'SINAPI JULHO 2018'!$1:$1048576,2,0),IFERROR(VLOOKUP($C1537,'5-COMP. PROPRIA'!$B$13:$I$518,4,0),""))</f>
        <v>APLICAÇÃO DE FUNDO SELADOR ACRÍLICO EM PAREDES, UMA DEMÃO. AF_06/2014</v>
      </c>
      <c r="F1537" s="448"/>
      <c r="G1537" s="448"/>
      <c r="H1537" s="448"/>
      <c r="I1537" s="448"/>
      <c r="J1537" s="449"/>
      <c r="K1537" s="184">
        <f>((22.8*3)+(9.3*1.2*2))</f>
        <v>90.72</v>
      </c>
      <c r="L1537" s="57" t="s">
        <v>145</v>
      </c>
      <c r="M1537" s="93"/>
      <c r="N1537" s="68"/>
      <c r="O1537" s="115"/>
      <c r="Q1537" s="127"/>
    </row>
    <row r="1538" spans="2:17" ht="15">
      <c r="B1538" s="150"/>
      <c r="E1538" s="276"/>
      <c r="F1538" s="221"/>
      <c r="G1538" s="221"/>
      <c r="H1538" s="221"/>
      <c r="I1538" s="221"/>
      <c r="J1538" s="222"/>
      <c r="K1538" s="184"/>
      <c r="M1538" s="93"/>
      <c r="N1538" s="68"/>
      <c r="O1538" s="115"/>
      <c r="Q1538" s="127"/>
    </row>
    <row r="1539" spans="2:17" ht="31.5" customHeight="1">
      <c r="B1539" s="150" t="s">
        <v>265</v>
      </c>
      <c r="C1539" s="26">
        <v>88489</v>
      </c>
      <c r="D1539" s="26" t="s">
        <v>8</v>
      </c>
      <c r="E1539" s="447" t="str">
        <f>IFERROR(VLOOKUP($C1539,'SINAPI JULHO 2018'!$1:$1048576,2,0),IFERROR(VLOOKUP($C1539,'5-COMP. PROPRIA'!$B$13:$I$518,4,0),""))</f>
        <v>APLICAÇÃO MANUAL DE PINTURA COM TINTA LÁTEX ACRÍLICA EM PAREDES, DUAS DEMÃOS. AF_06/2014</v>
      </c>
      <c r="F1539" s="448"/>
      <c r="G1539" s="448"/>
      <c r="H1539" s="448"/>
      <c r="I1539" s="448"/>
      <c r="J1539" s="449"/>
      <c r="K1539" s="184">
        <f>((22.8*2)+(9.3*1.2*2))</f>
        <v>67.92</v>
      </c>
      <c r="L1539" s="57" t="s">
        <v>145</v>
      </c>
      <c r="M1539" s="93"/>
      <c r="N1539" s="68"/>
      <c r="O1539" s="115"/>
      <c r="Q1539" s="127"/>
    </row>
    <row r="1540" spans="2:17" ht="15">
      <c r="B1540" s="150"/>
      <c r="E1540" s="276"/>
      <c r="F1540" s="221"/>
      <c r="G1540" s="221"/>
      <c r="H1540" s="221"/>
      <c r="I1540" s="221"/>
      <c r="J1540" s="222"/>
      <c r="K1540" s="184"/>
      <c r="M1540" s="93"/>
      <c r="N1540" s="68"/>
      <c r="O1540" s="115"/>
      <c r="Q1540" s="127"/>
    </row>
    <row r="1541" spans="2:17" ht="15">
      <c r="B1541" s="150" t="s">
        <v>264</v>
      </c>
      <c r="C1541" s="26" t="s">
        <v>168</v>
      </c>
      <c r="D1541" s="16" t="s">
        <v>35</v>
      </c>
      <c r="E1541" s="447" t="str">
        <f>IFERROR(VLOOKUP($C1541,'SINAPI JULHO 2018'!$1:$1048576,2,0),IFERROR(VLOOKUP($C1541,'5-COMP. PROPRIA'!$B$13:$I$518,4,0),""))</f>
        <v xml:space="preserve">PINTURA COM TINTA ESMALTE SINTÉTICO </v>
      </c>
      <c r="F1541" s="448"/>
      <c r="G1541" s="448"/>
      <c r="H1541" s="448"/>
      <c r="I1541" s="448"/>
      <c r="J1541" s="449"/>
      <c r="K1541" s="184">
        <f>22.8*1.2</f>
        <v>27.36</v>
      </c>
      <c r="L1541" s="57" t="s">
        <v>145</v>
      </c>
      <c r="M1541" s="93"/>
      <c r="N1541" s="68"/>
      <c r="O1541" s="115"/>
      <c r="Q1541" s="127"/>
    </row>
    <row r="1542" spans="2:17" ht="15">
      <c r="B1542" s="150"/>
      <c r="E1542" s="276"/>
      <c r="F1542" s="221"/>
      <c r="G1542" s="221"/>
      <c r="H1542" s="221"/>
      <c r="I1542" s="221"/>
      <c r="J1542" s="222"/>
      <c r="K1542" s="184"/>
      <c r="M1542" s="93"/>
      <c r="N1542" s="68"/>
      <c r="O1542" s="115"/>
      <c r="Q1542" s="127"/>
    </row>
    <row r="1543" spans="2:17" ht="15">
      <c r="B1543" s="150"/>
      <c r="C1543" s="26">
        <v>88483</v>
      </c>
      <c r="D1543" s="26" t="s">
        <v>8</v>
      </c>
      <c r="E1543" s="447" t="str">
        <f>IFERROR(VLOOKUP($C1543,'SINAPI JULHO 2018'!$1:$1048576,2,0),IFERROR(VLOOKUP($C1543,'5-COMP. PROPRIA'!$B$13:$I$518,4,0),""))</f>
        <v>APLICAÇÃO DE FUNDO SELADOR LÁTEX PVA EM PAREDES, UMA DEMÃO. AF_06/2014</v>
      </c>
      <c r="F1543" s="448"/>
      <c r="G1543" s="448"/>
      <c r="H1543" s="448"/>
      <c r="I1543" s="448"/>
      <c r="J1543" s="449"/>
      <c r="K1543" s="184">
        <f>(15.3+12+8.9+12.4)*3</f>
        <v>145.80000000000001</v>
      </c>
      <c r="L1543" s="57" t="s">
        <v>145</v>
      </c>
      <c r="M1543" s="93"/>
      <c r="N1543" s="68"/>
      <c r="O1543" s="115"/>
      <c r="Q1543" s="127"/>
    </row>
    <row r="1544" spans="2:17" ht="15">
      <c r="B1544" s="150"/>
      <c r="E1544" s="276"/>
      <c r="F1544" s="221"/>
      <c r="G1544" s="221"/>
      <c r="H1544" s="221"/>
      <c r="I1544" s="221"/>
      <c r="J1544" s="222"/>
      <c r="K1544" s="184"/>
      <c r="M1544" s="93"/>
      <c r="N1544" s="68"/>
      <c r="O1544" s="115"/>
      <c r="Q1544" s="127"/>
    </row>
    <row r="1545" spans="2:17" ht="32.25" customHeight="1">
      <c r="B1545" s="150" t="s">
        <v>266</v>
      </c>
      <c r="C1545" s="26">
        <v>88487</v>
      </c>
      <c r="D1545" s="26" t="s">
        <v>8</v>
      </c>
      <c r="E1545" s="447" t="str">
        <f>IFERROR(VLOOKUP($C1545,'SINAPI JULHO 2018'!$1:$1048576,2,0),IFERROR(VLOOKUP($C1545,'5-COMP. PROPRIA'!$B$13:$I$518,4,0),""))</f>
        <v>APLICAÇÃO MANUAL DE PINTURA COM TINTA LÁTEX PVA EM PAREDES, DUAS DEMÃOS. AF_06/2014</v>
      </c>
      <c r="F1545" s="448"/>
      <c r="G1545" s="448"/>
      <c r="H1545" s="448"/>
      <c r="I1545" s="448"/>
      <c r="J1545" s="449"/>
      <c r="K1545" s="184">
        <f>(15.3+12+8.9+12.4)*2</f>
        <v>97.2</v>
      </c>
      <c r="L1545" s="57" t="s">
        <v>145</v>
      </c>
      <c r="M1545" s="93" t="s">
        <v>267</v>
      </c>
      <c r="N1545" s="68"/>
      <c r="O1545" s="115"/>
      <c r="Q1545" s="127"/>
    </row>
    <row r="1546" spans="2:17" ht="15">
      <c r="B1546" s="150"/>
      <c r="E1546" s="276"/>
      <c r="F1546" s="221"/>
      <c r="G1546" s="221"/>
      <c r="H1546" s="221"/>
      <c r="I1546" s="221"/>
      <c r="J1546" s="222"/>
      <c r="K1546" s="184"/>
      <c r="L1546" s="57"/>
      <c r="M1546" s="93"/>
      <c r="N1546" s="68"/>
      <c r="O1546" s="115"/>
      <c r="Q1546" s="127"/>
    </row>
    <row r="1547" spans="2:17" ht="15">
      <c r="B1547" s="150" t="s">
        <v>268</v>
      </c>
      <c r="C1547" s="26" t="s">
        <v>168</v>
      </c>
      <c r="D1547" s="16" t="s">
        <v>35</v>
      </c>
      <c r="E1547" s="447" t="str">
        <f>IFERROR(VLOOKUP($C1547,'SINAPI JULHO 2018'!$1:$1048576,2,0),IFERROR(VLOOKUP($C1547,'5-COMP. PROPRIA'!$B$13:$I$518,4,0),""))</f>
        <v xml:space="preserve">PINTURA COM TINTA ESMALTE SINTÉTICO </v>
      </c>
      <c r="F1547" s="448"/>
      <c r="G1547" s="448"/>
      <c r="H1547" s="448"/>
      <c r="I1547" s="448"/>
      <c r="J1547" s="449"/>
      <c r="K1547" s="184">
        <f>(15.3+12+8.9+12.4)*1.2</f>
        <v>58.32</v>
      </c>
      <c r="L1547" s="57" t="s">
        <v>145</v>
      </c>
      <c r="M1547" s="93" t="s">
        <v>269</v>
      </c>
      <c r="N1547" s="68"/>
      <c r="O1547" s="115"/>
      <c r="Q1547" s="127"/>
    </row>
    <row r="1548" spans="2:17" ht="15">
      <c r="B1548" s="150"/>
      <c r="E1548" s="276"/>
      <c r="F1548" s="221"/>
      <c r="G1548" s="221"/>
      <c r="H1548" s="221"/>
      <c r="I1548" s="221"/>
      <c r="J1548" s="222"/>
      <c r="K1548" s="184"/>
      <c r="L1548" s="57"/>
      <c r="M1548" s="93"/>
      <c r="N1548" s="68"/>
      <c r="O1548" s="115"/>
      <c r="Q1548" s="127"/>
    </row>
    <row r="1549" spans="2:17" ht="15">
      <c r="B1549" s="150"/>
      <c r="C1549" s="16"/>
      <c r="D1549" s="16"/>
      <c r="E1549" s="453" t="s">
        <v>173</v>
      </c>
      <c r="F1549" s="454"/>
      <c r="G1549" s="454"/>
      <c r="H1549" s="454"/>
      <c r="I1549" s="454"/>
      <c r="J1549" s="455"/>
      <c r="K1549" s="70"/>
      <c r="M1549" s="93"/>
      <c r="N1549" s="68"/>
      <c r="O1549" s="115"/>
      <c r="Q1549" s="127"/>
    </row>
    <row r="1550" spans="2:17" ht="15">
      <c r="B1550" s="150"/>
      <c r="E1550" s="276"/>
      <c r="F1550" s="221"/>
      <c r="G1550" s="221"/>
      <c r="H1550" s="221"/>
      <c r="I1550" s="221"/>
      <c r="J1550" s="222"/>
      <c r="K1550" s="184"/>
      <c r="M1550" s="93"/>
      <c r="N1550" s="68"/>
      <c r="O1550" s="115"/>
      <c r="Q1550" s="127"/>
    </row>
    <row r="1551" spans="2:17" ht="34.5" customHeight="1">
      <c r="B1551" s="150" t="s">
        <v>270</v>
      </c>
      <c r="C1551" s="94">
        <v>91341</v>
      </c>
      <c r="D1551" s="26" t="s">
        <v>8</v>
      </c>
      <c r="E1551" s="447" t="str">
        <f>IFERROR(VLOOKUP($C1551,'SINAPI JULHO 2018'!$1:$1048576,2,0),IFERROR(VLOOKUP($C1551,'5-COMP. PROPRIA'!$B$13:$I$518,4,0),""))</f>
        <v>PORTA EM ALUMÍNIO DE ABRIR TIPO VENEZIANA COM GUARNIÇÃO, FIXAÇÃO COM PARAFUSOS - FORNECIMENTO E INSTALAÇÃO. AF_08/2015</v>
      </c>
      <c r="F1551" s="448"/>
      <c r="G1551" s="448"/>
      <c r="H1551" s="448"/>
      <c r="I1551" s="448"/>
      <c r="J1551" s="449"/>
      <c r="K1551" s="184">
        <f>(0.8*2.1*2)+(0.9*2.1*1)+(0.6*1.8*6)</f>
        <v>11.73</v>
      </c>
      <c r="L1551" s="57" t="s">
        <v>25</v>
      </c>
      <c r="M1551" s="93"/>
      <c r="N1551" s="68"/>
      <c r="O1551" s="115"/>
      <c r="Q1551" s="127"/>
    </row>
    <row r="1552" spans="2:17">
      <c r="B1552" s="150"/>
      <c r="C1552" s="91"/>
      <c r="D1552" s="91"/>
      <c r="E1552" s="113"/>
      <c r="F1552" s="56"/>
      <c r="G1552" s="56"/>
      <c r="H1552" s="56"/>
      <c r="I1552" s="56"/>
      <c r="J1552" s="240"/>
      <c r="K1552" s="183"/>
      <c r="L1552" s="56"/>
      <c r="M1552" s="93"/>
      <c r="N1552" s="68"/>
      <c r="O1552" s="115"/>
      <c r="Q1552" s="127"/>
    </row>
    <row r="1553" spans="2:17" ht="30.75" customHeight="1">
      <c r="B1553" s="150"/>
      <c r="C1553" s="94">
        <v>94575</v>
      </c>
      <c r="D1553" s="26" t="s">
        <v>8</v>
      </c>
      <c r="E1553" s="447" t="str">
        <f>IFERROR(VLOOKUP($C1553,'SINAPI JULHO 2018'!$1:$1048576,2,0),IFERROR(VLOOKUP($C1553,'5-COMP. PROPRIA'!$B$13:$I$518,4,0),""))</f>
        <v>JANELA DE ALUMÍNIO MAXIM-AR, FIXAÇÃO COM PARAFUSO, VEDAÇÃO COM ESPUMA EXPANSIVA PU, COM VIDROS, PADRONIZADA. AF_07/2016</v>
      </c>
      <c r="F1553" s="448"/>
      <c r="G1553" s="448"/>
      <c r="H1553" s="448"/>
      <c r="I1553" s="448"/>
      <c r="J1553" s="449"/>
      <c r="K1553" s="184">
        <f>1.5*0.6*4</f>
        <v>3.5999999999999996</v>
      </c>
      <c r="L1553" s="57" t="s">
        <v>25</v>
      </c>
      <c r="M1553" s="93"/>
      <c r="N1553" s="68"/>
      <c r="O1553" s="115"/>
      <c r="Q1553" s="127"/>
    </row>
    <row r="1554" spans="2:17">
      <c r="B1554" s="150"/>
      <c r="C1554" s="91"/>
      <c r="D1554" s="91"/>
      <c r="E1554" s="113"/>
      <c r="F1554" s="56"/>
      <c r="G1554" s="56"/>
      <c r="H1554" s="56"/>
      <c r="I1554" s="56"/>
      <c r="J1554" s="240"/>
      <c r="K1554" s="183"/>
      <c r="L1554" s="56"/>
      <c r="M1554" s="93"/>
      <c r="N1554" s="68"/>
      <c r="O1554" s="115"/>
      <c r="Q1554" s="127"/>
    </row>
    <row r="1555" spans="2:17" ht="15">
      <c r="B1555" s="150"/>
      <c r="C1555" s="26" t="s">
        <v>141</v>
      </c>
      <c r="D1555" s="16" t="s">
        <v>35</v>
      </c>
      <c r="E1555" s="447" t="str">
        <f>IFERROR(VLOOKUP($C1555,'SINAPI JULHO 2018'!$1:$1048576,2,0),IFERROR(VLOOKUP($C1555,'5-COMP. PROPRIA'!$B$13:$I$518,4,0),""))</f>
        <v xml:space="preserve">LIXAMENTO DE SUPERFICIE METÁLICA </v>
      </c>
      <c r="F1555" s="448"/>
      <c r="G1555" s="448"/>
      <c r="H1555" s="448"/>
      <c r="I1555" s="448"/>
      <c r="J1555" s="449"/>
      <c r="K1555" s="184">
        <f>(K1553+K1551)*2</f>
        <v>30.66</v>
      </c>
      <c r="L1555" s="58" t="s">
        <v>25</v>
      </c>
      <c r="M1555" s="93"/>
      <c r="N1555" s="68"/>
      <c r="O1555" s="115"/>
      <c r="Q1555" s="127"/>
    </row>
    <row r="1556" spans="2:17" ht="15">
      <c r="B1556" s="150"/>
      <c r="E1556" s="276"/>
      <c r="F1556" s="221"/>
      <c r="G1556" s="221"/>
      <c r="H1556" s="221"/>
      <c r="I1556" s="221"/>
      <c r="J1556" s="222"/>
      <c r="K1556" s="184"/>
      <c r="M1556" s="93"/>
      <c r="N1556" s="68"/>
      <c r="O1556" s="115"/>
      <c r="Q1556" s="127"/>
    </row>
    <row r="1557" spans="2:17" ht="31.5" customHeight="1">
      <c r="B1557" s="150"/>
      <c r="C1557" s="94" t="s">
        <v>142</v>
      </c>
      <c r="D1557" s="26" t="s">
        <v>8</v>
      </c>
      <c r="E1557" s="447" t="str">
        <f>IFERROR(VLOOKUP($C1557,'SINAPI JULHO 2018'!$1:$1048576,2,0),IFERROR(VLOOKUP($C1557,'5-COMP. PROPRIA'!$B$13:$I$518,4,0),""))</f>
        <v>PINTURA ESMALTE ALTO BRILHO, DUAS DEMAOS, SOBRE SUPERFICIE METALICA</v>
      </c>
      <c r="F1557" s="448"/>
      <c r="G1557" s="448"/>
      <c r="H1557" s="448"/>
      <c r="I1557" s="448"/>
      <c r="J1557" s="449"/>
      <c r="K1557" s="184">
        <f>K1555</f>
        <v>30.66</v>
      </c>
      <c r="L1557" s="58" t="s">
        <v>25</v>
      </c>
      <c r="M1557" s="93"/>
      <c r="N1557" s="68"/>
      <c r="O1557" s="115"/>
      <c r="Q1557" s="127"/>
    </row>
    <row r="1558" spans="2:17" ht="15">
      <c r="B1558" s="150"/>
      <c r="E1558" s="276"/>
      <c r="F1558" s="221"/>
      <c r="G1558" s="221"/>
      <c r="H1558" s="221"/>
      <c r="I1558" s="221"/>
      <c r="J1558" s="222"/>
      <c r="K1558" s="184"/>
      <c r="M1558" s="93"/>
      <c r="N1558" s="68"/>
      <c r="O1558" s="115"/>
      <c r="Q1558" s="127"/>
    </row>
    <row r="1559" spans="2:17" ht="15">
      <c r="B1559" s="150"/>
      <c r="C1559" s="16"/>
      <c r="D1559" s="16"/>
      <c r="E1559" s="453" t="s">
        <v>252</v>
      </c>
      <c r="F1559" s="454"/>
      <c r="G1559" s="454"/>
      <c r="H1559" s="454"/>
      <c r="I1559" s="454"/>
      <c r="J1559" s="455"/>
      <c r="K1559" s="70"/>
      <c r="M1559" s="93"/>
      <c r="N1559" s="68"/>
      <c r="O1559" s="115"/>
      <c r="Q1559" s="127"/>
    </row>
    <row r="1560" spans="2:17" ht="15">
      <c r="B1560" s="150"/>
      <c r="E1560" s="276"/>
      <c r="F1560" s="221"/>
      <c r="G1560" s="221"/>
      <c r="H1560" s="221"/>
      <c r="I1560" s="221"/>
      <c r="J1560" s="222"/>
      <c r="K1560" s="184"/>
      <c r="M1560" s="93"/>
      <c r="N1560" s="68"/>
      <c r="O1560" s="115"/>
      <c r="Q1560" s="127"/>
    </row>
    <row r="1561" spans="2:17" ht="24.75" customHeight="1">
      <c r="B1561" s="150" t="s">
        <v>271</v>
      </c>
      <c r="C1561" s="26">
        <v>95241</v>
      </c>
      <c r="D1561" s="26" t="s">
        <v>8</v>
      </c>
      <c r="E1561" s="447" t="str">
        <f>IFERROR(VLOOKUP($C1561,'SINAPI JULHO 2018'!$1:$1048576,2,0),IFERROR(VLOOKUP($C1561,'5-COMP. PROPRIA'!$B$13:$I$518,4,0),""))</f>
        <v>LASTRO DE CONCRETO MAGRO, APLICADO EM PISOS OU RADIERS, ESPESSURA DE 5 CM. AF_07/2016</v>
      </c>
      <c r="F1561" s="448"/>
      <c r="G1561" s="448"/>
      <c r="H1561" s="448"/>
      <c r="I1561" s="448"/>
      <c r="J1561" s="449"/>
      <c r="K1561" s="184">
        <f>4.6+4.6+14.6+9.55</f>
        <v>33.349999999999994</v>
      </c>
      <c r="L1561" s="57" t="s">
        <v>145</v>
      </c>
      <c r="M1561" s="93"/>
      <c r="N1561" s="68"/>
      <c r="O1561" s="115"/>
      <c r="Q1561" s="127"/>
    </row>
    <row r="1562" spans="2:17" ht="15">
      <c r="B1562" s="150"/>
      <c r="E1562" s="276"/>
      <c r="F1562" s="221"/>
      <c r="G1562" s="221"/>
      <c r="H1562" s="221"/>
      <c r="I1562" s="221"/>
      <c r="J1562" s="222"/>
      <c r="K1562" s="184"/>
      <c r="M1562" s="93"/>
      <c r="N1562" s="68"/>
      <c r="O1562" s="115"/>
      <c r="Q1562" s="127"/>
    </row>
    <row r="1563" spans="2:17" ht="44.25" customHeight="1">
      <c r="B1563" s="150" t="str">
        <f>B1561</f>
        <v>PISO DE SANITARIO A SER CONSTRUIDO</v>
      </c>
      <c r="C1563" s="26">
        <v>87620</v>
      </c>
      <c r="D1563" s="26" t="s">
        <v>8</v>
      </c>
      <c r="E1563" s="447" t="str">
        <f>IFERROR(VLOOKUP($C1563,'SINAPI JULHO 2018'!$1:$1048576,2,0),IFERROR(VLOOKUP($C1563,'5-COMP. PROPRIA'!$B$13:$I$518,4,0),""))</f>
        <v>CONTRAPISO EM ARGAMASSA TRAÇO 1:4 (CIMENTO E AREIA), PREPARO MECÂNICO COM BETONEIRA 400 L, APLICADO EM ÁREAS SECAS SOBRE LAJE, ADERIDO, ESPESSURA 2CM. AF_06/2014</v>
      </c>
      <c r="F1563" s="448"/>
      <c r="G1563" s="448"/>
      <c r="H1563" s="448"/>
      <c r="I1563" s="448"/>
      <c r="J1563" s="449"/>
      <c r="K1563" s="184">
        <f>K1561</f>
        <v>33.349999999999994</v>
      </c>
      <c r="L1563" s="57" t="s">
        <v>145</v>
      </c>
      <c r="M1563" s="93"/>
      <c r="N1563" s="68"/>
      <c r="O1563" s="115"/>
      <c r="Q1563" s="127"/>
    </row>
    <row r="1564" spans="2:17" ht="15">
      <c r="B1564" s="150"/>
      <c r="E1564" s="276"/>
      <c r="F1564" s="221"/>
      <c r="G1564" s="221"/>
      <c r="H1564" s="221"/>
      <c r="I1564" s="221"/>
      <c r="J1564" s="222"/>
      <c r="K1564" s="184"/>
      <c r="M1564" s="93"/>
      <c r="N1564" s="68"/>
      <c r="O1564" s="115"/>
      <c r="Q1564" s="127"/>
    </row>
    <row r="1565" spans="2:17" ht="33" customHeight="1">
      <c r="B1565" s="150" t="str">
        <f>B1563</f>
        <v>PISO DE SANITARIO A SER CONSTRUIDO</v>
      </c>
      <c r="C1565" s="26">
        <v>84191</v>
      </c>
      <c r="D1565" s="26" t="s">
        <v>8</v>
      </c>
      <c r="E1565" s="447" t="str">
        <f>IFERROR(VLOOKUP($C1565,'SINAPI JULHO 2018'!$1:$1048576,2,0),IFERROR(VLOOKUP($C1565,'5-COMP. PROPRIA'!$B$13:$I$518,4,0),""))</f>
        <v>PISO EM GRANILITE, MARMORITE OU GRANITINA ESPESSURA 8 MM, INCLUSO JUNTAS DE DILATACAO PLASTICAS</v>
      </c>
      <c r="F1565" s="448"/>
      <c r="G1565" s="448"/>
      <c r="H1565" s="448"/>
      <c r="I1565" s="448"/>
      <c r="J1565" s="449"/>
      <c r="K1565" s="184">
        <f>K1563</f>
        <v>33.349999999999994</v>
      </c>
      <c r="L1565" s="57" t="s">
        <v>145</v>
      </c>
      <c r="M1565" s="93"/>
      <c r="N1565" s="68"/>
      <c r="O1565" s="115"/>
      <c r="Q1565" s="127"/>
    </row>
    <row r="1566" spans="2:17" ht="15">
      <c r="B1566" s="150"/>
      <c r="E1566" s="276"/>
      <c r="F1566" s="221"/>
      <c r="G1566" s="221"/>
      <c r="H1566" s="221"/>
      <c r="I1566" s="221"/>
      <c r="J1566" s="222"/>
      <c r="K1566" s="184"/>
      <c r="M1566" s="93"/>
      <c r="N1566" s="68"/>
      <c r="O1566" s="115"/>
      <c r="Q1566" s="127"/>
    </row>
    <row r="1567" spans="2:17" ht="15">
      <c r="B1567" s="150" t="str">
        <f>B1565</f>
        <v>PISO DE SANITARIO A SER CONSTRUIDO</v>
      </c>
      <c r="C1567" s="26" t="s">
        <v>180</v>
      </c>
      <c r="D1567" s="26" t="s">
        <v>8</v>
      </c>
      <c r="E1567" s="447" t="str">
        <f>IFERROR(VLOOKUP($C1567,'SINAPI JULHO 2018'!$1:$1048576,2,0),IFERROR(VLOOKUP($C1567,'5-COMP. PROPRIA'!$B$13:$I$518,4,0),""))</f>
        <v>IMPERMEABILIZACAO COM PINTURA A BASE DE RESINA EPOXI ALCATRAO, UMA DEMAO.</v>
      </c>
      <c r="F1567" s="448"/>
      <c r="G1567" s="448"/>
      <c r="H1567" s="448"/>
      <c r="I1567" s="448"/>
      <c r="J1567" s="449"/>
      <c r="K1567" s="184">
        <f>K1565</f>
        <v>33.349999999999994</v>
      </c>
      <c r="L1567" s="57" t="s">
        <v>145</v>
      </c>
      <c r="M1567" s="93"/>
      <c r="N1567" s="68"/>
      <c r="O1567" s="115"/>
      <c r="Q1567" s="127"/>
    </row>
    <row r="1568" spans="2:17" ht="15">
      <c r="B1568" s="150"/>
      <c r="E1568" s="276"/>
      <c r="F1568" s="221"/>
      <c r="G1568" s="221"/>
      <c r="H1568" s="221"/>
      <c r="I1568" s="221"/>
      <c r="J1568" s="222"/>
      <c r="K1568" s="184"/>
      <c r="M1568" s="93"/>
      <c r="N1568" s="68"/>
      <c r="O1568" s="115"/>
      <c r="Q1568" s="127"/>
    </row>
    <row r="1569" spans="2:17" ht="15">
      <c r="B1569" s="150" t="s">
        <v>272</v>
      </c>
      <c r="C1569" s="26" t="s">
        <v>181</v>
      </c>
      <c r="D1569" s="26" t="s">
        <v>8</v>
      </c>
      <c r="E1569" s="447" t="str">
        <f>IFERROR(VLOOKUP($C1569,'SINAPI JULHO 2018'!$1:$1048576,2,0),IFERROR(VLOOKUP($C1569,'5-COMP. PROPRIA'!$B$13:$I$518,4,0),""))</f>
        <v>RODAPE EM MARMORITE, ALTURA 10CM</v>
      </c>
      <c r="F1569" s="448"/>
      <c r="G1569" s="448"/>
      <c r="H1569" s="448"/>
      <c r="I1569" s="448"/>
      <c r="J1569" s="449"/>
      <c r="K1569" s="184">
        <f>15.3+12+8.9+12.4</f>
        <v>48.6</v>
      </c>
      <c r="L1569" s="57" t="s">
        <v>172</v>
      </c>
      <c r="M1569" s="93"/>
      <c r="N1569" s="68"/>
      <c r="O1569" s="115"/>
      <c r="Q1569" s="127"/>
    </row>
    <row r="1570" spans="2:17" ht="15">
      <c r="B1570" s="150"/>
      <c r="E1570" s="276"/>
      <c r="F1570" s="221"/>
      <c r="G1570" s="221"/>
      <c r="H1570" s="221"/>
      <c r="I1570" s="221"/>
      <c r="J1570" s="222"/>
      <c r="K1570" s="184"/>
      <c r="M1570" s="93"/>
      <c r="N1570" s="68"/>
      <c r="O1570" s="115"/>
      <c r="Q1570" s="127"/>
    </row>
    <row r="1571" spans="2:17" ht="15">
      <c r="B1571" s="150"/>
      <c r="D1571" s="16"/>
      <c r="E1571" s="453" t="s">
        <v>174</v>
      </c>
      <c r="F1571" s="454"/>
      <c r="G1571" s="454"/>
      <c r="H1571" s="454"/>
      <c r="I1571" s="454"/>
      <c r="J1571" s="455"/>
      <c r="K1571" s="184"/>
      <c r="M1571" s="93"/>
      <c r="N1571" s="68"/>
      <c r="O1571" s="115"/>
      <c r="Q1571" s="127"/>
    </row>
    <row r="1572" spans="2:17" ht="15">
      <c r="B1572" s="150"/>
      <c r="E1572" s="276"/>
      <c r="F1572" s="221"/>
      <c r="G1572" s="221"/>
      <c r="H1572" s="221"/>
      <c r="I1572" s="221"/>
      <c r="J1572" s="222"/>
      <c r="K1572" s="184"/>
      <c r="M1572" s="93"/>
      <c r="N1572" s="68"/>
      <c r="O1572" s="115"/>
      <c r="Q1572" s="127"/>
    </row>
    <row r="1573" spans="2:17" ht="31.5" customHeight="1">
      <c r="B1573" s="150"/>
      <c r="C1573" s="94" t="s">
        <v>273</v>
      </c>
      <c r="D1573" s="16" t="s">
        <v>35</v>
      </c>
      <c r="E1573" s="447" t="str">
        <f>IFERROR(VLOOKUP($C1573,'SINAPI JULHO 2018'!$1:$1048576,2,0),IFERROR(VLOOKUP($C1573,'5-COMP. PROPRIA'!$B$13:$I$518,4,0),""))</f>
        <v xml:space="preserve">VASO SANITÁRIO CONVENCIONAL COM CONEXÕES DE INSTALAÇÃO E ASSENTO PLÁSTICO - FORNECIMENTO E INSTALAÇÃO </v>
      </c>
      <c r="F1573" s="448"/>
      <c r="G1573" s="448"/>
      <c r="H1573" s="448"/>
      <c r="I1573" s="448"/>
      <c r="J1573" s="449"/>
      <c r="K1573" s="184">
        <v>6</v>
      </c>
      <c r="L1573" s="57" t="s">
        <v>5</v>
      </c>
      <c r="M1573" s="93"/>
      <c r="N1573" s="68"/>
      <c r="O1573" s="115"/>
      <c r="Q1573" s="127"/>
    </row>
    <row r="1574" spans="2:17" ht="15">
      <c r="B1574" s="150"/>
      <c r="C1574" s="94"/>
      <c r="D1574" s="16"/>
      <c r="E1574" s="276"/>
      <c r="F1574" s="221"/>
      <c r="G1574" s="221"/>
      <c r="H1574" s="221"/>
      <c r="I1574" s="221"/>
      <c r="J1574" s="222"/>
      <c r="K1574" s="184"/>
      <c r="L1574" s="57"/>
      <c r="M1574" s="93"/>
      <c r="N1574" s="68"/>
      <c r="O1574" s="115"/>
      <c r="Q1574" s="127"/>
    </row>
    <row r="1575" spans="2:17" ht="57" customHeight="1">
      <c r="B1575" s="150" t="s">
        <v>274</v>
      </c>
      <c r="C1575" s="26">
        <v>95472</v>
      </c>
      <c r="D1575" s="26" t="s">
        <v>8</v>
      </c>
      <c r="E1575" s="447" t="str">
        <f>IFERROR(VLOOKUP($C1575,'SINAPI JULHO 2018'!$1:$1048576,2,0),IFERROR(VLOOKUP($C1575,'5-COMP. PROPRIA'!$B$13:$I$518,4,0),""))</f>
        <v>VASO SANITARIO SIFONADO CONVENCIONAL PARA PCD SEM FURO FRONTAL COM LOUÇA BRANCA SEM ASSENTO, INCLUSO CONJUNTO DE LIGAÇÃO PARA BACIA SANITÁRIA AJUSTÁVEL - FORNECIMENTO E INSTALAÇÃO. AF_10/2016</v>
      </c>
      <c r="F1575" s="448"/>
      <c r="G1575" s="448"/>
      <c r="H1575" s="448"/>
      <c r="I1575" s="448"/>
      <c r="J1575" s="449"/>
      <c r="K1575" s="184">
        <v>1</v>
      </c>
      <c r="L1575" s="57" t="s">
        <v>5</v>
      </c>
      <c r="M1575" s="93"/>
      <c r="N1575" s="68"/>
      <c r="O1575" s="115"/>
      <c r="Q1575" s="127"/>
    </row>
    <row r="1576" spans="2:17" ht="15">
      <c r="B1576" s="150"/>
      <c r="E1576" s="276"/>
      <c r="F1576" s="221"/>
      <c r="G1576" s="221"/>
      <c r="H1576" s="221"/>
      <c r="I1576" s="221"/>
      <c r="J1576" s="222"/>
      <c r="K1576" s="184"/>
      <c r="L1576" s="57"/>
      <c r="M1576" s="93"/>
      <c r="N1576" s="68"/>
      <c r="O1576" s="115"/>
      <c r="Q1576" s="127"/>
    </row>
    <row r="1577" spans="2:17" ht="57" customHeight="1">
      <c r="B1577" s="150" t="s">
        <v>274</v>
      </c>
      <c r="C1577" s="26">
        <v>86943</v>
      </c>
      <c r="D1577" s="26" t="s">
        <v>8</v>
      </c>
      <c r="E1577" s="447" t="str">
        <f>IFERROR(VLOOKUP($C1577,'SINAPI JULHO 2018'!$1:$1048576,2,0),IFERROR(VLOOKUP($C1577,'5-COMP. PROPRIA'!$B$13:$I$518,4,0),""))</f>
        <v>LAVATÓRIO LOUÇA BRANCA SUSPENSO, 29,5 X 39CM OU EQUIVALENTE, PADRÃO POPULAR, INCLUSO SIFÃO FLEXÍVEL EM PVC, VÁLVULA E ENGATE FLEXÍVEL 30CM EM PLÁSTICO E TORNEIRA CROMADA DE MESA, PADRÃO POPULAR - FORNECIMENTO E INSTALAÇÃO. AF_12/2013</v>
      </c>
      <c r="F1577" s="448"/>
      <c r="G1577" s="448"/>
      <c r="H1577" s="448"/>
      <c r="I1577" s="448"/>
      <c r="J1577" s="449"/>
      <c r="K1577" s="184">
        <v>1</v>
      </c>
      <c r="L1577" s="57" t="s">
        <v>5</v>
      </c>
      <c r="M1577" s="93"/>
      <c r="N1577" s="68"/>
      <c r="O1577" s="115"/>
      <c r="Q1577" s="127"/>
    </row>
    <row r="1578" spans="2:17" ht="15">
      <c r="B1578" s="150"/>
      <c r="E1578" s="276"/>
      <c r="F1578" s="221"/>
      <c r="G1578" s="221"/>
      <c r="H1578" s="221"/>
      <c r="I1578" s="221"/>
      <c r="J1578" s="222"/>
      <c r="K1578" s="184"/>
      <c r="M1578" s="93"/>
      <c r="N1578" s="68"/>
      <c r="O1578" s="115"/>
      <c r="Q1578" s="127"/>
    </row>
    <row r="1579" spans="2:17" ht="15">
      <c r="B1579" s="150" t="s">
        <v>275</v>
      </c>
      <c r="C1579" s="94" t="str">
        <f>'5-COMP. PROPRIA'!B291</f>
        <v>CP-BAN-01</v>
      </c>
      <c r="D1579" s="16" t="s">
        <v>35</v>
      </c>
      <c r="E1579" s="447" t="str">
        <f>IFERROR(VLOOKUP($C1579,'SINAPI JULHO 2018'!$1:$1048576,2,0),IFERROR(VLOOKUP($C1579,'5-COMP. PROPRIA'!$B$13:$I$518,4,0),""))</f>
        <v>BANCADA DE GRANITO CINZA POLIDO 2,0 X 0,60 M - FORNECIMENTO E INSTALAÇÃO</v>
      </c>
      <c r="F1579" s="448"/>
      <c r="G1579" s="448"/>
      <c r="H1579" s="448"/>
      <c r="I1579" s="448"/>
      <c r="J1579" s="449"/>
      <c r="K1579" s="184">
        <v>2</v>
      </c>
      <c r="L1579" s="57" t="s">
        <v>5</v>
      </c>
      <c r="M1579" s="93"/>
      <c r="N1579" s="68"/>
      <c r="O1579" s="115"/>
      <c r="Q1579" s="127"/>
    </row>
    <row r="1580" spans="2:17" ht="15">
      <c r="B1580" s="150"/>
      <c r="E1580" s="276"/>
      <c r="F1580" s="221"/>
      <c r="G1580" s="221"/>
      <c r="H1580" s="221"/>
      <c r="I1580" s="221"/>
      <c r="J1580" s="222"/>
      <c r="K1580" s="184"/>
      <c r="M1580" s="93"/>
      <c r="N1580" s="68"/>
      <c r="O1580" s="115"/>
      <c r="Q1580" s="127"/>
    </row>
    <row r="1581" spans="2:17" ht="29.25" customHeight="1">
      <c r="B1581" s="150" t="s">
        <v>276</v>
      </c>
      <c r="C1581" s="26">
        <v>86901</v>
      </c>
      <c r="D1581" s="26" t="s">
        <v>8</v>
      </c>
      <c r="E1581" s="447" t="str">
        <f>IFERROR(VLOOKUP($C1581,'SINAPI JULHO 2018'!$1:$1048576,2,0),IFERROR(VLOOKUP($C1581,'5-COMP. PROPRIA'!$B$13:$I$518,4,0),""))</f>
        <v>CUBA DE EMBUTIR OVAL EM LOUÇA BRANCA, 35 X 50CM OU EQUIVALENTE - FORNECIMENTO E INSTALAÇÃO. AF_12/2013</v>
      </c>
      <c r="F1581" s="448"/>
      <c r="G1581" s="448"/>
      <c r="H1581" s="448"/>
      <c r="I1581" s="448"/>
      <c r="J1581" s="449"/>
      <c r="K1581" s="184">
        <v>6</v>
      </c>
      <c r="L1581" s="57" t="s">
        <v>5</v>
      </c>
      <c r="M1581" s="93"/>
      <c r="N1581" s="68"/>
      <c r="O1581" s="115"/>
      <c r="Q1581" s="127"/>
    </row>
    <row r="1582" spans="2:17" ht="15">
      <c r="B1582" s="150"/>
      <c r="E1582" s="276"/>
      <c r="F1582" s="221"/>
      <c r="G1582" s="221"/>
      <c r="H1582" s="221"/>
      <c r="I1582" s="221"/>
      <c r="J1582" s="222"/>
      <c r="K1582" s="184"/>
      <c r="M1582" s="93"/>
      <c r="N1582" s="68"/>
      <c r="O1582" s="115"/>
      <c r="Q1582" s="127"/>
    </row>
    <row r="1583" spans="2:17" ht="30" customHeight="1">
      <c r="B1583" s="150"/>
      <c r="C1583" s="26">
        <v>86906</v>
      </c>
      <c r="D1583" s="26" t="s">
        <v>8</v>
      </c>
      <c r="E1583" s="447" t="str">
        <f>IFERROR(VLOOKUP($C1583,'SINAPI JULHO 2018'!$1:$1048576,2,0),IFERROR(VLOOKUP($C1583,'5-COMP. PROPRIA'!$B$13:$I$518,4,0),""))</f>
        <v>TORNEIRA CROMADA DE MESA, 1/2" OU 3/4", PARA LAVATÓRIO, PADRÃO POPULAR - FORNECIMENTO E INSTALAÇÃO. AF_12/2013</v>
      </c>
      <c r="F1583" s="448"/>
      <c r="G1583" s="448"/>
      <c r="H1583" s="448"/>
      <c r="I1583" s="448"/>
      <c r="J1583" s="449"/>
      <c r="K1583" s="184">
        <v>7</v>
      </c>
      <c r="L1583" s="57" t="s">
        <v>5</v>
      </c>
      <c r="M1583" s="93"/>
      <c r="N1583" s="68"/>
      <c r="O1583" s="115"/>
      <c r="Q1583" s="127"/>
    </row>
    <row r="1584" spans="2:17" ht="15">
      <c r="B1584" s="150"/>
      <c r="E1584" s="276"/>
      <c r="F1584" s="221"/>
      <c r="G1584" s="221"/>
      <c r="H1584" s="221"/>
      <c r="I1584" s="221"/>
      <c r="J1584" s="222"/>
      <c r="K1584" s="184"/>
      <c r="M1584" s="93"/>
      <c r="N1584" s="68"/>
      <c r="O1584" s="115"/>
      <c r="Q1584" s="127"/>
    </row>
    <row r="1585" spans="2:17" ht="48" customHeight="1">
      <c r="B1585" s="150" t="s">
        <v>277</v>
      </c>
      <c r="C1585" s="26" t="s">
        <v>278</v>
      </c>
      <c r="D1585" s="26" t="s">
        <v>8</v>
      </c>
      <c r="E1585" s="447" t="str">
        <f>IFERROR(VLOOKUP($C1585,'SINAPI JULHO 2018'!$1:$1048576,2,0),IFERROR(VLOOKUP($C1585,'5-COMP. PROPRIA'!$B$13:$I$518,4,0),""))</f>
        <v>MICTORIO SIFONADO DE LOUCA BRANCA COM PERTENCES, COM REGISTRO DE PRESSAO 1/2" COM CANOPLA CROMADA ACABAMENTO SIMPLES E CONJUNTO PARA FIXACAO  - FORNECIMENTO E INSTALACAO</v>
      </c>
      <c r="F1585" s="448"/>
      <c r="G1585" s="448"/>
      <c r="H1585" s="448"/>
      <c r="I1585" s="448"/>
      <c r="J1585" s="449"/>
      <c r="K1585" s="184">
        <v>3</v>
      </c>
      <c r="L1585" s="57" t="s">
        <v>5</v>
      </c>
      <c r="M1585" s="93"/>
      <c r="N1585" s="68"/>
      <c r="O1585" s="115"/>
      <c r="Q1585" s="127"/>
    </row>
    <row r="1586" spans="2:17" ht="15">
      <c r="B1586" s="150"/>
      <c r="E1586" s="276"/>
      <c r="F1586" s="221"/>
      <c r="G1586" s="221"/>
      <c r="H1586" s="221"/>
      <c r="I1586" s="221"/>
      <c r="J1586" s="222"/>
      <c r="K1586" s="184"/>
      <c r="M1586" s="93"/>
      <c r="N1586" s="68"/>
      <c r="O1586" s="115"/>
      <c r="Q1586" s="127"/>
    </row>
    <row r="1587" spans="2:17" ht="39.75" customHeight="1">
      <c r="B1587" s="150" t="s">
        <v>274</v>
      </c>
      <c r="C1587" s="94" t="str">
        <f>'5-COMP. PROPRIA'!B153</f>
        <v>CP-HID-04</v>
      </c>
      <c r="D1587" s="16" t="s">
        <v>35</v>
      </c>
      <c r="E1587" s="447" t="str">
        <f>IFERROR(VLOOKUP($C1587,'SINAPI JULHO 2018'!$1:$1048576,2,0),IFERROR(VLOOKUP($C1587,'5-COMP. PROPRIA'!$B$13:$I$518,4,0),""))</f>
        <v>FORNECIMENTO E INSTALAÇÃO BARRAS DE APOIO EM ACO INOX POLIDO, DIAMETRO MINIMO 3 CM</v>
      </c>
      <c r="F1587" s="448"/>
      <c r="G1587" s="448"/>
      <c r="H1587" s="448"/>
      <c r="I1587" s="448"/>
      <c r="J1587" s="449"/>
      <c r="K1587" s="184">
        <v>1</v>
      </c>
      <c r="L1587" s="57" t="s">
        <v>5</v>
      </c>
      <c r="M1587" s="93"/>
      <c r="N1587" s="68"/>
      <c r="O1587" s="115"/>
      <c r="Q1587" s="127"/>
    </row>
    <row r="1588" spans="2:17" ht="15">
      <c r="B1588" s="150"/>
      <c r="E1588" s="276"/>
      <c r="F1588" s="221"/>
      <c r="G1588" s="221"/>
      <c r="H1588" s="221"/>
      <c r="I1588" s="221"/>
      <c r="J1588" s="222"/>
      <c r="K1588" s="184"/>
      <c r="M1588" s="93"/>
      <c r="N1588" s="68"/>
      <c r="O1588" s="115"/>
      <c r="Q1588" s="127"/>
    </row>
    <row r="1589" spans="2:17" ht="15">
      <c r="B1589" s="150" t="s">
        <v>279</v>
      </c>
      <c r="C1589" s="26">
        <v>85096</v>
      </c>
      <c r="D1589" s="26" t="s">
        <v>8</v>
      </c>
      <c r="E1589" s="447" t="str">
        <f>IFERROR(VLOOKUP($C1589,'SINAPI JULHO 2018'!$1:$1048576,2,0),IFERROR(VLOOKUP($C1589,'5-COMP. PROPRIA'!$B$13:$I$518,4,0),""))</f>
        <v>GRADIL DE ALUMINIO ANODIZADO TIPO BARRA CHATA</v>
      </c>
      <c r="F1589" s="448"/>
      <c r="G1589" s="448"/>
      <c r="H1589" s="448"/>
      <c r="I1589" s="448"/>
      <c r="J1589" s="449"/>
      <c r="K1589" s="184">
        <f>(2.04+1.9)*2.1</f>
        <v>8.2740000000000009</v>
      </c>
      <c r="L1589" s="57" t="s">
        <v>145</v>
      </c>
      <c r="M1589" s="93"/>
      <c r="N1589" s="68"/>
      <c r="O1589" s="115"/>
      <c r="Q1589" s="127"/>
    </row>
    <row r="1590" spans="2:17" ht="15">
      <c r="B1590" s="150"/>
      <c r="E1590" s="276"/>
      <c r="F1590" s="221"/>
      <c r="G1590" s="221"/>
      <c r="H1590" s="221"/>
      <c r="I1590" s="221"/>
      <c r="J1590" s="222"/>
      <c r="K1590" s="184"/>
      <c r="M1590" s="93"/>
      <c r="N1590" s="68"/>
      <c r="O1590" s="115"/>
      <c r="Q1590" s="127"/>
    </row>
    <row r="1591" spans="2:17" ht="15">
      <c r="B1591" s="150" t="s">
        <v>279</v>
      </c>
      <c r="C1591" s="16" t="s">
        <v>141</v>
      </c>
      <c r="D1591" s="16" t="s">
        <v>35</v>
      </c>
      <c r="E1591" s="447" t="str">
        <f>IFERROR(VLOOKUP($C1591,'SINAPI JULHO 2018'!$1:$1048576,2,0),IFERROR(VLOOKUP($C1591,'5-COMP. PROPRIA'!$B$13:$I$518,4,0),""))</f>
        <v xml:space="preserve">LIXAMENTO DE SUPERFICIE METÁLICA </v>
      </c>
      <c r="F1591" s="448"/>
      <c r="G1591" s="448"/>
      <c r="H1591" s="448"/>
      <c r="I1591" s="448"/>
      <c r="J1591" s="449"/>
      <c r="K1591" s="184">
        <f>K1589*2</f>
        <v>16.548000000000002</v>
      </c>
      <c r="L1591" s="57" t="s">
        <v>145</v>
      </c>
      <c r="M1591" s="93"/>
      <c r="N1591" s="68"/>
      <c r="O1591" s="115"/>
      <c r="Q1591" s="127"/>
    </row>
    <row r="1592" spans="2:17" ht="15">
      <c r="B1592" s="150"/>
      <c r="E1592" s="276"/>
      <c r="F1592" s="221"/>
      <c r="G1592" s="221"/>
      <c r="H1592" s="221"/>
      <c r="I1592" s="221"/>
      <c r="J1592" s="222"/>
      <c r="K1592" s="184"/>
      <c r="M1592" s="93"/>
      <c r="N1592" s="68"/>
      <c r="O1592" s="115"/>
      <c r="Q1592" s="127"/>
    </row>
    <row r="1593" spans="2:17" ht="15">
      <c r="B1593" s="150" t="s">
        <v>279</v>
      </c>
      <c r="C1593" s="94" t="s">
        <v>142</v>
      </c>
      <c r="D1593" s="26" t="s">
        <v>8</v>
      </c>
      <c r="E1593" s="447" t="str">
        <f>IFERROR(VLOOKUP($C1593,'SINAPI JULHO 2018'!$1:$1048576,2,0),IFERROR(VLOOKUP($C1593,'5-COMP. PROPRIA'!$B$13:$I$518,4,0),""))</f>
        <v>PINTURA ESMALTE ALTO BRILHO, DUAS DEMAOS, SOBRE SUPERFICIE METALICA</v>
      </c>
      <c r="F1593" s="448"/>
      <c r="G1593" s="448"/>
      <c r="H1593" s="448"/>
      <c r="I1593" s="448"/>
      <c r="J1593" s="449"/>
      <c r="K1593" s="184">
        <f>K1591</f>
        <v>16.548000000000002</v>
      </c>
      <c r="L1593" s="57" t="s">
        <v>145</v>
      </c>
      <c r="M1593" s="93"/>
      <c r="N1593" s="68"/>
      <c r="O1593" s="115"/>
      <c r="Q1593" s="127"/>
    </row>
    <row r="1594" spans="2:17" ht="15">
      <c r="B1594" s="150"/>
      <c r="E1594" s="276"/>
      <c r="F1594" s="221"/>
      <c r="G1594" s="221"/>
      <c r="H1594" s="221"/>
      <c r="I1594" s="221"/>
      <c r="J1594" s="222"/>
      <c r="K1594" s="184"/>
      <c r="M1594" s="93"/>
      <c r="N1594" s="68"/>
      <c r="O1594" s="115"/>
      <c r="Q1594" s="127"/>
    </row>
    <row r="1595" spans="2:17" ht="33.75" customHeight="1">
      <c r="B1595" s="150" t="s">
        <v>280</v>
      </c>
      <c r="C1595" s="26" t="s">
        <v>175</v>
      </c>
      <c r="D1595" s="26" t="s">
        <v>8</v>
      </c>
      <c r="E1595" s="447" t="str">
        <f>IFERROR(VLOOKUP($C1595,'SINAPI JULHO 2018'!$1:$1048576,2,0),IFERROR(VLOOKUP($C1595,'5-COMP. PROPRIA'!$B$13:$I$518,4,0),""))</f>
        <v>DIVISORIA EM MARMORITE ESPESSURA 35MM, CHUMBAMENTO NO PISO E PAREDE COM ARGAMASSA DE CIMENTO E AREIA, POLIMENTO MANUAL, EXCLUSIVE FERRAGENS</v>
      </c>
      <c r="F1595" s="448"/>
      <c r="G1595" s="448"/>
      <c r="H1595" s="448"/>
      <c r="I1595" s="448"/>
      <c r="J1595" s="449"/>
      <c r="K1595" s="184">
        <f>((3.3+5.25)*2.1)+(0.5*2*0.8)</f>
        <v>18.755000000000003</v>
      </c>
      <c r="L1595" s="57" t="s">
        <v>145</v>
      </c>
      <c r="M1595" s="184"/>
      <c r="N1595" s="68"/>
      <c r="O1595" s="115"/>
      <c r="Q1595" s="127"/>
    </row>
    <row r="1596" spans="2:17" ht="15">
      <c r="B1596" s="150"/>
      <c r="E1596" s="276"/>
      <c r="F1596" s="221"/>
      <c r="G1596" s="221"/>
      <c r="H1596" s="221"/>
      <c r="I1596" s="221"/>
      <c r="J1596" s="222"/>
      <c r="K1596" s="184"/>
      <c r="M1596" s="93"/>
      <c r="N1596" s="68"/>
      <c r="O1596" s="115"/>
      <c r="Q1596" s="127"/>
    </row>
    <row r="1597" spans="2:17" ht="15">
      <c r="B1597" s="150"/>
      <c r="D1597" s="16"/>
      <c r="E1597" s="453" t="s">
        <v>281</v>
      </c>
      <c r="F1597" s="454"/>
      <c r="G1597" s="454"/>
      <c r="H1597" s="454"/>
      <c r="I1597" s="454"/>
      <c r="J1597" s="455"/>
      <c r="K1597" s="184"/>
      <c r="M1597" s="93"/>
      <c r="N1597" s="68"/>
      <c r="O1597" s="115"/>
      <c r="Q1597" s="127"/>
    </row>
    <row r="1598" spans="2:17" ht="15">
      <c r="B1598" s="150"/>
      <c r="E1598" s="276"/>
      <c r="F1598" s="221"/>
      <c r="G1598" s="221"/>
      <c r="H1598" s="221"/>
      <c r="I1598" s="221"/>
      <c r="J1598" s="222"/>
      <c r="K1598" s="184"/>
      <c r="M1598" s="93"/>
      <c r="N1598" s="68"/>
      <c r="O1598" s="115"/>
      <c r="Q1598" s="127"/>
    </row>
    <row r="1599" spans="2:17" ht="15">
      <c r="B1599" s="150"/>
      <c r="C1599" s="94" t="str">
        <f>'5-COMP. PROPRIA'!B42</f>
        <v>CP-DEM-01</v>
      </c>
      <c r="D1599" s="16" t="s">
        <v>35</v>
      </c>
      <c r="E1599" s="447" t="str">
        <f>IFERROR(VLOOKUP($C1599,'SINAPI JULHO 2018'!$1:$1048576,2,0),IFERROR(VLOOKUP($C1599,'5-COMP. PROPRIA'!$B$13:$I$518,4,0),""))</f>
        <v>DEMOLIÇÃO DE CONCRETO SIMPLES</v>
      </c>
      <c r="F1599" s="448"/>
      <c r="G1599" s="448"/>
      <c r="H1599" s="448"/>
      <c r="I1599" s="448"/>
      <c r="J1599" s="449"/>
      <c r="K1599" s="184">
        <f>1.55*0.35*0.42</f>
        <v>0.22785</v>
      </c>
      <c r="L1599" s="57" t="s">
        <v>178</v>
      </c>
      <c r="M1599" s="93"/>
      <c r="N1599" s="68"/>
      <c r="O1599" s="115"/>
      <c r="Q1599" s="127"/>
    </row>
    <row r="1600" spans="2:17" ht="15">
      <c r="B1600" s="150"/>
      <c r="E1600" s="276"/>
      <c r="F1600" s="221"/>
      <c r="G1600" s="221"/>
      <c r="H1600" s="221"/>
      <c r="I1600" s="221"/>
      <c r="J1600" s="222"/>
      <c r="K1600" s="184"/>
      <c r="M1600" s="93"/>
      <c r="N1600" s="68"/>
      <c r="O1600" s="115"/>
      <c r="Q1600" s="127"/>
    </row>
    <row r="1601" spans="2:17" ht="15">
      <c r="B1601" s="150"/>
      <c r="C1601" s="26">
        <v>72897</v>
      </c>
      <c r="D1601" s="26" t="s">
        <v>8</v>
      </c>
      <c r="E1601" s="447" t="str">
        <f>IFERROR(VLOOKUP($C1601,'SINAPI JULHO 2018'!$1:$1048576,2,0),IFERROR(VLOOKUP($C1601,'5-COMP. PROPRIA'!$B$13:$I$518,4,0),""))</f>
        <v>CARGA MANUAL DE ENTULHO EM CAMINHAO BASCULANTE 6 M3</v>
      </c>
      <c r="F1601" s="448"/>
      <c r="G1601" s="448"/>
      <c r="H1601" s="448"/>
      <c r="I1601" s="448"/>
      <c r="J1601" s="449"/>
      <c r="K1601" s="184">
        <f>K1599*2</f>
        <v>0.45569999999999999</v>
      </c>
      <c r="L1601" s="57" t="s">
        <v>145</v>
      </c>
      <c r="M1601" s="93"/>
      <c r="N1601" s="68"/>
      <c r="O1601" s="115"/>
      <c r="Q1601" s="127"/>
    </row>
    <row r="1602" spans="2:17" ht="15">
      <c r="B1602" s="150"/>
      <c r="E1602" s="276"/>
      <c r="F1602" s="221"/>
      <c r="G1602" s="221"/>
      <c r="H1602" s="221"/>
      <c r="I1602" s="221"/>
      <c r="J1602" s="222"/>
      <c r="K1602" s="184"/>
      <c r="M1602" s="93"/>
      <c r="N1602" s="68"/>
      <c r="O1602" s="115"/>
      <c r="Q1602" s="127"/>
    </row>
    <row r="1603" spans="2:17" ht="39.75" customHeight="1">
      <c r="B1603" s="150"/>
      <c r="C1603" s="26">
        <v>97914</v>
      </c>
      <c r="D1603" s="26" t="s">
        <v>8</v>
      </c>
      <c r="E1603" s="447" t="str">
        <f>IFERROR(VLOOKUP($C1603,'SINAPI JULHO 2018'!$1:$1048576,2,0),IFERROR(VLOOKUP($C1603,'5-COMP. PROPRIA'!$B$13:$I$518,4,0),""))</f>
        <v>TRANSPORTE COM CAMINHÃO BASCULANTE DE 6 M3, EM VIA URBANA PAVIMENTADA, DMT ATÉ 30 KM (UNIDADE: M3XKM). AF_01/2018</v>
      </c>
      <c r="F1603" s="448"/>
      <c r="G1603" s="448"/>
      <c r="H1603" s="448"/>
      <c r="I1603" s="448"/>
      <c r="J1603" s="449"/>
      <c r="K1603" s="184">
        <f>K1601*7.5</f>
        <v>3.4177499999999998</v>
      </c>
      <c r="L1603" s="57" t="s">
        <v>145</v>
      </c>
      <c r="M1603" s="93"/>
      <c r="N1603" s="68"/>
      <c r="O1603" s="115"/>
      <c r="Q1603" s="127"/>
    </row>
    <row r="1604" spans="2:17" ht="15">
      <c r="B1604" s="150"/>
      <c r="E1604" s="276"/>
      <c r="F1604" s="221"/>
      <c r="G1604" s="221"/>
      <c r="H1604" s="221"/>
      <c r="I1604" s="221"/>
      <c r="J1604" s="222"/>
      <c r="K1604" s="184"/>
      <c r="M1604" s="93"/>
      <c r="N1604" s="68"/>
      <c r="O1604" s="115"/>
      <c r="Q1604" s="127"/>
    </row>
    <row r="1605" spans="2:17" ht="36" customHeight="1">
      <c r="B1605" s="150"/>
      <c r="C1605" s="26">
        <v>96617</v>
      </c>
      <c r="D1605" s="26" t="s">
        <v>8</v>
      </c>
      <c r="E1605" s="447" t="str">
        <f>IFERROR(VLOOKUP($C1605,'SINAPI JULHO 2018'!$1:$1048576,2,0),IFERROR(VLOOKUP($C1605,'5-COMP. PROPRIA'!$B$13:$I$518,4,0),""))</f>
        <v>LASTRO DE CONCRETO MAGRO, APLICADO EM BLOCOS DE COROAMENTO OU SAPATAS, ESPESSURA DE 3 CM. AF_08/2017</v>
      </c>
      <c r="F1605" s="448"/>
      <c r="G1605" s="448"/>
      <c r="H1605" s="448"/>
      <c r="I1605" s="448"/>
      <c r="J1605" s="449"/>
      <c r="K1605" s="184">
        <f>5*1.55</f>
        <v>7.75</v>
      </c>
      <c r="L1605" s="57" t="s">
        <v>145</v>
      </c>
      <c r="M1605" s="93"/>
      <c r="N1605" s="68"/>
      <c r="O1605" s="115"/>
      <c r="Q1605" s="127"/>
    </row>
    <row r="1606" spans="2:17" ht="15">
      <c r="B1606" s="150"/>
      <c r="E1606" s="276"/>
      <c r="F1606" s="221"/>
      <c r="G1606" s="221"/>
      <c r="H1606" s="221"/>
      <c r="I1606" s="221"/>
      <c r="J1606" s="222"/>
      <c r="K1606" s="184"/>
      <c r="M1606" s="93"/>
      <c r="N1606" s="68"/>
      <c r="O1606" s="115"/>
      <c r="Q1606" s="127"/>
    </row>
    <row r="1607" spans="2:17" ht="36.75" customHeight="1">
      <c r="B1607" s="150"/>
      <c r="C1607" s="26">
        <v>94965</v>
      </c>
      <c r="D1607" s="26" t="s">
        <v>8</v>
      </c>
      <c r="E1607" s="447" t="str">
        <f>IFERROR(VLOOKUP($C1607,'SINAPI JULHO 2018'!$1:$1048576,2,0),IFERROR(VLOOKUP($C1607,'5-COMP. PROPRIA'!$B$13:$I$518,4,0),""))</f>
        <v>CONCRETO FCK = 25MPA, TRAÇO 1:2,3:2,7 (CIMENTO/ AREIA MÉDIA/ BRITA 1)  - PREPARO MECÂNICO COM BETONEIRA 400 L. AF_07/2016</v>
      </c>
      <c r="F1607" s="448"/>
      <c r="G1607" s="448"/>
      <c r="H1607" s="448"/>
      <c r="I1607" s="448"/>
      <c r="J1607" s="449"/>
      <c r="K1607" s="184">
        <f>K1605*0.42*0.7</f>
        <v>2.2784999999999997</v>
      </c>
      <c r="L1607" s="57" t="s">
        <v>178</v>
      </c>
      <c r="M1607" s="93"/>
      <c r="N1607" s="68"/>
      <c r="O1607" s="115"/>
      <c r="Q1607" s="127"/>
    </row>
    <row r="1608" spans="2:17" ht="15">
      <c r="B1608" s="150"/>
      <c r="E1608" s="276"/>
      <c r="F1608" s="221"/>
      <c r="G1608" s="221"/>
      <c r="H1608" s="221"/>
      <c r="I1608" s="221"/>
      <c r="J1608" s="222"/>
      <c r="K1608" s="184"/>
      <c r="M1608" s="93"/>
      <c r="N1608" s="68"/>
      <c r="O1608" s="115"/>
      <c r="Q1608" s="127"/>
    </row>
    <row r="1609" spans="2:17" ht="15">
      <c r="B1609" s="150"/>
      <c r="C1609" s="16" t="s">
        <v>111</v>
      </c>
      <c r="D1609" s="26" t="s">
        <v>8</v>
      </c>
      <c r="E1609" s="447" t="str">
        <f>IFERROR(VLOOKUP($C1609,'SINAPI JULHO 2018'!$1:$1048576,2,0),IFERROR(VLOOKUP($C1609,'5-COMP. PROPRIA'!$B$13:$I$518,4,0),""))</f>
        <v>LANCAMENTO/APLICACAO MANUAL DE CONCRETO EM FUNDACOES</v>
      </c>
      <c r="F1609" s="448"/>
      <c r="G1609" s="448"/>
      <c r="H1609" s="448"/>
      <c r="I1609" s="448"/>
      <c r="J1609" s="449"/>
      <c r="K1609" s="184">
        <f>K1607</f>
        <v>2.2784999999999997</v>
      </c>
      <c r="L1609" s="57" t="s">
        <v>178</v>
      </c>
      <c r="M1609" s="93"/>
      <c r="N1609" s="68"/>
      <c r="O1609" s="115"/>
      <c r="Q1609" s="127"/>
    </row>
    <row r="1610" spans="2:17" ht="15">
      <c r="B1610" s="150"/>
      <c r="E1610" s="276"/>
      <c r="F1610" s="221"/>
      <c r="G1610" s="221"/>
      <c r="H1610" s="221"/>
      <c r="I1610" s="221"/>
      <c r="J1610" s="222"/>
      <c r="K1610" s="184"/>
      <c r="M1610" s="93"/>
      <c r="N1610" s="68"/>
      <c r="O1610" s="115"/>
      <c r="Q1610" s="127"/>
    </row>
    <row r="1611" spans="2:17" ht="34.5" customHeight="1">
      <c r="B1611" s="150"/>
      <c r="C1611" s="26" t="s">
        <v>282</v>
      </c>
      <c r="D1611" s="26" t="s">
        <v>8</v>
      </c>
      <c r="E1611" s="447" t="str">
        <f>IFERROR(VLOOKUP($C1611,'SINAPI JULHO 2018'!$1:$1048576,2,0),IFERROR(VLOOKUP($C1611,'5-COMP. PROPRIA'!$B$13:$I$518,4,0),""))</f>
        <v>ARMACAO EM TELA DE ACO SOLDADA NERVURADA Q-138, ACO CA-60, 4,2MM, MALHA 10X10CM</v>
      </c>
      <c r="F1611" s="448"/>
      <c r="G1611" s="448"/>
      <c r="H1611" s="448"/>
      <c r="I1611" s="448"/>
      <c r="J1611" s="449"/>
      <c r="K1611" s="184">
        <f>5*0.25*1.55</f>
        <v>1.9375</v>
      </c>
      <c r="L1611" s="57" t="s">
        <v>283</v>
      </c>
      <c r="M1611" s="93"/>
      <c r="N1611" s="68"/>
      <c r="O1611" s="115"/>
      <c r="Q1611" s="127"/>
    </row>
    <row r="1612" spans="2:17" ht="15">
      <c r="B1612" s="150"/>
      <c r="E1612" s="276"/>
      <c r="F1612" s="221"/>
      <c r="G1612" s="221"/>
      <c r="H1612" s="221"/>
      <c r="I1612" s="221"/>
      <c r="J1612" s="222"/>
      <c r="K1612" s="184"/>
      <c r="M1612" s="93"/>
      <c r="N1612" s="68"/>
      <c r="O1612" s="115"/>
      <c r="Q1612" s="127"/>
    </row>
    <row r="1613" spans="2:17" ht="30.75" customHeight="1">
      <c r="B1613" s="150"/>
      <c r="C1613" s="26">
        <v>96536</v>
      </c>
      <c r="D1613" s="26" t="s">
        <v>8</v>
      </c>
      <c r="E1613" s="447" t="str">
        <f>IFERROR(VLOOKUP($C1613,'SINAPI JULHO 2018'!$1:$1048576,2,0),IFERROR(VLOOKUP($C1613,'5-COMP. PROPRIA'!$B$13:$I$518,4,0),""))</f>
        <v>FABRICAÇÃO, MONTAGEM E DESMONTAGEM DE FÔRMA PARA VIGA BALDRAME, EM MADEIRA SERRADA, E=25 MM, 4 UTILIZAÇÕES. AF_06/2017</v>
      </c>
      <c r="F1613" s="448"/>
      <c r="G1613" s="448"/>
      <c r="H1613" s="448"/>
      <c r="I1613" s="448"/>
      <c r="J1613" s="449"/>
      <c r="K1613" s="184">
        <f>5*0.42*2</f>
        <v>4.2</v>
      </c>
      <c r="L1613" s="57" t="s">
        <v>145</v>
      </c>
      <c r="M1613" s="93"/>
      <c r="N1613" s="68"/>
      <c r="O1613" s="115"/>
      <c r="Q1613" s="127"/>
    </row>
    <row r="1614" spans="2:17" ht="15">
      <c r="B1614" s="150"/>
      <c r="E1614" s="276"/>
      <c r="F1614" s="221"/>
      <c r="G1614" s="221"/>
      <c r="H1614" s="221"/>
      <c r="I1614" s="221"/>
      <c r="J1614" s="222"/>
      <c r="K1614" s="184"/>
      <c r="M1614" s="93"/>
      <c r="N1614" s="68"/>
      <c r="O1614" s="115"/>
      <c r="Q1614" s="127"/>
    </row>
    <row r="1615" spans="2:17" ht="15">
      <c r="B1615" s="150"/>
      <c r="C1615" s="16" t="s">
        <v>183</v>
      </c>
      <c r="D1615" s="26" t="s">
        <v>8</v>
      </c>
      <c r="E1615" s="447" t="str">
        <f>IFERROR(VLOOKUP($C1615,'SINAPI JULHO 2018'!$1:$1048576,2,0),IFERROR(VLOOKUP($C1615,'5-COMP. PROPRIA'!$B$13:$I$518,4,0),""))</f>
        <v>GUARDA-CORPO  COM CORRIMAO EM FERRO BARRA CHATA 3/16"</v>
      </c>
      <c r="F1615" s="448"/>
      <c r="G1615" s="448"/>
      <c r="H1615" s="448"/>
      <c r="I1615" s="448"/>
      <c r="J1615" s="449"/>
      <c r="K1615" s="184">
        <v>5</v>
      </c>
      <c r="L1615" s="57" t="s">
        <v>172</v>
      </c>
      <c r="M1615" s="93"/>
      <c r="N1615" s="68"/>
      <c r="O1615" s="115"/>
      <c r="Q1615" s="127"/>
    </row>
    <row r="1616" spans="2:17" ht="15">
      <c r="B1616" s="150"/>
      <c r="E1616" s="276"/>
      <c r="F1616" s="221"/>
      <c r="G1616" s="221"/>
      <c r="H1616" s="221"/>
      <c r="I1616" s="221"/>
      <c r="J1616" s="222"/>
      <c r="K1616" s="184"/>
      <c r="M1616" s="93"/>
      <c r="N1616" s="68"/>
      <c r="O1616" s="115"/>
      <c r="Q1616" s="127"/>
    </row>
    <row r="1617" spans="2:17" ht="15">
      <c r="B1617" s="150" t="s">
        <v>284</v>
      </c>
      <c r="C1617" s="16" t="s">
        <v>210</v>
      </c>
      <c r="D1617" s="26" t="s">
        <v>8</v>
      </c>
      <c r="E1617" s="447" t="str">
        <f>IFERROR(VLOOKUP($C1617,'SINAPI JULHO 2018'!$1:$1048576,2,0),IFERROR(VLOOKUP($C1617,'5-COMP. PROPRIA'!$B$13:$I$518,4,0),""))</f>
        <v>PINTURA ACRILICA EM PISO CIMENTADO, TRES DEMAOS</v>
      </c>
      <c r="F1617" s="448"/>
      <c r="G1617" s="448"/>
      <c r="H1617" s="448"/>
      <c r="I1617" s="448"/>
      <c r="J1617" s="449"/>
      <c r="K1617" s="184">
        <f>K1605*1.1</f>
        <v>8.5250000000000004</v>
      </c>
      <c r="L1617" s="57" t="s">
        <v>145</v>
      </c>
      <c r="M1617" s="93"/>
      <c r="N1617" s="68"/>
      <c r="O1617" s="115"/>
      <c r="Q1617" s="127"/>
    </row>
    <row r="1618" spans="2:17" ht="15.75" thickBot="1">
      <c r="B1618" s="150"/>
      <c r="E1618" s="276"/>
      <c r="F1618" s="221"/>
      <c r="G1618" s="221"/>
      <c r="H1618" s="221"/>
      <c r="I1618" s="221"/>
      <c r="J1618" s="222"/>
      <c r="K1618" s="184"/>
      <c r="M1618" s="93"/>
      <c r="N1618" s="68"/>
      <c r="O1618" s="115"/>
      <c r="Q1618" s="127"/>
    </row>
    <row r="1619" spans="2:17" s="320" customFormat="1" ht="15.75" thickBot="1">
      <c r="B1619" s="322"/>
      <c r="C1619" s="323"/>
      <c r="D1619" s="379"/>
      <c r="E1619" s="459" t="s">
        <v>285</v>
      </c>
      <c r="F1619" s="460"/>
      <c r="G1619" s="460"/>
      <c r="H1619" s="460"/>
      <c r="I1619" s="460"/>
      <c r="J1619" s="461"/>
      <c r="K1619" s="350"/>
      <c r="L1619" s="325"/>
      <c r="M1619" s="352"/>
      <c r="N1619" s="318"/>
      <c r="O1619" s="319"/>
      <c r="Q1619" s="321"/>
    </row>
    <row r="1620" spans="2:17" ht="15">
      <c r="B1620" s="150"/>
      <c r="E1620" s="276"/>
      <c r="F1620" s="221"/>
      <c r="G1620" s="221"/>
      <c r="H1620" s="221"/>
      <c r="I1620" s="221"/>
      <c r="J1620" s="222"/>
      <c r="K1620" s="184"/>
      <c r="M1620" s="93"/>
      <c r="N1620" s="68"/>
      <c r="O1620" s="115"/>
      <c r="Q1620" s="127"/>
    </row>
    <row r="1621" spans="2:17" ht="15">
      <c r="B1621" s="268"/>
      <c r="C1621" s="302"/>
      <c r="D1621" s="302"/>
      <c r="E1621" s="462" t="s">
        <v>286</v>
      </c>
      <c r="F1621" s="463"/>
      <c r="G1621" s="463"/>
      <c r="H1621" s="463"/>
      <c r="I1621" s="463"/>
      <c r="J1621" s="464"/>
      <c r="K1621" s="270"/>
      <c r="L1621" s="303"/>
      <c r="M1621" s="272"/>
      <c r="N1621" s="304"/>
      <c r="O1621" s="115"/>
      <c r="Q1621" s="127"/>
    </row>
    <row r="1622" spans="2:17" ht="15">
      <c r="B1622" s="150"/>
      <c r="E1622" s="276"/>
      <c r="F1622" s="221"/>
      <c r="G1622" s="221"/>
      <c r="H1622" s="221"/>
      <c r="I1622" s="221"/>
      <c r="J1622" s="222"/>
      <c r="K1622" s="184"/>
      <c r="M1622" s="93"/>
      <c r="N1622" s="68"/>
      <c r="O1622" s="115"/>
      <c r="Q1622" s="127"/>
    </row>
    <row r="1623" spans="2:17" ht="15">
      <c r="B1623" s="150"/>
      <c r="C1623" s="26">
        <v>84084</v>
      </c>
      <c r="D1623" s="26" t="s">
        <v>8</v>
      </c>
      <c r="E1623" s="447" t="str">
        <f>IFERROR(VLOOKUP($C1623,'SINAPI JULHO 2018'!$1:$1048576,2,0),IFERROR(VLOOKUP($C1623,'5-COMP. PROPRIA'!$B$13:$I$518,4,0),""))</f>
        <v>APICOAMENTO MANUAL DE SUPERFICIE DE CONCRETO</v>
      </c>
      <c r="F1623" s="448"/>
      <c r="G1623" s="448"/>
      <c r="H1623" s="448"/>
      <c r="I1623" s="448"/>
      <c r="J1623" s="449"/>
      <c r="K1623" s="184">
        <f>((17.9*4.2)+(9.95*4.2))</f>
        <v>116.97</v>
      </c>
      <c r="L1623" s="57" t="s">
        <v>145</v>
      </c>
      <c r="M1623" s="93"/>
      <c r="N1623" s="68"/>
      <c r="O1623" s="115"/>
      <c r="Q1623" s="127"/>
    </row>
    <row r="1624" spans="2:17" ht="15">
      <c r="B1624" s="150"/>
      <c r="E1624" s="276"/>
      <c r="F1624" s="221"/>
      <c r="G1624" s="221"/>
      <c r="H1624" s="221"/>
      <c r="I1624" s="221"/>
      <c r="J1624" s="222"/>
      <c r="K1624" s="184"/>
      <c r="M1624" s="93"/>
      <c r="N1624" s="68"/>
      <c r="O1624" s="115"/>
      <c r="Q1624" s="127"/>
    </row>
    <row r="1625" spans="2:17" ht="57" customHeight="1">
      <c r="B1625" s="150"/>
      <c r="C1625" s="26">
        <v>87529</v>
      </c>
      <c r="D1625" s="26" t="s">
        <v>8</v>
      </c>
      <c r="E1625" s="447" t="str">
        <f>IFERROR(VLOOKUP($C1625,'SINAPI JULHO 2018'!$1:$1048576,2,0),IFERROR(VLOOKUP($C1625,'5-COMP. PROPRIA'!$B$13:$I$518,4,0),""))</f>
        <v>MASSA ÚNICA, PARA RECEBIMENTO DE PINTURA, EM ARGAMASSA TRAÇO 1:2:8, PREPARO MECÂNICO COM BETONEIRA 400L, APLICADA MANUALMENTE EM FACES INTERNAS DE PAREDES, ESPESSURA DE 20MM, COM EXECUÇÃO DE TALISCAS. AF_06/2014</v>
      </c>
      <c r="F1625" s="448"/>
      <c r="G1625" s="448"/>
      <c r="H1625" s="448"/>
      <c r="I1625" s="448"/>
      <c r="J1625" s="449"/>
      <c r="K1625" s="184">
        <f>K1623</f>
        <v>116.97</v>
      </c>
      <c r="L1625" s="57" t="s">
        <v>145</v>
      </c>
      <c r="M1625" s="93"/>
      <c r="N1625" s="68"/>
      <c r="O1625" s="115"/>
      <c r="Q1625" s="127"/>
    </row>
    <row r="1626" spans="2:17" ht="15">
      <c r="B1626" s="150"/>
      <c r="E1626" s="276"/>
      <c r="F1626" s="221"/>
      <c r="G1626" s="221"/>
      <c r="H1626" s="221"/>
      <c r="I1626" s="221"/>
      <c r="J1626" s="222"/>
      <c r="K1626" s="184"/>
      <c r="M1626" s="93"/>
      <c r="N1626" s="68"/>
      <c r="O1626" s="115"/>
      <c r="Q1626" s="127"/>
    </row>
    <row r="1627" spans="2:17" ht="15">
      <c r="B1627" s="150"/>
      <c r="C1627" s="26">
        <v>88485</v>
      </c>
      <c r="D1627" s="26" t="s">
        <v>8</v>
      </c>
      <c r="E1627" s="447" t="str">
        <f>IFERROR(VLOOKUP($C1627,'SINAPI JULHO 2018'!$1:$1048576,2,0),IFERROR(VLOOKUP($C1627,'5-COMP. PROPRIA'!$B$13:$I$518,4,0),""))</f>
        <v>APLICAÇÃO DE FUNDO SELADOR ACRÍLICO EM PAREDES, UMA DEMÃO. AF_06/2014</v>
      </c>
      <c r="F1627" s="448"/>
      <c r="G1627" s="448"/>
      <c r="H1627" s="448"/>
      <c r="I1627" s="448"/>
      <c r="J1627" s="449"/>
      <c r="K1627" s="184">
        <f>(5.6+7.5)*4.2</f>
        <v>55.02</v>
      </c>
      <c r="L1627" s="57" t="s">
        <v>145</v>
      </c>
      <c r="M1627" s="93"/>
      <c r="N1627" s="68"/>
      <c r="O1627" s="115"/>
      <c r="Q1627" s="127"/>
    </row>
    <row r="1628" spans="2:17" ht="15">
      <c r="B1628" s="150"/>
      <c r="E1628" s="276"/>
      <c r="F1628" s="221"/>
      <c r="G1628" s="221"/>
      <c r="H1628" s="221"/>
      <c r="I1628" s="221"/>
      <c r="J1628" s="222"/>
      <c r="K1628" s="184"/>
      <c r="M1628" s="93"/>
      <c r="N1628" s="68"/>
      <c r="O1628" s="115"/>
      <c r="Q1628" s="127"/>
    </row>
    <row r="1629" spans="2:17" ht="28.5" customHeight="1">
      <c r="B1629" s="150"/>
      <c r="C1629" s="26">
        <v>88489</v>
      </c>
      <c r="D1629" s="26" t="s">
        <v>8</v>
      </c>
      <c r="E1629" s="447" t="str">
        <f>IFERROR(VLOOKUP($C1629,'SINAPI JULHO 2018'!$1:$1048576,2,0),IFERROR(VLOOKUP($C1629,'5-COMP. PROPRIA'!$B$13:$I$518,4,0),""))</f>
        <v>APLICAÇÃO MANUAL DE PINTURA COM TINTA LÁTEX ACRÍLICA EM PAREDES, DUAS DEMÃOS. AF_06/2014</v>
      </c>
      <c r="F1629" s="448"/>
      <c r="G1629" s="448"/>
      <c r="H1629" s="448"/>
      <c r="I1629" s="448"/>
      <c r="J1629" s="449"/>
      <c r="K1629" s="184">
        <f>(5.6+7.5)*(4.2-1)</f>
        <v>41.92</v>
      </c>
      <c r="L1629" s="57" t="s">
        <v>145</v>
      </c>
      <c r="M1629" s="93"/>
      <c r="N1629" s="68"/>
      <c r="O1629" s="115"/>
      <c r="Q1629" s="127"/>
    </row>
    <row r="1630" spans="2:17" ht="15">
      <c r="B1630" s="150"/>
      <c r="E1630" s="276"/>
      <c r="F1630" s="221"/>
      <c r="G1630" s="221"/>
      <c r="H1630" s="221"/>
      <c r="I1630" s="221"/>
      <c r="J1630" s="222"/>
      <c r="K1630" s="184"/>
      <c r="M1630" s="93"/>
      <c r="N1630" s="68"/>
      <c r="O1630" s="115"/>
      <c r="Q1630" s="127"/>
    </row>
    <row r="1631" spans="2:17" ht="15">
      <c r="B1631" s="150"/>
      <c r="C1631" s="26" t="s">
        <v>168</v>
      </c>
      <c r="D1631" s="16" t="s">
        <v>35</v>
      </c>
      <c r="E1631" s="447" t="str">
        <f>IFERROR(VLOOKUP($C1631,'SINAPI JULHO 2018'!$1:$1048576,2,0),IFERROR(VLOOKUP($C1631,'5-COMP. PROPRIA'!$B$13:$I$518,4,0),""))</f>
        <v xml:space="preserve">PINTURA COM TINTA ESMALTE SINTÉTICO </v>
      </c>
      <c r="F1631" s="448"/>
      <c r="G1631" s="448"/>
      <c r="H1631" s="448"/>
      <c r="I1631" s="448"/>
      <c r="J1631" s="449"/>
      <c r="K1631" s="184">
        <f>(5.6+7.5)*(4.2-3)</f>
        <v>15.720000000000002</v>
      </c>
      <c r="L1631" s="57" t="s">
        <v>145</v>
      </c>
      <c r="M1631" s="93"/>
      <c r="N1631" s="68"/>
      <c r="O1631" s="115"/>
      <c r="Q1631" s="127"/>
    </row>
    <row r="1632" spans="2:17" ht="15">
      <c r="B1632" s="150"/>
      <c r="E1632" s="276"/>
      <c r="F1632" s="221"/>
      <c r="G1632" s="221"/>
      <c r="H1632" s="221"/>
      <c r="I1632" s="221"/>
      <c r="J1632" s="222"/>
      <c r="K1632" s="184"/>
      <c r="M1632" s="93"/>
      <c r="N1632" s="68"/>
      <c r="O1632" s="115"/>
      <c r="Q1632" s="127"/>
    </row>
    <row r="1633" spans="2:17" ht="15">
      <c r="B1633" s="150"/>
      <c r="C1633" s="26">
        <v>88483</v>
      </c>
      <c r="D1633" s="26" t="s">
        <v>8</v>
      </c>
      <c r="E1633" s="447" t="str">
        <f>IFERROR(VLOOKUP($C1633,'SINAPI JULHO 2018'!$1:$1048576,2,0),IFERROR(VLOOKUP($C1633,'5-COMP. PROPRIA'!$B$13:$I$518,4,0),""))</f>
        <v>APLICAÇÃO DE FUNDO SELADOR LÁTEX PVA EM PAREDES, UMA DEMÃO. AF_06/2014</v>
      </c>
      <c r="F1633" s="448"/>
      <c r="G1633" s="448"/>
      <c r="H1633" s="448"/>
      <c r="I1633" s="448"/>
      <c r="J1633" s="449"/>
      <c r="K1633" s="184">
        <f>((17.9*4.2)+(9.95*4.2))</f>
        <v>116.97</v>
      </c>
      <c r="L1633" s="57" t="s">
        <v>145</v>
      </c>
      <c r="M1633" s="93"/>
      <c r="N1633" s="68"/>
      <c r="O1633" s="115"/>
      <c r="Q1633" s="127"/>
    </row>
    <row r="1634" spans="2:17" ht="15">
      <c r="B1634" s="150"/>
      <c r="E1634" s="276"/>
      <c r="F1634" s="221"/>
      <c r="G1634" s="221"/>
      <c r="H1634" s="221"/>
      <c r="I1634" s="221"/>
      <c r="J1634" s="222"/>
      <c r="K1634" s="184"/>
      <c r="M1634" s="93"/>
      <c r="N1634" s="68"/>
      <c r="O1634" s="115"/>
      <c r="Q1634" s="127"/>
    </row>
    <row r="1635" spans="2:17" ht="35.25" customHeight="1">
      <c r="B1635" s="150"/>
      <c r="C1635" s="26">
        <v>88487</v>
      </c>
      <c r="D1635" s="26" t="s">
        <v>8</v>
      </c>
      <c r="E1635" s="447" t="str">
        <f>IFERROR(VLOOKUP($C1635,'SINAPI JULHO 2018'!$1:$1048576,2,0),IFERROR(VLOOKUP($C1635,'5-COMP. PROPRIA'!$B$13:$I$518,4,0),""))</f>
        <v>APLICAÇÃO MANUAL DE PINTURA COM TINTA LÁTEX PVA EM PAREDES, DUAS DEMÃOS. AF_06/2014</v>
      </c>
      <c r="F1635" s="448"/>
      <c r="G1635" s="448"/>
      <c r="H1635" s="448"/>
      <c r="I1635" s="448"/>
      <c r="J1635" s="449"/>
      <c r="K1635" s="184">
        <f>K1633</f>
        <v>116.97</v>
      </c>
      <c r="L1635" s="57" t="s">
        <v>145</v>
      </c>
      <c r="M1635" s="93"/>
      <c r="N1635" s="68"/>
      <c r="O1635" s="115"/>
      <c r="Q1635" s="127"/>
    </row>
    <row r="1636" spans="2:17" ht="15">
      <c r="B1636" s="150"/>
      <c r="E1636" s="276"/>
      <c r="F1636" s="221"/>
      <c r="G1636" s="221"/>
      <c r="H1636" s="221"/>
      <c r="I1636" s="221"/>
      <c r="J1636" s="222"/>
      <c r="K1636" s="184"/>
      <c r="M1636" s="93"/>
      <c r="N1636" s="68"/>
      <c r="O1636" s="115"/>
      <c r="Q1636" s="127"/>
    </row>
    <row r="1637" spans="2:17" ht="15">
      <c r="B1637" s="268"/>
      <c r="C1637" s="302"/>
      <c r="D1637" s="302"/>
      <c r="E1637" s="462" t="s">
        <v>287</v>
      </c>
      <c r="F1637" s="463"/>
      <c r="G1637" s="463"/>
      <c r="H1637" s="463"/>
      <c r="I1637" s="463"/>
      <c r="J1637" s="464"/>
      <c r="K1637" s="270"/>
      <c r="L1637" s="303"/>
      <c r="M1637" s="272"/>
      <c r="N1637" s="304"/>
      <c r="O1637" s="115"/>
      <c r="Q1637" s="127"/>
    </row>
    <row r="1638" spans="2:17" ht="15">
      <c r="B1638" s="150"/>
      <c r="E1638" s="276"/>
      <c r="F1638" s="221"/>
      <c r="G1638" s="221"/>
      <c r="H1638" s="221"/>
      <c r="I1638" s="221"/>
      <c r="J1638" s="222"/>
      <c r="K1638" s="184"/>
      <c r="M1638" s="93"/>
      <c r="N1638" s="68"/>
      <c r="O1638" s="115"/>
      <c r="Q1638" s="127"/>
    </row>
    <row r="1639" spans="2:17" ht="75" customHeight="1">
      <c r="B1639" s="150" t="s">
        <v>288</v>
      </c>
      <c r="C1639" s="26">
        <v>72110</v>
      </c>
      <c r="D1639" s="26" t="s">
        <v>8</v>
      </c>
      <c r="E1639" s="447" t="str">
        <f>IFERROR(VLOOKUP($C1639,'SINAPI JULHO 2018'!$1:$1048576,2,0),IFERROR(VLOOKUP($C1639,'5-COMP. PROPRIA'!$B$13:$I$518,4,0),""))</f>
        <v>ESTRUTURA METALICA EM TESOURAS OU TRELICAS, VAO LIVRE DE 12M, FORNECIMENTO E MONTAGEM, NAO SENDO CONSIDERADOS OS FECHAMENTOS METALICOS, AS COLUNAS, OS SERVICOS GERAIS EM ALVENARIA E CONCRETO, AS TELHAS DE COBERTURA E A PINTURA DE ACABAMENTO</v>
      </c>
      <c r="F1639" s="448"/>
      <c r="G1639" s="448"/>
      <c r="H1639" s="448"/>
      <c r="I1639" s="448"/>
      <c r="J1639" s="449"/>
      <c r="K1639" s="184">
        <f>5*16.7</f>
        <v>83.5</v>
      </c>
      <c r="L1639" s="57" t="s">
        <v>25</v>
      </c>
      <c r="M1639" s="93"/>
      <c r="N1639" s="68"/>
      <c r="O1639" s="115"/>
      <c r="Q1639" s="127"/>
    </row>
    <row r="1640" spans="2:17">
      <c r="B1640" s="150"/>
      <c r="E1640" s="118"/>
      <c r="G1640" s="231"/>
      <c r="J1640" s="102"/>
      <c r="M1640" s="93"/>
      <c r="N1640" s="68"/>
      <c r="O1640" s="115"/>
      <c r="Q1640" s="127"/>
    </row>
    <row r="1641" spans="2:17" ht="43.5" customHeight="1">
      <c r="B1641" s="150" t="str">
        <f>B1639</f>
        <v>CANTINA E SANITARIOS</v>
      </c>
      <c r="C1641" s="26">
        <v>92569</v>
      </c>
      <c r="D1641" s="26" t="s">
        <v>8</v>
      </c>
      <c r="E1641" s="447" t="str">
        <f>IFERROR(VLOOKUP($C1641,'SINAPI JULHO 2018'!$1:$1048576,2,0),IFERROR(VLOOKUP($C1641,'5-COMP. PROPRIA'!$B$13:$I$518,4,0),""))</f>
        <v>TRAMA DE AÇO COMPOSTA POR RIPAS E CAIBROS PARA TELHADOS DE ATÉ 2 ÁGUAS PARA TELHA DE ENCAIXE DE CERÂMICA OU DE CONCRETO, INCLUSO TRANSPORTE VERTICAL. AF_12/2015</v>
      </c>
      <c r="F1641" s="448"/>
      <c r="G1641" s="448"/>
      <c r="H1641" s="448"/>
      <c r="I1641" s="448"/>
      <c r="J1641" s="449"/>
      <c r="K1641" s="184">
        <f>K1639</f>
        <v>83.5</v>
      </c>
      <c r="L1641" s="57" t="s">
        <v>25</v>
      </c>
      <c r="M1641" s="93"/>
      <c r="N1641" s="68"/>
      <c r="O1641" s="115"/>
      <c r="Q1641" s="127"/>
    </row>
    <row r="1642" spans="2:17" ht="15">
      <c r="B1642" s="150"/>
      <c r="E1642" s="276"/>
      <c r="F1642" s="221"/>
      <c r="G1642" s="221"/>
      <c r="H1642" s="221"/>
      <c r="I1642" s="221"/>
      <c r="J1642" s="222"/>
      <c r="K1642" s="184"/>
      <c r="L1642" s="57"/>
      <c r="M1642" s="93"/>
      <c r="N1642" s="68"/>
      <c r="O1642" s="115"/>
      <c r="Q1642" s="127"/>
    </row>
    <row r="1643" spans="2:17" ht="15">
      <c r="B1643" s="150"/>
      <c r="C1643" s="16" t="s">
        <v>141</v>
      </c>
      <c r="D1643" s="16" t="s">
        <v>35</v>
      </c>
      <c r="E1643" s="447" t="str">
        <f>IFERROR(VLOOKUP($C1643,'SINAPI JULHO 2018'!$1:$1048576,2,0),IFERROR(VLOOKUP($C1643,'5-COMP. PROPRIA'!$B$13:$I$518,4,0),""))</f>
        <v xml:space="preserve">LIXAMENTO DE SUPERFICIE METÁLICA </v>
      </c>
      <c r="F1643" s="448"/>
      <c r="G1643" s="448"/>
      <c r="H1643" s="448"/>
      <c r="I1643" s="448"/>
      <c r="J1643" s="449"/>
      <c r="K1643" s="184">
        <f>K1641*2</f>
        <v>167</v>
      </c>
      <c r="L1643" s="57" t="s">
        <v>25</v>
      </c>
      <c r="M1643" s="93"/>
      <c r="N1643" s="68"/>
      <c r="O1643" s="115"/>
      <c r="Q1643" s="127"/>
    </row>
    <row r="1644" spans="2:17" ht="15">
      <c r="B1644" s="150"/>
      <c r="E1644" s="276"/>
      <c r="F1644" s="221"/>
      <c r="G1644" s="221"/>
      <c r="H1644" s="221"/>
      <c r="I1644" s="221"/>
      <c r="J1644" s="222"/>
      <c r="K1644" s="184"/>
      <c r="L1644" s="57"/>
      <c r="M1644" s="93"/>
      <c r="N1644" s="68"/>
      <c r="O1644" s="115"/>
      <c r="Q1644" s="127"/>
    </row>
    <row r="1645" spans="2:17" ht="39" customHeight="1">
      <c r="B1645" s="150"/>
      <c r="C1645" s="94" t="s">
        <v>142</v>
      </c>
      <c r="D1645" s="26" t="s">
        <v>8</v>
      </c>
      <c r="E1645" s="447" t="str">
        <f>IFERROR(VLOOKUP($C1645,'SINAPI JULHO 2018'!$1:$1048576,2,0),IFERROR(VLOOKUP($C1645,'5-COMP. PROPRIA'!$B$13:$I$518,4,0),""))</f>
        <v>PINTURA ESMALTE ALTO BRILHO, DUAS DEMAOS, SOBRE SUPERFICIE METALICA</v>
      </c>
      <c r="F1645" s="448"/>
      <c r="G1645" s="448"/>
      <c r="H1645" s="448"/>
      <c r="I1645" s="448"/>
      <c r="J1645" s="449"/>
      <c r="K1645" s="184">
        <f>K1643</f>
        <v>167</v>
      </c>
      <c r="L1645" s="57" t="s">
        <v>25</v>
      </c>
      <c r="M1645" s="93"/>
      <c r="N1645" s="68"/>
      <c r="O1645" s="115"/>
      <c r="Q1645" s="127"/>
    </row>
    <row r="1646" spans="2:17" ht="15">
      <c r="B1646" s="150"/>
      <c r="E1646" s="276"/>
      <c r="F1646" s="221"/>
      <c r="G1646" s="221"/>
      <c r="H1646" s="221"/>
      <c r="I1646" s="221"/>
      <c r="J1646" s="222"/>
      <c r="K1646" s="184"/>
      <c r="L1646" s="57"/>
      <c r="M1646" s="93"/>
      <c r="N1646" s="68"/>
      <c r="O1646" s="115"/>
      <c r="Q1646" s="127"/>
    </row>
    <row r="1647" spans="2:17" ht="60" customHeight="1">
      <c r="B1647" s="150" t="str">
        <f>B1641</f>
        <v>CANTINA E SANITARIOS</v>
      </c>
      <c r="C1647" s="26">
        <v>94210</v>
      </c>
      <c r="D1647" s="26" t="s">
        <v>8</v>
      </c>
      <c r="E1647" s="447" t="str">
        <f>IFERROR(VLOOKUP($C1647,'SINAPI JULHO 2018'!$1:$1048576,2,0),IFERROR(VLOOKUP($C1647,'5-COMP. PROPRIA'!$B$13:$I$518,4,0),""))</f>
        <v>TELHAMENTO COM TELHA ONDULADA DE FIBROCIMENTO E = 6 MM, COM RECOBRIMENTO LATERAL DE 1 1/4 DE ONDA PARA TELHADO COM INCLINAÇÃO MÁXIMA DE 10°, COM ATÉ 2 ÁGUAS, INCLUSO IÇAMENTO. AF_06/2016</v>
      </c>
      <c r="F1647" s="448"/>
      <c r="G1647" s="448"/>
      <c r="H1647" s="448"/>
      <c r="I1647" s="448"/>
      <c r="J1647" s="449"/>
      <c r="K1647" s="184">
        <f>K1641</f>
        <v>83.5</v>
      </c>
      <c r="L1647" s="57" t="s">
        <v>25</v>
      </c>
      <c r="M1647" s="93"/>
      <c r="N1647" s="68"/>
      <c r="O1647" s="115"/>
      <c r="Q1647" s="127"/>
    </row>
    <row r="1648" spans="2:17">
      <c r="B1648" s="150"/>
      <c r="E1648" s="118"/>
      <c r="G1648" s="231"/>
      <c r="J1648" s="102"/>
      <c r="M1648" s="93"/>
      <c r="N1648" s="68"/>
      <c r="O1648" s="115"/>
      <c r="Q1648" s="127"/>
    </row>
    <row r="1649" spans="2:17" ht="36" customHeight="1">
      <c r="B1649" s="150"/>
      <c r="C1649" s="26">
        <v>94231</v>
      </c>
      <c r="D1649" s="26" t="s">
        <v>8</v>
      </c>
      <c r="E1649" s="447" t="str">
        <f>IFERROR(VLOOKUP($C1649,'SINAPI JULHO 2018'!$1:$1048576,2,0),IFERROR(VLOOKUP($C1649,'5-COMP. PROPRIA'!$B$13:$I$518,4,0),""))</f>
        <v>RUFO EM CHAPA DE AÇO GALVANIZADO NÚMERO 24, CORTE DE 25 CM, INCLUSO TRANSPORTE VERTICAL. AF_06/2016</v>
      </c>
      <c r="F1649" s="448"/>
      <c r="G1649" s="448"/>
      <c r="H1649" s="448"/>
      <c r="I1649" s="448"/>
      <c r="J1649" s="449"/>
      <c r="K1649" s="184">
        <f>5.3+17</f>
        <v>22.3</v>
      </c>
      <c r="L1649" s="57" t="s">
        <v>172</v>
      </c>
      <c r="M1649" s="93"/>
      <c r="N1649" s="68"/>
      <c r="O1649" s="115"/>
      <c r="Q1649" s="127"/>
    </row>
    <row r="1650" spans="2:17" ht="15">
      <c r="B1650" s="150"/>
      <c r="E1650" s="276"/>
      <c r="F1650" s="221"/>
      <c r="G1650" s="221"/>
      <c r="H1650" s="221"/>
      <c r="I1650" s="221"/>
      <c r="J1650" s="222"/>
      <c r="K1650" s="184"/>
      <c r="L1650" s="57"/>
      <c r="M1650" s="93"/>
      <c r="N1650" s="68"/>
      <c r="O1650" s="115"/>
      <c r="Q1650" s="127"/>
    </row>
    <row r="1651" spans="2:17" ht="25.5" customHeight="1">
      <c r="B1651" s="150"/>
      <c r="C1651" s="26">
        <v>96116</v>
      </c>
      <c r="D1651" s="26" t="s">
        <v>8</v>
      </c>
      <c r="E1651" s="447" t="str">
        <f>IFERROR(VLOOKUP($C1651,'SINAPI JULHO 2018'!$1:$1048576,2,0),IFERROR(VLOOKUP($C1651,'5-COMP. PROPRIA'!$B$13:$I$518,4,0),""))</f>
        <v>FORRO EM RÉGUAS DE PVC, FRISADO, PARA AMBIENTES COMERCIAIS, INCLUSIVE ESTRUTURA DE FIXAÇÃO. AF_05/2017_P</v>
      </c>
      <c r="F1651" s="448"/>
      <c r="G1651" s="448"/>
      <c r="H1651" s="448"/>
      <c r="I1651" s="448"/>
      <c r="J1651" s="449"/>
      <c r="K1651" s="184">
        <f>(19.5+6.5+35)</f>
        <v>61</v>
      </c>
      <c r="L1651" s="57" t="s">
        <v>25</v>
      </c>
      <c r="M1651" s="93"/>
      <c r="N1651" s="68"/>
      <c r="O1651" s="115"/>
      <c r="Q1651" s="127"/>
    </row>
    <row r="1652" spans="2:17" ht="15">
      <c r="B1652" s="150"/>
      <c r="E1652" s="276"/>
      <c r="F1652" s="221"/>
      <c r="G1652" s="221"/>
      <c r="H1652" s="221"/>
      <c r="I1652" s="221"/>
      <c r="J1652" s="222"/>
      <c r="K1652" s="184"/>
      <c r="L1652" s="57"/>
      <c r="M1652" s="93"/>
      <c r="N1652" s="68"/>
      <c r="O1652" s="115"/>
      <c r="Q1652" s="127"/>
    </row>
    <row r="1653" spans="2:17" ht="15">
      <c r="B1653" s="268"/>
      <c r="C1653" s="302"/>
      <c r="D1653" s="302"/>
      <c r="E1653" s="462" t="s">
        <v>289</v>
      </c>
      <c r="F1653" s="463"/>
      <c r="G1653" s="463"/>
      <c r="H1653" s="463"/>
      <c r="I1653" s="463"/>
      <c r="J1653" s="464"/>
      <c r="K1653" s="270"/>
      <c r="L1653" s="303"/>
      <c r="M1653" s="272"/>
      <c r="N1653" s="304"/>
      <c r="O1653" s="115"/>
      <c r="Q1653" s="127"/>
    </row>
    <row r="1654" spans="2:17" ht="15">
      <c r="B1654" s="150"/>
      <c r="E1654" s="276"/>
      <c r="F1654" s="221"/>
      <c r="G1654" s="221"/>
      <c r="H1654" s="221"/>
      <c r="I1654" s="221"/>
      <c r="J1654" s="222"/>
      <c r="K1654" s="184"/>
      <c r="M1654" s="93"/>
      <c r="N1654" s="68"/>
      <c r="O1654" s="115"/>
      <c r="Q1654" s="127"/>
    </row>
    <row r="1655" spans="2:17" ht="15">
      <c r="B1655" s="150"/>
      <c r="C1655" s="94" t="s">
        <v>64</v>
      </c>
      <c r="D1655" s="16" t="s">
        <v>35</v>
      </c>
      <c r="E1655" s="447" t="str">
        <f>IFERROR(VLOOKUP($C1655,'SINAPI JULHO 2018'!$1:$1048576,2,0),IFERROR(VLOOKUP($C1655,'5-COMP. PROPRIA'!$B$13:$I$518,4,0),""))</f>
        <v>DEMOLIÇÃO DE CONCRETO SIMPLES</v>
      </c>
      <c r="F1655" s="448"/>
      <c r="G1655" s="448"/>
      <c r="H1655" s="448"/>
      <c r="I1655" s="448"/>
      <c r="J1655" s="449"/>
      <c r="K1655" s="184">
        <f>(19.5+6.5)*0.15</f>
        <v>3.9</v>
      </c>
      <c r="L1655" s="57" t="s">
        <v>178</v>
      </c>
      <c r="M1655" s="93"/>
      <c r="N1655" s="68"/>
      <c r="O1655" s="115"/>
      <c r="Q1655" s="127"/>
    </row>
    <row r="1656" spans="2:17" ht="15">
      <c r="B1656" s="150"/>
      <c r="C1656" s="94"/>
      <c r="E1656" s="276"/>
      <c r="F1656" s="221"/>
      <c r="G1656" s="221"/>
      <c r="H1656" s="221"/>
      <c r="I1656" s="221"/>
      <c r="J1656" s="222"/>
      <c r="K1656" s="184"/>
      <c r="L1656" s="57"/>
      <c r="M1656" s="93"/>
      <c r="N1656" s="68"/>
      <c r="O1656" s="115"/>
      <c r="Q1656" s="127"/>
    </row>
    <row r="1657" spans="2:17" ht="15">
      <c r="B1657" s="150"/>
      <c r="C1657" s="26">
        <v>72897</v>
      </c>
      <c r="D1657" s="26" t="s">
        <v>8</v>
      </c>
      <c r="E1657" s="447" t="str">
        <f>IFERROR(VLOOKUP($C1657,'SINAPI JULHO 2018'!$1:$1048576,2,0),IFERROR(VLOOKUP($C1657,'5-COMP. PROPRIA'!$B$13:$I$518,4,0),""))</f>
        <v>CARGA MANUAL DE ENTULHO EM CAMINHAO BASCULANTE 6 M3</v>
      </c>
      <c r="F1657" s="448"/>
      <c r="G1657" s="448"/>
      <c r="H1657" s="448"/>
      <c r="I1657" s="448"/>
      <c r="J1657" s="449"/>
      <c r="K1657" s="184">
        <f>K1655*2</f>
        <v>7.8</v>
      </c>
      <c r="L1657" s="57" t="s">
        <v>145</v>
      </c>
      <c r="M1657" s="93"/>
      <c r="N1657" s="68"/>
      <c r="O1657" s="115"/>
      <c r="Q1657" s="127"/>
    </row>
    <row r="1658" spans="2:17" ht="15">
      <c r="B1658" s="150"/>
      <c r="E1658" s="276"/>
      <c r="F1658" s="221"/>
      <c r="G1658" s="221"/>
      <c r="H1658" s="221"/>
      <c r="I1658" s="221"/>
      <c r="J1658" s="222"/>
      <c r="K1658" s="184"/>
      <c r="M1658" s="93"/>
      <c r="N1658" s="68"/>
      <c r="O1658" s="115"/>
      <c r="Q1658" s="127"/>
    </row>
    <row r="1659" spans="2:17" ht="33" customHeight="1">
      <c r="B1659" s="150"/>
      <c r="C1659" s="26">
        <v>97914</v>
      </c>
      <c r="D1659" s="26" t="s">
        <v>8</v>
      </c>
      <c r="E1659" s="447" t="str">
        <f>IFERROR(VLOOKUP($C1659,'SINAPI JULHO 2018'!$1:$1048576,2,0),IFERROR(VLOOKUP($C1659,'5-COMP. PROPRIA'!$B$13:$I$518,4,0),""))</f>
        <v>TRANSPORTE COM CAMINHÃO BASCULANTE DE 6 M3, EM VIA URBANA PAVIMENTADA, DMT ATÉ 30 KM (UNIDADE: M3XKM). AF_01/2018</v>
      </c>
      <c r="F1659" s="448"/>
      <c r="G1659" s="448"/>
      <c r="H1659" s="448"/>
      <c r="I1659" s="448"/>
      <c r="J1659" s="449"/>
      <c r="K1659" s="184">
        <f>K1657*7.5</f>
        <v>58.5</v>
      </c>
      <c r="L1659" s="57" t="s">
        <v>145</v>
      </c>
      <c r="M1659" s="93"/>
      <c r="N1659" s="68"/>
      <c r="O1659" s="115"/>
      <c r="Q1659" s="127"/>
    </row>
    <row r="1660" spans="2:17" ht="15">
      <c r="B1660" s="150"/>
      <c r="E1660" s="276"/>
      <c r="F1660" s="221"/>
      <c r="G1660" s="221"/>
      <c r="H1660" s="221"/>
      <c r="I1660" s="221"/>
      <c r="J1660" s="222"/>
      <c r="K1660" s="184"/>
      <c r="M1660" s="93"/>
      <c r="N1660" s="68"/>
      <c r="O1660" s="115"/>
      <c r="Q1660" s="127"/>
    </row>
    <row r="1661" spans="2:17" ht="35.25" customHeight="1">
      <c r="B1661" s="150"/>
      <c r="C1661" s="26">
        <v>95241</v>
      </c>
      <c r="D1661" s="26" t="s">
        <v>8</v>
      </c>
      <c r="E1661" s="447" t="str">
        <f>IFERROR(VLOOKUP($C1661,'SINAPI JULHO 2018'!$1:$1048576,2,0),IFERROR(VLOOKUP($C1661,'5-COMP. PROPRIA'!$B$13:$I$518,4,0),""))</f>
        <v>LASTRO DE CONCRETO MAGRO, APLICADO EM PISOS OU RADIERS, ESPESSURA DE 5 CM. AF_07/2016</v>
      </c>
      <c r="F1661" s="448"/>
      <c r="G1661" s="448"/>
      <c r="H1661" s="448"/>
      <c r="I1661" s="448"/>
      <c r="J1661" s="449"/>
      <c r="K1661" s="184">
        <f>19.5+6.5</f>
        <v>26</v>
      </c>
      <c r="L1661" s="57" t="s">
        <v>145</v>
      </c>
      <c r="M1661" s="93"/>
      <c r="N1661" s="68"/>
      <c r="O1661" s="115"/>
      <c r="Q1661" s="127"/>
    </row>
    <row r="1662" spans="2:17" ht="15">
      <c r="B1662" s="150"/>
      <c r="E1662" s="276"/>
      <c r="F1662" s="221"/>
      <c r="G1662" s="221"/>
      <c r="H1662" s="221"/>
      <c r="I1662" s="221"/>
      <c r="J1662" s="222"/>
      <c r="K1662" s="184"/>
      <c r="M1662" s="93"/>
      <c r="N1662" s="68"/>
      <c r="O1662" s="115"/>
      <c r="Q1662" s="127"/>
    </row>
    <row r="1663" spans="2:17" ht="48" customHeight="1">
      <c r="B1663" s="150"/>
      <c r="C1663" s="26">
        <v>87620</v>
      </c>
      <c r="D1663" s="26" t="s">
        <v>8</v>
      </c>
      <c r="E1663" s="447" t="str">
        <f>IFERROR(VLOOKUP($C1663,'SINAPI JULHO 2018'!$1:$1048576,2,0),IFERROR(VLOOKUP($C1663,'5-COMP. PROPRIA'!$B$13:$I$518,4,0),""))</f>
        <v>CONTRAPISO EM ARGAMASSA TRAÇO 1:4 (CIMENTO E AREIA), PREPARO MECÂNICO COM BETONEIRA 400 L, APLICADO EM ÁREAS SECAS SOBRE LAJE, ADERIDO, ESPESSURA 2CM. AF_06/2014</v>
      </c>
      <c r="F1663" s="448"/>
      <c r="G1663" s="448"/>
      <c r="H1663" s="448"/>
      <c r="I1663" s="448"/>
      <c r="J1663" s="449"/>
      <c r="K1663" s="184">
        <f>K1661</f>
        <v>26</v>
      </c>
      <c r="L1663" s="57" t="s">
        <v>145</v>
      </c>
      <c r="M1663" s="93"/>
      <c r="N1663" s="68"/>
      <c r="O1663" s="115"/>
      <c r="Q1663" s="127"/>
    </row>
    <row r="1664" spans="2:17" ht="15">
      <c r="B1664" s="150"/>
      <c r="E1664" s="276"/>
      <c r="F1664" s="221"/>
      <c r="G1664" s="221"/>
      <c r="H1664" s="221"/>
      <c r="I1664" s="221"/>
      <c r="J1664" s="222"/>
      <c r="K1664" s="184"/>
      <c r="M1664" s="93"/>
      <c r="N1664" s="68"/>
      <c r="O1664" s="115"/>
      <c r="Q1664" s="127"/>
    </row>
    <row r="1665" spans="2:17" ht="35.25" customHeight="1">
      <c r="B1665" s="150"/>
      <c r="C1665" s="26">
        <v>84191</v>
      </c>
      <c r="D1665" s="26" t="s">
        <v>8</v>
      </c>
      <c r="E1665" s="447" t="str">
        <f>IFERROR(VLOOKUP($C1665,'SINAPI JULHO 2018'!$1:$1048576,2,0),IFERROR(VLOOKUP($C1665,'5-COMP. PROPRIA'!$B$13:$I$518,4,0),""))</f>
        <v>PISO EM GRANILITE, MARMORITE OU GRANITINA ESPESSURA 8 MM, INCLUSO JUNTAS DE DILATACAO PLASTICAS</v>
      </c>
      <c r="F1665" s="448"/>
      <c r="G1665" s="448"/>
      <c r="H1665" s="448"/>
      <c r="I1665" s="448"/>
      <c r="J1665" s="449"/>
      <c r="K1665" s="184">
        <f>K1663</f>
        <v>26</v>
      </c>
      <c r="L1665" s="57" t="s">
        <v>145</v>
      </c>
      <c r="M1665" s="93"/>
      <c r="N1665" s="68"/>
      <c r="O1665" s="115"/>
      <c r="Q1665" s="127"/>
    </row>
    <row r="1666" spans="2:17" ht="15">
      <c r="B1666" s="150"/>
      <c r="E1666" s="276"/>
      <c r="F1666" s="221"/>
      <c r="G1666" s="221"/>
      <c r="H1666" s="221"/>
      <c r="I1666" s="221"/>
      <c r="J1666" s="222"/>
      <c r="K1666" s="184"/>
      <c r="M1666" s="93"/>
      <c r="N1666" s="68"/>
      <c r="O1666" s="115"/>
      <c r="Q1666" s="127"/>
    </row>
    <row r="1667" spans="2:17" ht="15">
      <c r="B1667" s="150"/>
      <c r="C1667" s="26" t="s">
        <v>180</v>
      </c>
      <c r="D1667" s="26" t="s">
        <v>8</v>
      </c>
      <c r="E1667" s="447" t="str">
        <f>IFERROR(VLOOKUP($C1667,'SINAPI JULHO 2018'!$1:$1048576,2,0),IFERROR(VLOOKUP($C1667,'5-COMP. PROPRIA'!$B$13:$I$518,4,0),""))</f>
        <v>IMPERMEABILIZACAO COM PINTURA A BASE DE RESINA EPOXI ALCATRAO, UMA DEMAO.</v>
      </c>
      <c r="F1667" s="448"/>
      <c r="G1667" s="448"/>
      <c r="H1667" s="448"/>
      <c r="I1667" s="448"/>
      <c r="J1667" s="449"/>
      <c r="K1667" s="184">
        <f>K1665</f>
        <v>26</v>
      </c>
      <c r="L1667" s="57" t="s">
        <v>145</v>
      </c>
      <c r="M1667" s="93"/>
      <c r="N1667" s="68"/>
      <c r="O1667" s="115"/>
      <c r="Q1667" s="127"/>
    </row>
    <row r="1668" spans="2:17" ht="15">
      <c r="B1668" s="150"/>
      <c r="E1668" s="276"/>
      <c r="F1668" s="221"/>
      <c r="G1668" s="221"/>
      <c r="H1668" s="221"/>
      <c r="I1668" s="221"/>
      <c r="J1668" s="222"/>
      <c r="K1668" s="184"/>
      <c r="M1668" s="93"/>
      <c r="N1668" s="68"/>
      <c r="O1668" s="115"/>
      <c r="Q1668" s="127"/>
    </row>
    <row r="1669" spans="2:17" ht="15">
      <c r="B1669" s="150"/>
      <c r="C1669" s="26" t="s">
        <v>181</v>
      </c>
      <c r="D1669" s="26" t="s">
        <v>8</v>
      </c>
      <c r="E1669" s="447" t="str">
        <f>IFERROR(VLOOKUP($C1669,'SINAPI JULHO 2018'!$1:$1048576,2,0),IFERROR(VLOOKUP($C1669,'5-COMP. PROPRIA'!$B$13:$I$518,4,0),""))</f>
        <v>RODAPE EM MARMORITE, ALTURA 10CM</v>
      </c>
      <c r="F1669" s="448"/>
      <c r="G1669" s="448"/>
      <c r="H1669" s="448"/>
      <c r="I1669" s="448"/>
      <c r="J1669" s="449"/>
      <c r="K1669" s="184">
        <f>17.9+11.5</f>
        <v>29.4</v>
      </c>
      <c r="L1669" s="57" t="s">
        <v>172</v>
      </c>
      <c r="M1669" s="93"/>
      <c r="N1669" s="68"/>
      <c r="O1669" s="115"/>
      <c r="Q1669" s="127"/>
    </row>
    <row r="1670" spans="2:17" ht="15">
      <c r="B1670" s="150"/>
      <c r="E1670" s="276"/>
      <c r="F1670" s="221"/>
      <c r="G1670" s="221"/>
      <c r="H1670" s="221"/>
      <c r="I1670" s="221"/>
      <c r="J1670" s="222"/>
      <c r="K1670" s="184"/>
      <c r="M1670" s="93"/>
      <c r="N1670" s="68"/>
      <c r="O1670" s="115"/>
      <c r="Q1670" s="127"/>
    </row>
    <row r="1671" spans="2:17" ht="15">
      <c r="B1671" s="268"/>
      <c r="C1671" s="302"/>
      <c r="D1671" s="302"/>
      <c r="E1671" s="462" t="s">
        <v>173</v>
      </c>
      <c r="F1671" s="463"/>
      <c r="G1671" s="463"/>
      <c r="H1671" s="463"/>
      <c r="I1671" s="463"/>
      <c r="J1671" s="464"/>
      <c r="K1671" s="270"/>
      <c r="L1671" s="303"/>
      <c r="M1671" s="272"/>
      <c r="N1671" s="304"/>
      <c r="O1671" s="115"/>
      <c r="Q1671" s="127"/>
    </row>
    <row r="1672" spans="2:17" ht="15">
      <c r="B1672" s="150"/>
      <c r="E1672" s="276"/>
      <c r="F1672" s="221"/>
      <c r="G1672" s="221"/>
      <c r="H1672" s="221"/>
      <c r="I1672" s="221"/>
      <c r="J1672" s="222"/>
      <c r="K1672" s="184"/>
      <c r="M1672" s="93"/>
      <c r="N1672" s="68"/>
      <c r="O1672" s="115"/>
      <c r="Q1672" s="127"/>
    </row>
    <row r="1673" spans="2:17" ht="44.25" customHeight="1">
      <c r="B1673" s="150"/>
      <c r="C1673" s="94">
        <v>91341</v>
      </c>
      <c r="D1673" s="26" t="s">
        <v>8</v>
      </c>
      <c r="E1673" s="447" t="str">
        <f>IFERROR(VLOOKUP($C1673,'SINAPI JULHO 2018'!$1:$1048576,2,0),IFERROR(VLOOKUP($C1673,'5-COMP. PROPRIA'!$B$13:$I$518,4,0),""))</f>
        <v>PORTA EM ALUMÍNIO DE ABRIR TIPO VENEZIANA COM GUARNIÇÃO, FIXAÇÃO COM PARAFUSOS - FORNECIMENTO E INSTALAÇÃO. AF_08/2015</v>
      </c>
      <c r="F1673" s="448"/>
      <c r="G1673" s="448"/>
      <c r="H1673" s="448"/>
      <c r="I1673" s="448"/>
      <c r="J1673" s="449"/>
      <c r="K1673" s="184">
        <f>0.9*2.1</f>
        <v>1.8900000000000001</v>
      </c>
      <c r="L1673" s="57" t="s">
        <v>25</v>
      </c>
      <c r="M1673" s="93"/>
      <c r="N1673" s="68"/>
      <c r="O1673" s="115"/>
      <c r="Q1673" s="127"/>
    </row>
    <row r="1674" spans="2:17">
      <c r="B1674" s="150"/>
      <c r="C1674" s="91"/>
      <c r="D1674" s="91"/>
      <c r="E1674" s="113"/>
      <c r="F1674" s="56"/>
      <c r="G1674" s="56"/>
      <c r="H1674" s="56"/>
      <c r="I1674" s="56"/>
      <c r="J1674" s="240"/>
      <c r="K1674" s="183"/>
      <c r="L1674" s="56"/>
      <c r="M1674" s="93"/>
      <c r="N1674" s="68"/>
      <c r="O1674" s="115"/>
      <c r="Q1674" s="127"/>
    </row>
    <row r="1675" spans="2:17" ht="50.25" customHeight="1">
      <c r="B1675" s="150"/>
      <c r="C1675" s="94">
        <v>94576</v>
      </c>
      <c r="D1675" s="26" t="s">
        <v>8</v>
      </c>
      <c r="E1675" s="447" t="str">
        <f>IFERROR(VLOOKUP($C1675,'SINAPI JULHO 2018'!$1:$1048576,2,0),IFERROR(VLOOKUP($C1675,'5-COMP. PROPRIA'!$B$13:$I$518,4,0),""))</f>
        <v>JANELA DE ALUMÍNIO DE CORRER, 2 FOLHAS, FIXAÇÃO COM PARAFUSO, VEDAÇÃO COM ESPUMA EXPANSIVA PU, COM VIDROS, PADRONIZADA. AF_07/2016</v>
      </c>
      <c r="F1675" s="448"/>
      <c r="G1675" s="448"/>
      <c r="H1675" s="448"/>
      <c r="I1675" s="448"/>
      <c r="J1675" s="449"/>
      <c r="K1675" s="184">
        <f>(1.32+1.98)*1.2</f>
        <v>3.9599999999999995</v>
      </c>
      <c r="L1675" s="57" t="s">
        <v>25</v>
      </c>
      <c r="M1675" s="93"/>
      <c r="N1675" s="68"/>
      <c r="O1675" s="115"/>
      <c r="Q1675" s="127"/>
    </row>
    <row r="1676" spans="2:17">
      <c r="B1676" s="150"/>
      <c r="C1676" s="91"/>
      <c r="D1676" s="91"/>
      <c r="E1676" s="113"/>
      <c r="F1676" s="56"/>
      <c r="G1676" s="56"/>
      <c r="H1676" s="56"/>
      <c r="I1676" s="56"/>
      <c r="J1676" s="240"/>
      <c r="K1676" s="183"/>
      <c r="L1676" s="56"/>
      <c r="M1676" s="93"/>
      <c r="N1676" s="68"/>
      <c r="O1676" s="115"/>
      <c r="Q1676" s="127"/>
    </row>
    <row r="1677" spans="2:17" ht="15">
      <c r="B1677" s="150"/>
      <c r="C1677" s="16" t="s">
        <v>141</v>
      </c>
      <c r="D1677" s="16" t="s">
        <v>35</v>
      </c>
      <c r="E1677" s="447" t="str">
        <f>IFERROR(VLOOKUP($C1677,'SINAPI JULHO 2018'!$1:$1048576,2,0),IFERROR(VLOOKUP($C1677,'5-COMP. PROPRIA'!$B$13:$I$518,4,0),""))</f>
        <v xml:space="preserve">LIXAMENTO DE SUPERFICIE METÁLICA </v>
      </c>
      <c r="F1677" s="448"/>
      <c r="G1677" s="448"/>
      <c r="H1677" s="448"/>
      <c r="I1677" s="448"/>
      <c r="J1677" s="449"/>
      <c r="K1677" s="184">
        <f>(K1675+K1673+K1681)*2.5</f>
        <v>23.287499999999998</v>
      </c>
      <c r="L1677" s="58" t="s">
        <v>25</v>
      </c>
      <c r="M1677" s="93"/>
      <c r="N1677" s="68"/>
      <c r="O1677" s="115"/>
      <c r="Q1677" s="127"/>
    </row>
    <row r="1678" spans="2:17" ht="15">
      <c r="B1678" s="150"/>
      <c r="E1678" s="276"/>
      <c r="F1678" s="221"/>
      <c r="G1678" s="221"/>
      <c r="H1678" s="221"/>
      <c r="I1678" s="221"/>
      <c r="J1678" s="222"/>
      <c r="K1678" s="184"/>
      <c r="M1678" s="93"/>
      <c r="N1678" s="68"/>
      <c r="O1678" s="115"/>
      <c r="Q1678" s="127"/>
    </row>
    <row r="1679" spans="2:17" ht="30.75" customHeight="1">
      <c r="B1679" s="150"/>
      <c r="C1679" s="94" t="s">
        <v>142</v>
      </c>
      <c r="D1679" s="26" t="s">
        <v>8</v>
      </c>
      <c r="E1679" s="447" t="str">
        <f>IFERROR(VLOOKUP($C1679,'SINAPI JULHO 2018'!$1:$1048576,2,0),IFERROR(VLOOKUP($C1679,'5-COMP. PROPRIA'!$B$13:$I$518,4,0),""))</f>
        <v>PINTURA ESMALTE ALTO BRILHO, DUAS DEMAOS, SOBRE SUPERFICIE METALICA</v>
      </c>
      <c r="F1679" s="448"/>
      <c r="G1679" s="448"/>
      <c r="H1679" s="448"/>
      <c r="I1679" s="448"/>
      <c r="J1679" s="449"/>
      <c r="K1679" s="184">
        <f>K1677</f>
        <v>23.287499999999998</v>
      </c>
      <c r="L1679" s="58" t="s">
        <v>25</v>
      </c>
      <c r="M1679" s="93"/>
      <c r="N1679" s="68"/>
      <c r="O1679" s="115"/>
      <c r="Q1679" s="127"/>
    </row>
    <row r="1680" spans="2:17" ht="15">
      <c r="B1680" s="150"/>
      <c r="E1680" s="276"/>
      <c r="F1680" s="221"/>
      <c r="G1680" s="221"/>
      <c r="H1680" s="221"/>
      <c r="I1680" s="221"/>
      <c r="J1680" s="222"/>
      <c r="K1680" s="184"/>
      <c r="M1680" s="93"/>
      <c r="N1680" s="68"/>
      <c r="O1680" s="115"/>
      <c r="Q1680" s="127"/>
    </row>
    <row r="1681" spans="2:17" ht="29.25" customHeight="1">
      <c r="B1681" s="150"/>
      <c r="C1681" s="16">
        <v>68054</v>
      </c>
      <c r="D1681" s="26" t="s">
        <v>8</v>
      </c>
      <c r="E1681" s="447" t="str">
        <f>IFERROR(VLOOKUP($C1681,'SINAPI JULHO 2018'!$1:$1048576,2,0),IFERROR(VLOOKUP($C1681,'5-COMP. PROPRIA'!$B$13:$I$518,4,0),""))</f>
        <v>PORTAO DE FERRO EM CHAPA GALVANIZADA PLANA 14 GSG</v>
      </c>
      <c r="F1681" s="448"/>
      <c r="G1681" s="448"/>
      <c r="H1681" s="448"/>
      <c r="I1681" s="448"/>
      <c r="J1681" s="449"/>
      <c r="K1681" s="184">
        <f>1.65*2.1</f>
        <v>3.4649999999999999</v>
      </c>
      <c r="L1681" s="57" t="s">
        <v>145</v>
      </c>
      <c r="M1681" s="93"/>
      <c r="N1681" s="68"/>
      <c r="O1681" s="115"/>
      <c r="Q1681" s="127"/>
    </row>
    <row r="1682" spans="2:17" ht="15">
      <c r="B1682" s="150"/>
      <c r="E1682" s="276"/>
      <c r="F1682" s="221"/>
      <c r="G1682" s="221"/>
      <c r="H1682" s="221"/>
      <c r="I1682" s="221"/>
      <c r="J1682" s="222"/>
      <c r="K1682" s="184"/>
      <c r="M1682" s="93"/>
      <c r="N1682" s="68"/>
      <c r="O1682" s="115"/>
      <c r="Q1682" s="127"/>
    </row>
    <row r="1683" spans="2:17" ht="15">
      <c r="B1683" s="268"/>
      <c r="C1683" s="302"/>
      <c r="D1683" s="302"/>
      <c r="E1683" s="462" t="s">
        <v>290</v>
      </c>
      <c r="F1683" s="463"/>
      <c r="G1683" s="463"/>
      <c r="H1683" s="463"/>
      <c r="I1683" s="463"/>
      <c r="J1683" s="464"/>
      <c r="K1683" s="270"/>
      <c r="L1683" s="303"/>
      <c r="M1683" s="272"/>
      <c r="N1683" s="304"/>
      <c r="O1683" s="115"/>
      <c r="Q1683" s="127"/>
    </row>
    <row r="1684" spans="2:17" ht="15">
      <c r="B1684" s="150"/>
      <c r="E1684" s="276"/>
      <c r="F1684" s="221"/>
      <c r="G1684" s="221"/>
      <c r="H1684" s="221"/>
      <c r="I1684" s="221"/>
      <c r="J1684" s="222"/>
      <c r="K1684" s="184"/>
      <c r="M1684" s="93"/>
      <c r="N1684" s="68"/>
      <c r="O1684" s="115"/>
      <c r="Q1684" s="127"/>
    </row>
    <row r="1685" spans="2:17" ht="62.25" customHeight="1">
      <c r="B1685" s="150"/>
      <c r="C1685" s="94">
        <v>86933</v>
      </c>
      <c r="D1685" s="26" t="s">
        <v>8</v>
      </c>
      <c r="E1685" s="447" t="str">
        <f>IFERROR(VLOOKUP($C1685,'SINAPI JULHO 2018'!$1:$1048576,2,0),IFERROR(VLOOKUP($C1685,'5-COMP. PROPRIA'!$B$13:$I$518,4,0),""))</f>
        <v>BANCADA DE MÁRMORE SINTÉTICO 120 X 60CM, COM CUBA INTEGRADA, INCLUSO SIFÃO TIPO GARRAFA EM PVC, VÁLVULA EM PLÁSTICO CROMADO TIPO AMERICANA E TORNEIRA CROMADA LONGA, DE PAREDE, PADRÃO POPULAR - FORNECIMENTO E INSTALAÇÃO. AF_12/2013</v>
      </c>
      <c r="F1685" s="448"/>
      <c r="G1685" s="448"/>
      <c r="H1685" s="448"/>
      <c r="I1685" s="448"/>
      <c r="J1685" s="449"/>
      <c r="K1685" s="184">
        <v>1</v>
      </c>
      <c r="L1685" s="57" t="s">
        <v>5</v>
      </c>
      <c r="M1685" s="93"/>
      <c r="N1685" s="68"/>
      <c r="O1685" s="115"/>
      <c r="Q1685" s="127"/>
    </row>
    <row r="1686" spans="2:17">
      <c r="B1686" s="150"/>
      <c r="C1686" s="91"/>
      <c r="D1686" s="91"/>
      <c r="E1686" s="113"/>
      <c r="F1686" s="56"/>
      <c r="G1686" s="56"/>
      <c r="H1686" s="56"/>
      <c r="I1686" s="56"/>
      <c r="J1686" s="240"/>
      <c r="K1686" s="183"/>
      <c r="L1686" s="56"/>
      <c r="M1686" s="93"/>
      <c r="N1686" s="68"/>
      <c r="O1686" s="115"/>
      <c r="Q1686" s="127"/>
    </row>
    <row r="1687" spans="2:17" ht="37.5" customHeight="1">
      <c r="B1687" s="150"/>
      <c r="C1687" s="94">
        <v>86910</v>
      </c>
      <c r="D1687" s="26" t="s">
        <v>8</v>
      </c>
      <c r="E1687" s="447" t="str">
        <f>IFERROR(VLOOKUP($C1687,'SINAPI JULHO 2018'!$1:$1048576,2,0),IFERROR(VLOOKUP($C1687,'5-COMP. PROPRIA'!$B$13:$I$518,4,0),""))</f>
        <v>TORNEIRA CROMADA TUBO MÓVEL, DE PAREDE, 1/2" OU 3/4", PARA PIA DE COZINHA, PADRÃO MÉDIO - FORNECIMENTO E INSTALAÇÃO. AF_12/2013</v>
      </c>
      <c r="F1687" s="448"/>
      <c r="G1687" s="448"/>
      <c r="H1687" s="448"/>
      <c r="I1687" s="448"/>
      <c r="J1687" s="449"/>
      <c r="K1687" s="184">
        <v>1</v>
      </c>
      <c r="L1687" s="57" t="s">
        <v>5</v>
      </c>
      <c r="M1687" s="93"/>
      <c r="N1687" s="68"/>
      <c r="O1687" s="115"/>
      <c r="Q1687" s="127"/>
    </row>
    <row r="1688" spans="2:17" ht="15.75" thickBot="1">
      <c r="B1688" s="150"/>
      <c r="E1688" s="276"/>
      <c r="F1688" s="221"/>
      <c r="G1688" s="221"/>
      <c r="H1688" s="221"/>
      <c r="I1688" s="221"/>
      <c r="J1688" s="222"/>
      <c r="K1688" s="184"/>
      <c r="M1688" s="93"/>
      <c r="N1688" s="68"/>
      <c r="O1688" s="115"/>
      <c r="Q1688" s="127"/>
    </row>
    <row r="1689" spans="2:17" s="320" customFormat="1" ht="15.75" thickBot="1">
      <c r="B1689" s="322"/>
      <c r="C1689" s="323"/>
      <c r="D1689" s="379"/>
      <c r="E1689" s="459" t="s">
        <v>291</v>
      </c>
      <c r="F1689" s="460"/>
      <c r="G1689" s="460"/>
      <c r="H1689" s="460"/>
      <c r="I1689" s="460"/>
      <c r="J1689" s="461"/>
      <c r="K1689" s="350"/>
      <c r="L1689" s="325"/>
      <c r="M1689" s="352"/>
      <c r="N1689" s="318"/>
      <c r="O1689" s="319"/>
      <c r="Q1689" s="321"/>
    </row>
    <row r="1690" spans="2:17" ht="15">
      <c r="B1690" s="150"/>
      <c r="E1690" s="276"/>
      <c r="F1690" s="221"/>
      <c r="G1690" s="221"/>
      <c r="H1690" s="221"/>
      <c r="I1690" s="221"/>
      <c r="J1690" s="222"/>
      <c r="K1690" s="184"/>
      <c r="M1690" s="93"/>
      <c r="N1690" s="68"/>
      <c r="O1690" s="115"/>
      <c r="Q1690" s="127"/>
    </row>
    <row r="1691" spans="2:17" ht="15" customHeight="1">
      <c r="B1691" s="295"/>
      <c r="C1691" s="296"/>
      <c r="D1691" s="296"/>
      <c r="E1691" s="467" t="s">
        <v>244</v>
      </c>
      <c r="F1691" s="468"/>
      <c r="G1691" s="468"/>
      <c r="H1691" s="468"/>
      <c r="I1691" s="468"/>
      <c r="J1691" s="469"/>
      <c r="K1691" s="297"/>
      <c r="L1691" s="298"/>
      <c r="M1691" s="299"/>
      <c r="N1691" s="300"/>
      <c r="O1691" s="115"/>
      <c r="Q1691" s="127"/>
    </row>
    <row r="1692" spans="2:17" ht="15" customHeight="1">
      <c r="B1692" s="150"/>
      <c r="E1692" s="276"/>
      <c r="F1692" s="221"/>
      <c r="G1692" s="221"/>
      <c r="H1692" s="221"/>
      <c r="I1692" s="221"/>
      <c r="J1692" s="222"/>
      <c r="K1692" s="184"/>
      <c r="M1692" s="93"/>
      <c r="N1692" s="68"/>
      <c r="O1692" s="115"/>
      <c r="Q1692" s="127"/>
    </row>
    <row r="1693" spans="2:17" ht="15" customHeight="1">
      <c r="B1693" s="150"/>
      <c r="E1693" s="500" t="s">
        <v>245</v>
      </c>
      <c r="F1693" s="501"/>
      <c r="G1693" s="501"/>
      <c r="H1693" s="501"/>
      <c r="I1693" s="501"/>
      <c r="J1693" s="502"/>
      <c r="K1693" s="183"/>
      <c r="L1693" s="56"/>
      <c r="M1693" s="93"/>
      <c r="N1693" s="107"/>
      <c r="O1693" s="115"/>
      <c r="Q1693" s="127"/>
    </row>
    <row r="1694" spans="2:17" ht="15" customHeight="1">
      <c r="B1694" s="150"/>
      <c r="E1694" s="118"/>
      <c r="J1694" s="102"/>
      <c r="N1694" s="104"/>
      <c r="O1694" s="115"/>
      <c r="Q1694" s="127"/>
    </row>
    <row r="1695" spans="2:17" ht="30.75" customHeight="1">
      <c r="B1695" s="150"/>
      <c r="C1695" s="26">
        <v>96523</v>
      </c>
      <c r="D1695" s="16" t="s">
        <v>8</v>
      </c>
      <c r="E1695" s="447" t="str">
        <f>IFERROR(VLOOKUP($C1695,'SINAPI JULHO 2018'!$1:$1048576,2,0),IFERROR(VLOOKUP($C1695,'5-COMP. PROPRIA'!$B$13:$I$518,4,0),""))</f>
        <v>ESCAVAÇÃO MANUAL PARA BLOCO DE COROAMENTO OU SAPATA, COM PREVISÃO DE FÔRMA. AF_06/2017</v>
      </c>
      <c r="F1695" s="448"/>
      <c r="G1695" s="448"/>
      <c r="H1695" s="448"/>
      <c r="I1695" s="448"/>
      <c r="J1695" s="449"/>
      <c r="K1695" s="184">
        <f>SUM(K1697:K1697)</f>
        <v>3.5437500000000002</v>
      </c>
      <c r="L1695" s="58" t="s">
        <v>65</v>
      </c>
      <c r="N1695" s="104"/>
      <c r="O1695" s="115"/>
      <c r="Q1695" s="127"/>
    </row>
    <row r="1696" spans="2:17" ht="15" customHeight="1">
      <c r="B1696" s="152" t="s">
        <v>246</v>
      </c>
      <c r="E1696" s="76" t="s">
        <v>106</v>
      </c>
      <c r="F1696" s="17" t="s">
        <v>107</v>
      </c>
      <c r="G1696" s="17" t="s">
        <v>108</v>
      </c>
      <c r="H1696" s="67" t="s">
        <v>47</v>
      </c>
      <c r="I1696" s="55"/>
      <c r="J1696" s="121"/>
      <c r="K1696" s="186"/>
      <c r="N1696" s="104"/>
      <c r="O1696" s="115"/>
      <c r="Q1696" s="127"/>
    </row>
    <row r="1697" spans="2:17" ht="15" customHeight="1">
      <c r="B1697" s="150" t="s">
        <v>247</v>
      </c>
      <c r="E1697" s="101">
        <f>0.6+0.15</f>
        <v>0.75</v>
      </c>
      <c r="F1697" s="126">
        <f>0.6+0.15</f>
        <v>0.75</v>
      </c>
      <c r="G1697" s="71">
        <f>0.05+0.1+0.6+0.3</f>
        <v>1.05</v>
      </c>
      <c r="H1697" s="71">
        <f>H1705</f>
        <v>6</v>
      </c>
      <c r="J1697" s="102"/>
      <c r="K1697" s="70">
        <f>H1697*G1697*F1697*E1697</f>
        <v>3.5437500000000002</v>
      </c>
      <c r="N1697" s="104"/>
      <c r="O1697" s="115"/>
      <c r="Q1697" s="127"/>
    </row>
    <row r="1698" spans="2:17" ht="15" customHeight="1">
      <c r="B1698" s="150"/>
      <c r="E1698" s="112"/>
      <c r="J1698" s="102"/>
      <c r="K1698" s="183"/>
      <c r="M1698" s="120"/>
      <c r="N1698" s="68"/>
      <c r="O1698" s="115"/>
      <c r="Q1698" s="127"/>
    </row>
    <row r="1699" spans="2:17" ht="41.25" customHeight="1">
      <c r="B1699" s="150"/>
      <c r="C1699" s="26">
        <v>96617</v>
      </c>
      <c r="D1699" s="16" t="s">
        <v>8</v>
      </c>
      <c r="E1699" s="447" t="str">
        <f>IFERROR(VLOOKUP($C1699,'SINAPI JULHO 2018'!$1:$1048576,2,0),IFERROR(VLOOKUP($C1699,'5-COMP. PROPRIA'!$B$13:$I$518,4,0),""))</f>
        <v>LASTRO DE CONCRETO MAGRO, APLICADO EM BLOCOS DE COROAMENTO OU SAPATAS, ESPESSURA DE 3 CM. AF_08/2017</v>
      </c>
      <c r="F1699" s="448"/>
      <c r="G1699" s="448"/>
      <c r="H1699" s="448"/>
      <c r="I1699" s="448"/>
      <c r="J1699" s="449"/>
      <c r="K1699" s="184">
        <f>SUM(K1701:K1701)</f>
        <v>2.1599999999999997</v>
      </c>
      <c r="L1699" s="57" t="s">
        <v>25</v>
      </c>
      <c r="M1699" s="52">
        <f>K1699*0.05</f>
        <v>0.10799999999999998</v>
      </c>
      <c r="N1699" s="109" t="s">
        <v>65</v>
      </c>
      <c r="O1699" s="115"/>
      <c r="Q1699" s="127"/>
    </row>
    <row r="1700" spans="2:17" ht="15" customHeight="1">
      <c r="B1700" s="150"/>
      <c r="E1700" s="76" t="s">
        <v>106</v>
      </c>
      <c r="F1700" s="17" t="s">
        <v>107</v>
      </c>
      <c r="H1700" s="67" t="s">
        <v>47</v>
      </c>
      <c r="J1700" s="102"/>
      <c r="N1700" s="104"/>
      <c r="O1700" s="115"/>
      <c r="Q1700" s="127"/>
    </row>
    <row r="1701" spans="2:17" ht="15" customHeight="1">
      <c r="B1701" s="150" t="s">
        <v>247</v>
      </c>
      <c r="E1701" s="118">
        <f>E1705</f>
        <v>0.6</v>
      </c>
      <c r="F1701" s="51">
        <f>F1705</f>
        <v>0.6</v>
      </c>
      <c r="H1701" s="51">
        <f>H1697</f>
        <v>6</v>
      </c>
      <c r="J1701" s="102"/>
      <c r="K1701" s="70">
        <f>H1701*F1701*E1701</f>
        <v>2.1599999999999997</v>
      </c>
      <c r="N1701" s="104"/>
      <c r="O1701" s="115"/>
      <c r="Q1701" s="127"/>
    </row>
    <row r="1702" spans="2:17" ht="15" customHeight="1">
      <c r="B1702" s="150"/>
      <c r="E1702" s="118"/>
      <c r="J1702" s="102"/>
      <c r="N1702" s="104"/>
      <c r="O1702" s="115"/>
      <c r="Q1702" s="127"/>
    </row>
    <row r="1703" spans="2:17" ht="36.75" customHeight="1">
      <c r="B1703" s="150"/>
      <c r="C1703" s="26">
        <v>94965</v>
      </c>
      <c r="D1703" s="16" t="s">
        <v>8</v>
      </c>
      <c r="E1703" s="447" t="str">
        <f>IFERROR(VLOOKUP($C1703,'SINAPI JULHO 2018'!$1:$1048576,2,0),IFERROR(VLOOKUP($C1703,'5-COMP. PROPRIA'!$B$13:$I$518,4,0),""))</f>
        <v>CONCRETO FCK = 25MPA, TRAÇO 1:2,3:2,7 (CIMENTO/ AREIA MÉDIA/ BRITA 1)  - PREPARO MECÂNICO COM BETONEIRA 400 L. AF_07/2016</v>
      </c>
      <c r="F1703" s="448"/>
      <c r="G1703" s="448"/>
      <c r="H1703" s="448"/>
      <c r="I1703" s="448"/>
      <c r="J1703" s="449"/>
      <c r="K1703" s="184">
        <f>SUM(K1705:K1705)</f>
        <v>0.21599999999999997</v>
      </c>
      <c r="L1703" s="58" t="s">
        <v>65</v>
      </c>
      <c r="M1703" s="52"/>
      <c r="N1703" s="109"/>
      <c r="O1703" s="115"/>
      <c r="Q1703" s="127"/>
    </row>
    <row r="1704" spans="2:17" ht="15" customHeight="1">
      <c r="B1704" s="150"/>
      <c r="E1704" s="76" t="s">
        <v>106</v>
      </c>
      <c r="F1704" s="17" t="s">
        <v>107</v>
      </c>
      <c r="G1704" s="17" t="s">
        <v>108</v>
      </c>
      <c r="H1704" s="67" t="s">
        <v>47</v>
      </c>
      <c r="J1704" s="102"/>
      <c r="N1704" s="104"/>
      <c r="O1704" s="115"/>
      <c r="Q1704" s="127"/>
    </row>
    <row r="1705" spans="2:17" ht="15" customHeight="1">
      <c r="B1705" s="150" t="s">
        <v>247</v>
      </c>
      <c r="E1705" s="101">
        <v>0.6</v>
      </c>
      <c r="F1705" s="71">
        <v>0.6</v>
      </c>
      <c r="G1705" s="71">
        <v>0.1</v>
      </c>
      <c r="H1705" s="71">
        <v>6</v>
      </c>
      <c r="J1705" s="102"/>
      <c r="K1705" s="70">
        <f>E1705*F1705*G1705*H1705</f>
        <v>0.21599999999999997</v>
      </c>
      <c r="N1705" s="104"/>
      <c r="O1705" s="115"/>
      <c r="Q1705" s="127"/>
    </row>
    <row r="1706" spans="2:17" ht="15" customHeight="1">
      <c r="B1706" s="150"/>
      <c r="E1706" s="118"/>
      <c r="J1706" s="102"/>
      <c r="N1706" s="104"/>
      <c r="O1706" s="115"/>
      <c r="Q1706" s="127"/>
    </row>
    <row r="1707" spans="2:17" ht="15" customHeight="1">
      <c r="B1707" s="150"/>
      <c r="C1707" s="26" t="s">
        <v>111</v>
      </c>
      <c r="D1707" s="16" t="s">
        <v>8</v>
      </c>
      <c r="E1707" s="447" t="str">
        <f>IFERROR(VLOOKUP($C1707,'SINAPI JULHO 2018'!$1:$1048576,2,0),IFERROR(VLOOKUP($C1707,'5-COMP. PROPRIA'!$B$13:$I$518,4,0),""))</f>
        <v>LANCAMENTO/APLICACAO MANUAL DE CONCRETO EM FUNDACOES</v>
      </c>
      <c r="F1707" s="448"/>
      <c r="G1707" s="448"/>
      <c r="H1707" s="448"/>
      <c r="I1707" s="448"/>
      <c r="J1707" s="449"/>
      <c r="K1707" s="184">
        <f>K1703</f>
        <v>0.21599999999999997</v>
      </c>
      <c r="L1707" s="58" t="s">
        <v>65</v>
      </c>
      <c r="M1707" s="52"/>
      <c r="N1707" s="109"/>
      <c r="O1707" s="115"/>
      <c r="Q1707" s="127"/>
    </row>
    <row r="1708" spans="2:17" ht="15" customHeight="1">
      <c r="B1708" s="150"/>
      <c r="E1708" s="276"/>
      <c r="F1708" s="221"/>
      <c r="G1708" s="221"/>
      <c r="H1708" s="221"/>
      <c r="I1708" s="221"/>
      <c r="J1708" s="222"/>
      <c r="K1708" s="184"/>
      <c r="M1708" s="93"/>
      <c r="N1708" s="68"/>
      <c r="O1708" s="115"/>
      <c r="Q1708" s="127"/>
    </row>
    <row r="1709" spans="2:17" ht="33.75" customHeight="1">
      <c r="C1709" s="26">
        <v>96545</v>
      </c>
      <c r="D1709" s="16" t="s">
        <v>8</v>
      </c>
      <c r="E1709" s="447" t="str">
        <f>IFERROR(VLOOKUP($C1709,'SINAPI JULHO 2018'!$1:$1048576,2,0),IFERROR(VLOOKUP($C1709,'5-COMP. PROPRIA'!$B$13:$I$518,4,0),""))</f>
        <v>ARMAÇÃO DE BLOCO, VIGA BALDRAME OU SAPATA UTILIZANDO AÇO CA-50 DE 8 MM - MONTAGEM. AF_06/2017</v>
      </c>
      <c r="F1709" s="448"/>
      <c r="G1709" s="448"/>
      <c r="H1709" s="448"/>
      <c r="I1709" s="448"/>
      <c r="J1709" s="449"/>
      <c r="K1709" s="184">
        <f>SUM(K1712:K1712)</f>
        <v>16.090867200000005</v>
      </c>
      <c r="L1709" s="58" t="s">
        <v>92</v>
      </c>
      <c r="M1709" s="52"/>
      <c r="N1709" s="109"/>
      <c r="O1709" s="115"/>
      <c r="Q1709" s="127"/>
    </row>
    <row r="1710" spans="2:17" ht="15" customHeight="1">
      <c r="B1710" s="150"/>
      <c r="E1710" s="118"/>
      <c r="H1710" s="70" t="s">
        <v>112</v>
      </c>
      <c r="I1710" s="69">
        <f>K1709/K1703</f>
        <v>74.494755555555585</v>
      </c>
      <c r="J1710" s="102"/>
      <c r="K1710" s="70"/>
      <c r="N1710" s="104"/>
      <c r="O1710" s="115"/>
      <c r="Q1710" s="127"/>
    </row>
    <row r="1711" spans="2:17" ht="15" customHeight="1">
      <c r="B1711" s="150"/>
      <c r="E1711" s="79" t="s">
        <v>93</v>
      </c>
      <c r="F1711" s="67" t="s">
        <v>27</v>
      </c>
      <c r="G1711" s="67" t="s">
        <v>94</v>
      </c>
      <c r="H1711" s="61" t="s">
        <v>95</v>
      </c>
      <c r="I1711" s="61"/>
      <c r="J1711" s="102"/>
      <c r="K1711" s="70"/>
      <c r="N1711" s="104"/>
      <c r="O1711" s="115"/>
      <c r="Q1711" s="127"/>
    </row>
    <row r="1712" spans="2:17" ht="15" customHeight="1">
      <c r="B1712" s="150"/>
      <c r="E1712" s="101">
        <v>8</v>
      </c>
      <c r="F1712" s="51">
        <f>(0.54+0.07+0.07)*10</f>
        <v>6.8000000000000016</v>
      </c>
      <c r="G1712" s="51">
        <f>H1705</f>
        <v>6</v>
      </c>
      <c r="H1712" s="51">
        <f>((E1712/1000)*(E1712/1000)*3.14*0.25)*7850</f>
        <v>0.39438400000000001</v>
      </c>
      <c r="J1712" s="102"/>
      <c r="K1712" s="70">
        <f>G1712*H1712*F1712</f>
        <v>16.090867200000005</v>
      </c>
      <c r="N1712" s="104"/>
      <c r="O1712" s="115"/>
      <c r="Q1712" s="127"/>
    </row>
    <row r="1713" spans="2:17" ht="15" customHeight="1">
      <c r="B1713" s="150"/>
      <c r="E1713" s="276"/>
      <c r="J1713" s="102"/>
      <c r="K1713" s="70"/>
      <c r="N1713" s="104"/>
      <c r="O1713" s="115"/>
      <c r="Q1713" s="127"/>
    </row>
    <row r="1714" spans="2:17" ht="42" customHeight="1">
      <c r="B1714" s="150"/>
      <c r="C1714" s="26">
        <v>96529</v>
      </c>
      <c r="D1714" s="16" t="s">
        <v>8</v>
      </c>
      <c r="E1714" s="447" t="str">
        <f>IFERROR(VLOOKUP($C1714,'SINAPI JULHO 2018'!$1:$1048576,2,0),IFERROR(VLOOKUP($C1714,'5-COMP. PROPRIA'!$B$13:$I$518,4,0),""))</f>
        <v>FABRICAÇÃO, MONTAGEM E DESMONTAGEM DE FÔRMA PARA SAPATA, EM MADEIRA SERRADA, E=25 MM, 1 UTILIZAÇÃO. AF_06/2017</v>
      </c>
      <c r="F1714" s="448"/>
      <c r="G1714" s="448"/>
      <c r="H1714" s="448"/>
      <c r="I1714" s="448"/>
      <c r="J1714" s="449"/>
      <c r="K1714" s="184">
        <f>SUM(K1716:K1716)</f>
        <v>1.44</v>
      </c>
      <c r="L1714" s="58" t="s">
        <v>25</v>
      </c>
      <c r="N1714" s="104"/>
      <c r="O1714" s="115"/>
      <c r="Q1714" s="127"/>
    </row>
    <row r="1715" spans="2:17" ht="15" customHeight="1">
      <c r="B1715" s="150"/>
      <c r="D1715" s="51"/>
      <c r="E1715" s="76" t="s">
        <v>106</v>
      </c>
      <c r="F1715" s="17" t="s">
        <v>107</v>
      </c>
      <c r="G1715" s="17" t="s">
        <v>108</v>
      </c>
      <c r="H1715" s="67" t="s">
        <v>47</v>
      </c>
      <c r="I1715" s="221"/>
      <c r="J1715" s="222"/>
      <c r="K1715" s="186"/>
      <c r="L1715" s="100"/>
      <c r="N1715" s="104"/>
      <c r="O1715" s="115"/>
      <c r="Q1715" s="127"/>
    </row>
    <row r="1716" spans="2:17" ht="15" customHeight="1">
      <c r="B1716" s="150"/>
      <c r="E1716" s="118">
        <f>E1705</f>
        <v>0.6</v>
      </c>
      <c r="F1716" s="51">
        <f>F1705</f>
        <v>0.6</v>
      </c>
      <c r="G1716" s="51">
        <f>G1705</f>
        <v>0.1</v>
      </c>
      <c r="H1716" s="51">
        <f>H1705</f>
        <v>6</v>
      </c>
      <c r="J1716" s="102"/>
      <c r="K1716" s="70">
        <f>(((E1716*G1716)*2)+((F1716*G1716)*2))*H1716</f>
        <v>1.44</v>
      </c>
      <c r="N1716" s="104"/>
      <c r="O1716" s="115"/>
      <c r="Q1716" s="127"/>
    </row>
    <row r="1717" spans="2:17" ht="15" customHeight="1">
      <c r="B1717" s="150"/>
      <c r="E1717" s="118"/>
      <c r="J1717" s="102"/>
      <c r="N1717" s="104"/>
      <c r="O1717" s="115"/>
      <c r="Q1717" s="127"/>
    </row>
    <row r="1718" spans="2:17" ht="15" customHeight="1">
      <c r="B1718" s="150"/>
      <c r="C1718" s="16">
        <v>93382</v>
      </c>
      <c r="D1718" s="16" t="s">
        <v>8</v>
      </c>
      <c r="E1718" s="447" t="str">
        <f>IFERROR(VLOOKUP($C1718,'SINAPI JULHO 2018'!$1:$1048576,2,0),IFERROR(VLOOKUP($C1718,'5-COMP. PROPRIA'!$B$13:$I$518,4,0),""))</f>
        <v>REATERRO MANUAL DE VALAS COM COMPACTAÇÃO MECANIZADA. AF_04/2016</v>
      </c>
      <c r="F1718" s="448"/>
      <c r="G1718" s="448"/>
      <c r="H1718" s="448"/>
      <c r="I1718" s="448"/>
      <c r="J1718" s="449"/>
      <c r="K1718" s="184">
        <f>SUM(K1720)</f>
        <v>3.32775</v>
      </c>
      <c r="L1718" s="58" t="s">
        <v>65</v>
      </c>
      <c r="N1718" s="104"/>
      <c r="O1718" s="115"/>
      <c r="Q1718" s="127"/>
    </row>
    <row r="1719" spans="2:17" ht="15" customHeight="1">
      <c r="B1719" s="150"/>
      <c r="E1719" s="79" t="s">
        <v>115</v>
      </c>
      <c r="F1719" s="67" t="s">
        <v>116</v>
      </c>
      <c r="J1719" s="102"/>
      <c r="K1719" s="184"/>
      <c r="N1719" s="104"/>
      <c r="O1719" s="115"/>
      <c r="Q1719" s="127"/>
    </row>
    <row r="1720" spans="2:17" ht="15" customHeight="1">
      <c r="B1720" s="150"/>
      <c r="E1720" s="112">
        <f>K1695</f>
        <v>3.5437500000000002</v>
      </c>
      <c r="F1720" s="51">
        <f>K1703</f>
        <v>0.21599999999999997</v>
      </c>
      <c r="J1720" s="102"/>
      <c r="K1720" s="70">
        <f>E1720-F1720</f>
        <v>3.32775</v>
      </c>
      <c r="N1720" s="104"/>
      <c r="O1720" s="115"/>
      <c r="Q1720" s="127"/>
    </row>
    <row r="1721" spans="2:17" ht="15" customHeight="1">
      <c r="B1721" s="150"/>
      <c r="E1721" s="112"/>
      <c r="J1721" s="102"/>
      <c r="K1721" s="70"/>
      <c r="N1721" s="104"/>
      <c r="O1721" s="115"/>
      <c r="Q1721" s="127"/>
    </row>
    <row r="1722" spans="2:17" ht="15" customHeight="1">
      <c r="B1722" s="150"/>
      <c r="C1722" s="26">
        <v>72897</v>
      </c>
      <c r="D1722" s="16" t="s">
        <v>8</v>
      </c>
      <c r="E1722" s="447" t="str">
        <f>IFERROR(VLOOKUP($C1722,'SINAPI JULHO 2018'!$1:$1048576,2,0),IFERROR(VLOOKUP($C1722,'5-COMP. PROPRIA'!$B$13:$I$518,4,0),""))</f>
        <v>CARGA MANUAL DE ENTULHO EM CAMINHAO BASCULANTE 6 M3</v>
      </c>
      <c r="F1722" s="448"/>
      <c r="G1722" s="448"/>
      <c r="H1722" s="448"/>
      <c r="I1722" s="448"/>
      <c r="J1722" s="449"/>
      <c r="K1722" s="184">
        <f>SUM(K1724:K1724)</f>
        <v>0.28079999999999999</v>
      </c>
      <c r="L1722" s="58" t="s">
        <v>65</v>
      </c>
      <c r="N1722" s="104"/>
      <c r="O1722" s="115"/>
      <c r="Q1722" s="127"/>
    </row>
    <row r="1723" spans="2:17" ht="15" customHeight="1">
      <c r="B1723" s="150"/>
      <c r="E1723" s="79"/>
      <c r="F1723" s="67" t="s">
        <v>116</v>
      </c>
      <c r="G1723" s="17"/>
      <c r="H1723" s="67" t="s">
        <v>119</v>
      </c>
      <c r="J1723" s="220"/>
      <c r="K1723" s="70"/>
      <c r="N1723" s="104"/>
      <c r="O1723" s="115"/>
      <c r="Q1723" s="127"/>
    </row>
    <row r="1724" spans="2:17" ht="15" customHeight="1">
      <c r="B1724" s="150"/>
      <c r="E1724" s="118"/>
      <c r="F1724" s="17">
        <f>K1703</f>
        <v>0.21599999999999997</v>
      </c>
      <c r="G1724" s="17"/>
      <c r="H1724" s="17">
        <v>1.3</v>
      </c>
      <c r="J1724" s="68"/>
      <c r="K1724" s="70">
        <f>H1724*F1724</f>
        <v>0.28079999999999999</v>
      </c>
      <c r="N1724" s="104"/>
      <c r="O1724" s="115"/>
      <c r="Q1724" s="127"/>
    </row>
    <row r="1725" spans="2:17" ht="15" customHeight="1">
      <c r="B1725" s="150"/>
      <c r="E1725" s="118"/>
      <c r="F1725" s="17"/>
      <c r="G1725" s="17"/>
      <c r="I1725" s="17"/>
      <c r="J1725" s="68"/>
      <c r="K1725" s="70"/>
      <c r="N1725" s="104"/>
      <c r="O1725" s="115"/>
      <c r="Q1725" s="127"/>
    </row>
    <row r="1726" spans="2:17" ht="36.75" customHeight="1">
      <c r="B1726" s="150"/>
      <c r="C1726" s="26">
        <v>97914</v>
      </c>
      <c r="D1726" s="16" t="s">
        <v>8</v>
      </c>
      <c r="E1726" s="447" t="str">
        <f>IFERROR(VLOOKUP($C1726,'SINAPI JULHO 2018'!$1:$1048576,2,0),IFERROR(VLOOKUP($C1726,'5-COMP. PROPRIA'!$B$13:$I$518,4,0),""))</f>
        <v>TRANSPORTE COM CAMINHÃO BASCULANTE DE 6 M3, EM VIA URBANA PAVIMENTADA, DMT ATÉ 30 KM (UNIDADE: M3XKM). AF_01/2018</v>
      </c>
      <c r="F1726" s="448"/>
      <c r="G1726" s="448"/>
      <c r="H1726" s="448"/>
      <c r="I1726" s="448"/>
      <c r="J1726" s="449"/>
      <c r="K1726" s="184">
        <f>K1728</f>
        <v>2.1059999999999999</v>
      </c>
      <c r="L1726" s="57" t="s">
        <v>78</v>
      </c>
      <c r="N1726" s="104"/>
      <c r="O1726" s="115"/>
      <c r="Q1726" s="127"/>
    </row>
    <row r="1727" spans="2:17" ht="15" customHeight="1">
      <c r="B1727" s="150"/>
      <c r="E1727" s="79" t="s">
        <v>80</v>
      </c>
      <c r="H1727" s="67" t="s">
        <v>81</v>
      </c>
      <c r="J1727" s="102"/>
      <c r="N1727" s="104"/>
      <c r="O1727" s="115"/>
      <c r="Q1727" s="127"/>
    </row>
    <row r="1728" spans="2:17" ht="15" customHeight="1">
      <c r="B1728" s="150"/>
      <c r="E1728" s="79">
        <f>K1722</f>
        <v>0.28079999999999999</v>
      </c>
      <c r="H1728" s="67">
        <v>7.5</v>
      </c>
      <c r="J1728" s="102"/>
      <c r="K1728" s="180">
        <f>E1728*H1728</f>
        <v>2.1059999999999999</v>
      </c>
      <c r="N1728" s="104"/>
      <c r="O1728" s="115"/>
      <c r="Q1728" s="127"/>
    </row>
    <row r="1729" spans="2:17" ht="15" customHeight="1">
      <c r="B1729" s="150"/>
      <c r="E1729" s="112"/>
      <c r="J1729" s="102"/>
      <c r="K1729" s="70"/>
      <c r="N1729" s="104"/>
      <c r="O1729" s="115"/>
      <c r="Q1729" s="127"/>
    </row>
    <row r="1730" spans="2:17" ht="15" customHeight="1">
      <c r="B1730" s="150"/>
      <c r="C1730" s="91"/>
      <c r="D1730" s="91"/>
      <c r="E1730" s="453" t="s">
        <v>103</v>
      </c>
      <c r="F1730" s="454"/>
      <c r="G1730" s="454"/>
      <c r="H1730" s="454"/>
      <c r="I1730" s="454"/>
      <c r="J1730" s="455"/>
      <c r="K1730" s="183"/>
      <c r="L1730" s="56"/>
      <c r="M1730" s="93"/>
      <c r="N1730" s="107"/>
      <c r="O1730" s="115"/>
      <c r="Q1730" s="127"/>
    </row>
    <row r="1731" spans="2:17" ht="15" customHeight="1">
      <c r="B1731" s="150"/>
      <c r="C1731" s="91"/>
      <c r="D1731" s="91"/>
      <c r="E1731" s="112"/>
      <c r="J1731" s="102"/>
      <c r="K1731" s="183"/>
      <c r="L1731" s="56"/>
      <c r="M1731" s="93"/>
      <c r="N1731" s="107"/>
      <c r="O1731" s="115"/>
      <c r="Q1731" s="127"/>
    </row>
    <row r="1732" spans="2:17" ht="23.25" customHeight="1">
      <c r="B1732" s="150"/>
      <c r="C1732" s="26">
        <v>96527</v>
      </c>
      <c r="D1732" s="16" t="s">
        <v>8</v>
      </c>
      <c r="E1732" s="447" t="str">
        <f>IFERROR(VLOOKUP($C1732,'SINAPI JULHO 2018'!$1:$1048576,2,0),IFERROR(VLOOKUP($C1732,'5-COMP. PROPRIA'!$B$13:$I$518,4,0),""))</f>
        <v>ESCAVAÇÃO MANUAL DE VALA PARA VIGA BALDRAME, COM PREVISÃO DE FÔRMA. AF_06/2017</v>
      </c>
      <c r="F1732" s="448"/>
      <c r="G1732" s="448"/>
      <c r="H1732" s="448"/>
      <c r="I1732" s="448"/>
      <c r="J1732" s="449"/>
      <c r="K1732" s="184">
        <f>SUM(K1734:K1734)*1.3</f>
        <v>4.8416939999999995</v>
      </c>
      <c r="L1732" s="58" t="s">
        <v>65</v>
      </c>
      <c r="M1732" s="93"/>
      <c r="N1732" s="68"/>
      <c r="O1732" s="115"/>
      <c r="Q1732" s="127"/>
    </row>
    <row r="1733" spans="2:17" ht="15" customHeight="1">
      <c r="B1733" s="150"/>
      <c r="E1733" s="76" t="s">
        <v>106</v>
      </c>
      <c r="F1733" s="17" t="s">
        <v>107</v>
      </c>
      <c r="G1733" s="17" t="s">
        <v>108</v>
      </c>
      <c r="H1733" s="67" t="s">
        <v>47</v>
      </c>
      <c r="I1733" s="221"/>
      <c r="J1733" s="222"/>
      <c r="K1733" s="186"/>
      <c r="M1733" s="93"/>
      <c r="N1733" s="68"/>
      <c r="O1733" s="115"/>
      <c r="Q1733" s="127"/>
    </row>
    <row r="1734" spans="2:17" ht="15" customHeight="1">
      <c r="B1734" s="150"/>
      <c r="E1734" s="105">
        <f>E1742</f>
        <v>25.65</v>
      </c>
      <c r="F1734" s="105">
        <f>F1742+0.3</f>
        <v>0.44</v>
      </c>
      <c r="G1734" s="105">
        <f>G1742+0.03</f>
        <v>0.32999999999999996</v>
      </c>
      <c r="H1734" s="105">
        <v>1</v>
      </c>
      <c r="J1734" s="102"/>
      <c r="K1734" s="70">
        <f>E1734*F1734*G1734*H1734</f>
        <v>3.7243799999999996</v>
      </c>
      <c r="M1734" s="93"/>
      <c r="N1734" s="114"/>
      <c r="O1734" s="115"/>
      <c r="Q1734" s="127"/>
    </row>
    <row r="1735" spans="2:17" ht="15" customHeight="1">
      <c r="B1735" s="150"/>
      <c r="E1735" s="118"/>
      <c r="J1735" s="102"/>
      <c r="K1735" s="183"/>
      <c r="M1735" s="93"/>
      <c r="N1735" s="68"/>
      <c r="O1735" s="115"/>
      <c r="Q1735" s="127"/>
    </row>
    <row r="1736" spans="2:17" ht="27" customHeight="1">
      <c r="B1736" s="150"/>
      <c r="C1736" s="26">
        <v>96617</v>
      </c>
      <c r="D1736" s="16" t="s">
        <v>8</v>
      </c>
      <c r="E1736" s="447" t="str">
        <f>IFERROR(VLOOKUP($C1736,'SINAPI JULHO 2018'!$1:$1048576,2,0),IFERROR(VLOOKUP($C1736,'5-COMP. PROPRIA'!$B$13:$I$518,4,0),""))</f>
        <v>LASTRO DE CONCRETO MAGRO, APLICADO EM BLOCOS DE COROAMENTO OU SAPATAS, ESPESSURA DE 3 CM. AF_08/2017</v>
      </c>
      <c r="F1736" s="448"/>
      <c r="G1736" s="448"/>
      <c r="H1736" s="448"/>
      <c r="I1736" s="448"/>
      <c r="J1736" s="449"/>
      <c r="K1736" s="184">
        <f>SUM(K1738:K1738)</f>
        <v>3.5910000000000002</v>
      </c>
      <c r="L1736" s="57" t="s">
        <v>25</v>
      </c>
      <c r="M1736" s="52">
        <f>K1736*0.03</f>
        <v>0.10773000000000001</v>
      </c>
      <c r="N1736" s="109" t="s">
        <v>65</v>
      </c>
      <c r="O1736" s="115"/>
      <c r="Q1736" s="127"/>
    </row>
    <row r="1737" spans="2:17" ht="15" customHeight="1">
      <c r="B1737" s="150"/>
      <c r="E1737" s="76" t="s">
        <v>106</v>
      </c>
      <c r="F1737" s="17" t="s">
        <v>107</v>
      </c>
      <c r="H1737" s="67" t="s">
        <v>47</v>
      </c>
      <c r="J1737" s="102"/>
      <c r="N1737" s="104"/>
      <c r="O1737" s="115"/>
      <c r="Q1737" s="127"/>
    </row>
    <row r="1738" spans="2:17" ht="15" customHeight="1">
      <c r="B1738" s="150"/>
      <c r="E1738" s="105">
        <f>E1734</f>
        <v>25.65</v>
      </c>
      <c r="F1738" s="105">
        <f>F1742</f>
        <v>0.14000000000000001</v>
      </c>
      <c r="H1738" s="105">
        <f>H1734</f>
        <v>1</v>
      </c>
      <c r="J1738" s="102"/>
      <c r="K1738" s="70">
        <f>H1738*F1738*E1738</f>
        <v>3.5910000000000002</v>
      </c>
      <c r="N1738" s="104"/>
      <c r="O1738" s="115"/>
      <c r="Q1738" s="127"/>
    </row>
    <row r="1739" spans="2:17" ht="15" customHeight="1">
      <c r="B1739" s="150"/>
      <c r="E1739" s="118"/>
      <c r="J1739" s="102"/>
      <c r="K1739" s="183"/>
      <c r="M1739" s="93"/>
      <c r="N1739" s="68"/>
      <c r="O1739" s="115"/>
      <c r="Q1739" s="127"/>
    </row>
    <row r="1740" spans="2:17" ht="34.5" customHeight="1">
      <c r="B1740" s="150"/>
      <c r="C1740" s="26">
        <v>94965</v>
      </c>
      <c r="D1740" s="16" t="s">
        <v>8</v>
      </c>
      <c r="E1740" s="447" t="str">
        <f>IFERROR(VLOOKUP($C1740,'SINAPI JULHO 2018'!$1:$1048576,2,0),IFERROR(VLOOKUP($C1740,'5-COMP. PROPRIA'!$B$13:$I$518,4,0),""))</f>
        <v>CONCRETO FCK = 25MPA, TRAÇO 1:2,3:2,7 (CIMENTO/ AREIA MÉDIA/ BRITA 1)  - PREPARO MECÂNICO COM BETONEIRA 400 L. AF_07/2016</v>
      </c>
      <c r="F1740" s="448"/>
      <c r="G1740" s="448"/>
      <c r="H1740" s="448"/>
      <c r="I1740" s="448"/>
      <c r="J1740" s="449"/>
      <c r="K1740" s="184">
        <f>SUM(K1742:K1742)</f>
        <v>1.0772999999999999</v>
      </c>
      <c r="L1740" s="58" t="s">
        <v>65</v>
      </c>
      <c r="M1740" s="93"/>
      <c r="N1740" s="68"/>
      <c r="O1740" s="115"/>
      <c r="Q1740" s="127"/>
    </row>
    <row r="1741" spans="2:17" ht="15" customHeight="1">
      <c r="B1741" s="150"/>
      <c r="E1741" s="76" t="s">
        <v>106</v>
      </c>
      <c r="F1741" s="17" t="s">
        <v>107</v>
      </c>
      <c r="G1741" s="17" t="s">
        <v>108</v>
      </c>
      <c r="H1741" s="67" t="s">
        <v>47</v>
      </c>
      <c r="I1741" s="221"/>
      <c r="J1741" s="222"/>
      <c r="K1741" s="183"/>
      <c r="M1741" s="93"/>
      <c r="N1741" s="68"/>
      <c r="O1741" s="115"/>
      <c r="Q1741" s="127"/>
    </row>
    <row r="1742" spans="2:17" ht="15" customHeight="1">
      <c r="B1742" s="150"/>
      <c r="E1742" s="111">
        <v>25.65</v>
      </c>
      <c r="F1742" s="74">
        <v>0.14000000000000001</v>
      </c>
      <c r="G1742" s="74">
        <v>0.3</v>
      </c>
      <c r="H1742" s="74">
        <v>1</v>
      </c>
      <c r="J1742" s="102"/>
      <c r="K1742" s="70">
        <f>E1742*F1742*G1742*H1742</f>
        <v>1.0772999999999999</v>
      </c>
      <c r="M1742" s="93"/>
      <c r="N1742" s="68"/>
      <c r="O1742" s="115"/>
      <c r="Q1742" s="127"/>
    </row>
    <row r="1743" spans="2:17" ht="15" customHeight="1">
      <c r="B1743" s="150"/>
      <c r="E1743" s="112"/>
      <c r="J1743" s="102"/>
      <c r="K1743" s="183"/>
      <c r="M1743" s="93"/>
      <c r="N1743" s="68"/>
      <c r="O1743" s="115"/>
      <c r="Q1743" s="127"/>
    </row>
    <row r="1744" spans="2:17" ht="15" customHeight="1">
      <c r="B1744" s="150"/>
      <c r="C1744" s="26" t="s">
        <v>111</v>
      </c>
      <c r="D1744" s="16" t="s">
        <v>8</v>
      </c>
      <c r="E1744" s="447" t="str">
        <f>IFERROR(VLOOKUP($C1744,'SINAPI JULHO 2018'!$1:$1048576,2,0),IFERROR(VLOOKUP($C1744,'5-COMP. PROPRIA'!$B$13:$I$518,4,0),""))</f>
        <v>LANCAMENTO/APLICACAO MANUAL DE CONCRETO EM FUNDACOES</v>
      </c>
      <c r="F1744" s="448"/>
      <c r="G1744" s="448"/>
      <c r="H1744" s="448"/>
      <c r="I1744" s="448"/>
      <c r="J1744" s="449"/>
      <c r="K1744" s="184">
        <f>K1740</f>
        <v>1.0772999999999999</v>
      </c>
      <c r="L1744" s="58" t="s">
        <v>65</v>
      </c>
      <c r="M1744" s="93"/>
      <c r="N1744" s="68"/>
      <c r="O1744" s="115"/>
      <c r="Q1744" s="26"/>
    </row>
    <row r="1745" spans="2:17" ht="15" customHeight="1">
      <c r="B1745" s="150"/>
      <c r="E1745" s="118"/>
      <c r="J1745" s="102"/>
      <c r="M1745" s="93"/>
      <c r="N1745" s="68"/>
      <c r="O1745" s="115"/>
      <c r="Q1745" s="26"/>
    </row>
    <row r="1746" spans="2:17" ht="36" customHeight="1">
      <c r="B1746" s="157" t="s">
        <v>219</v>
      </c>
      <c r="C1746" s="26">
        <v>96543</v>
      </c>
      <c r="D1746" s="16" t="s">
        <v>8</v>
      </c>
      <c r="E1746" s="447" t="str">
        <f>IFERROR(VLOOKUP($C1746,'SINAPI JULHO 2018'!$1:$1048576,2,0),IFERROR(VLOOKUP($C1746,'5-COMP. PROPRIA'!$B$13:$I$518,4,0),""))</f>
        <v>ARMAÇÃO DE BLOCO, VIGA BALDRAME E SAPATA UTILIZANDO AÇO CA-60 DE 5 MM - MONTAGEM. AF_06/2017</v>
      </c>
      <c r="F1746" s="448"/>
      <c r="G1746" s="448"/>
      <c r="H1746" s="448"/>
      <c r="I1746" s="448"/>
      <c r="J1746" s="449"/>
      <c r="K1746" s="184">
        <f>SUM(K1749:K1749)</f>
        <v>24.367847343750007</v>
      </c>
      <c r="L1746" s="58" t="s">
        <v>92</v>
      </c>
      <c r="M1746" s="52"/>
      <c r="N1746" s="68"/>
      <c r="O1746" s="115"/>
      <c r="Q1746" s="26"/>
    </row>
    <row r="1747" spans="2:17" ht="15" customHeight="1">
      <c r="B1747" s="150"/>
      <c r="E1747" s="118"/>
      <c r="H1747" s="70" t="s">
        <v>112</v>
      </c>
      <c r="I1747" s="69">
        <f>K1746/K1740</f>
        <v>22.619370039682547</v>
      </c>
      <c r="J1747" s="102"/>
      <c r="K1747" s="70"/>
      <c r="M1747" s="93"/>
      <c r="N1747" s="68"/>
      <c r="O1747" s="115"/>
      <c r="Q1747" s="26"/>
    </row>
    <row r="1748" spans="2:17" ht="15" customHeight="1">
      <c r="B1748" s="150"/>
      <c r="E1748" s="79" t="s">
        <v>93</v>
      </c>
      <c r="F1748" s="67" t="s">
        <v>27</v>
      </c>
      <c r="G1748" s="67" t="s">
        <v>94</v>
      </c>
      <c r="H1748" s="61" t="s">
        <v>95</v>
      </c>
      <c r="I1748" s="17" t="s">
        <v>54</v>
      </c>
      <c r="J1748" s="102"/>
      <c r="K1748" s="70"/>
      <c r="M1748" s="93"/>
      <c r="N1748" s="68"/>
      <c r="O1748" s="115"/>
      <c r="Q1748" s="127"/>
    </row>
    <row r="1749" spans="2:17" ht="15" customHeight="1">
      <c r="B1749" s="150"/>
      <c r="E1749" s="101">
        <v>5</v>
      </c>
      <c r="F1749" s="51">
        <f>(F1742-0.06)*2+(G1742-0.06)*2+0.1</f>
        <v>0.74</v>
      </c>
      <c r="G1749" s="51">
        <f>E1734/0.12</f>
        <v>213.75</v>
      </c>
      <c r="H1749" s="51">
        <f>((E1749/1000)*(E1749/1000)*3.14*0.25)*7850</f>
        <v>0.15405625000000003</v>
      </c>
      <c r="I1749" s="51">
        <f>$H$138</f>
        <v>1</v>
      </c>
      <c r="J1749" s="102"/>
      <c r="K1749" s="70">
        <f>G1749*H1749*F1749*I1749</f>
        <v>24.367847343750007</v>
      </c>
      <c r="M1749" s="93"/>
      <c r="N1749" s="68"/>
      <c r="O1749" s="115"/>
      <c r="Q1749" s="127"/>
    </row>
    <row r="1750" spans="2:17" ht="15" customHeight="1">
      <c r="B1750" s="150"/>
      <c r="E1750" s="118"/>
      <c r="J1750" s="102"/>
      <c r="M1750" s="93"/>
      <c r="N1750" s="68"/>
      <c r="O1750" s="115"/>
      <c r="Q1750" s="127"/>
    </row>
    <row r="1751" spans="2:17" ht="30" customHeight="1">
      <c r="B1751" s="150"/>
      <c r="C1751" s="26">
        <v>96545</v>
      </c>
      <c r="D1751" s="16" t="s">
        <v>8</v>
      </c>
      <c r="E1751" s="447" t="str">
        <f>IFERROR(VLOOKUP($C1751,'SINAPI JULHO 2018'!$1:$1048576,2,0),IFERROR(VLOOKUP($C1751,'5-COMP. PROPRIA'!$B$13:$I$518,4,0),""))</f>
        <v>ARMAÇÃO DE BLOCO, VIGA BALDRAME OU SAPATA UTILIZANDO AÇO CA-50 DE 8 MM - MONTAGEM. AF_06/2017</v>
      </c>
      <c r="F1751" s="448"/>
      <c r="G1751" s="448"/>
      <c r="H1751" s="448"/>
      <c r="I1751" s="448"/>
      <c r="J1751" s="449"/>
      <c r="K1751" s="184">
        <f>SUM(K1754:K1754)</f>
        <v>40.463798400000002</v>
      </c>
      <c r="L1751" s="58" t="s">
        <v>92</v>
      </c>
      <c r="M1751" s="52"/>
      <c r="N1751" s="68"/>
      <c r="O1751" s="115"/>
      <c r="Q1751" s="127"/>
    </row>
    <row r="1752" spans="2:17" ht="15" customHeight="1">
      <c r="B1752" s="150"/>
      <c r="E1752" s="118"/>
      <c r="H1752" s="70" t="s">
        <v>112</v>
      </c>
      <c r="I1752" s="69">
        <f>K1751/K1744</f>
        <v>37.560380952380953</v>
      </c>
      <c r="J1752" s="102"/>
      <c r="K1752" s="70"/>
      <c r="M1752" s="93"/>
      <c r="N1752" s="68"/>
      <c r="O1752" s="115"/>
      <c r="Q1752" s="127"/>
    </row>
    <row r="1753" spans="2:17" ht="15" customHeight="1">
      <c r="B1753" s="150"/>
      <c r="E1753" s="79" t="s">
        <v>93</v>
      </c>
      <c r="F1753" s="67" t="s">
        <v>27</v>
      </c>
      <c r="G1753" s="67" t="s">
        <v>28</v>
      </c>
      <c r="H1753" s="61" t="s">
        <v>95</v>
      </c>
      <c r="I1753" s="17" t="s">
        <v>54</v>
      </c>
      <c r="J1753" s="102"/>
      <c r="K1753" s="70"/>
      <c r="M1753" s="93"/>
      <c r="N1753" s="68"/>
      <c r="O1753" s="115"/>
      <c r="Q1753" s="127"/>
    </row>
    <row r="1754" spans="2:17" ht="15" customHeight="1">
      <c r="B1754" s="150"/>
      <c r="E1754" s="101">
        <v>8</v>
      </c>
      <c r="F1754" s="51">
        <f>E1742</f>
        <v>25.65</v>
      </c>
      <c r="G1754" s="51">
        <v>1</v>
      </c>
      <c r="H1754" s="51">
        <f>((E1754/1000)*(E1754/1000)*3.14*0.25)*7850</f>
        <v>0.39438400000000001</v>
      </c>
      <c r="I1754" s="51">
        <v>4</v>
      </c>
      <c r="J1754" s="102"/>
      <c r="K1754" s="70">
        <f>G1754*H1754*F1754*I1754</f>
        <v>40.463798400000002</v>
      </c>
      <c r="M1754" s="93"/>
      <c r="N1754" s="68"/>
      <c r="O1754" s="115"/>
      <c r="Q1754" s="127"/>
    </row>
    <row r="1755" spans="2:17" ht="15" customHeight="1">
      <c r="B1755" s="150"/>
      <c r="E1755" s="118"/>
      <c r="J1755" s="102"/>
      <c r="K1755" s="183"/>
      <c r="M1755" s="93"/>
      <c r="N1755" s="68"/>
      <c r="O1755" s="115"/>
      <c r="Q1755" s="127"/>
    </row>
    <row r="1756" spans="2:17" ht="36" customHeight="1">
      <c r="B1756" s="150"/>
      <c r="C1756" s="26">
        <v>96536</v>
      </c>
      <c r="D1756" s="16" t="s">
        <v>8</v>
      </c>
      <c r="E1756" s="447" t="str">
        <f>IFERROR(VLOOKUP($C1756,'SINAPI JULHO 2018'!$1:$1048576,2,0),IFERROR(VLOOKUP($C1756,'5-COMP. PROPRIA'!$B$13:$I$518,4,0),""))</f>
        <v>FABRICAÇÃO, MONTAGEM E DESMONTAGEM DE FÔRMA PARA VIGA BALDRAME, EM MADEIRA SERRADA, E=25 MM, 4 UTILIZAÇÕES. AF_06/2017</v>
      </c>
      <c r="F1756" s="448"/>
      <c r="G1756" s="448"/>
      <c r="H1756" s="448"/>
      <c r="I1756" s="448"/>
      <c r="J1756" s="449"/>
      <c r="K1756" s="184">
        <f>SUM(K1758:K1758)</f>
        <v>15.389999999999999</v>
      </c>
      <c r="L1756" s="58" t="s">
        <v>25</v>
      </c>
      <c r="M1756" s="93"/>
      <c r="N1756" s="68"/>
      <c r="O1756" s="115"/>
      <c r="Q1756" s="127"/>
    </row>
    <row r="1757" spans="2:17" ht="15" customHeight="1">
      <c r="B1757" s="150"/>
      <c r="D1757" s="51"/>
      <c r="E1757" s="76" t="s">
        <v>106</v>
      </c>
      <c r="F1757" s="17" t="s">
        <v>107</v>
      </c>
      <c r="G1757" s="17" t="s">
        <v>108</v>
      </c>
      <c r="H1757" s="67" t="s">
        <v>47</v>
      </c>
      <c r="I1757" s="221"/>
      <c r="J1757" s="222"/>
      <c r="K1757" s="186"/>
      <c r="L1757" s="100"/>
      <c r="M1757" s="93"/>
      <c r="N1757" s="68"/>
      <c r="O1757" s="115"/>
      <c r="Q1757" s="127"/>
    </row>
    <row r="1758" spans="2:17" ht="15" customHeight="1">
      <c r="B1758" s="150"/>
      <c r="E1758" s="118">
        <f>E1742</f>
        <v>25.65</v>
      </c>
      <c r="F1758" s="51">
        <f>F1742</f>
        <v>0.14000000000000001</v>
      </c>
      <c r="G1758" s="51">
        <f>G1742</f>
        <v>0.3</v>
      </c>
      <c r="H1758" s="51">
        <f>H1742</f>
        <v>1</v>
      </c>
      <c r="J1758" s="102"/>
      <c r="K1758" s="70">
        <f>E1758*(G1758*2)*H1758</f>
        <v>15.389999999999999</v>
      </c>
      <c r="M1758" s="93"/>
      <c r="N1758" s="68"/>
      <c r="O1758" s="115"/>
      <c r="Q1758" s="127"/>
    </row>
    <row r="1759" spans="2:17" ht="15" customHeight="1">
      <c r="B1759" s="150"/>
      <c r="E1759" s="118"/>
      <c r="J1759" s="102"/>
      <c r="M1759" s="93"/>
      <c r="N1759" s="68"/>
      <c r="O1759" s="115"/>
      <c r="Q1759" s="127"/>
    </row>
    <row r="1760" spans="2:17" ht="15" customHeight="1">
      <c r="B1760" s="150"/>
      <c r="C1760" s="16">
        <v>93382</v>
      </c>
      <c r="D1760" s="16" t="s">
        <v>8</v>
      </c>
      <c r="E1760" s="447" t="str">
        <f>IFERROR(VLOOKUP($C1760,'SINAPI JULHO 2018'!$1:$1048576,2,0),IFERROR(VLOOKUP($C1760,'5-COMP. PROPRIA'!$B$13:$I$518,4,0),""))</f>
        <v>REATERRO MANUAL DE VALAS COM COMPACTAÇÃO MECANIZADA. AF_04/2016</v>
      </c>
      <c r="F1760" s="448"/>
      <c r="G1760" s="448"/>
      <c r="H1760" s="448"/>
      <c r="I1760" s="448"/>
      <c r="J1760" s="449"/>
      <c r="K1760" s="184">
        <f>SUM(K1762)</f>
        <v>3.7643939999999994</v>
      </c>
      <c r="L1760" s="58" t="s">
        <v>65</v>
      </c>
      <c r="M1760" s="93"/>
      <c r="N1760" s="68"/>
      <c r="O1760" s="115"/>
      <c r="Q1760" s="127"/>
    </row>
    <row r="1761" spans="2:17" ht="15" customHeight="1">
      <c r="B1761" s="150"/>
      <c r="E1761" s="79" t="s">
        <v>115</v>
      </c>
      <c r="F1761" s="67" t="s">
        <v>116</v>
      </c>
      <c r="J1761" s="102"/>
      <c r="K1761" s="184"/>
      <c r="M1761" s="93"/>
      <c r="N1761" s="68"/>
      <c r="O1761" s="115"/>
      <c r="Q1761" s="127"/>
    </row>
    <row r="1762" spans="2:17" ht="15" customHeight="1">
      <c r="B1762" s="150"/>
      <c r="E1762" s="112">
        <f>K1732</f>
        <v>4.8416939999999995</v>
      </c>
      <c r="F1762" s="51">
        <f>K1740</f>
        <v>1.0772999999999999</v>
      </c>
      <c r="J1762" s="102"/>
      <c r="K1762" s="70">
        <f>E1762-F1762</f>
        <v>3.7643939999999994</v>
      </c>
      <c r="M1762" s="93"/>
      <c r="N1762" s="68"/>
      <c r="O1762" s="115"/>
      <c r="Q1762" s="127"/>
    </row>
    <row r="1763" spans="2:17" ht="15" customHeight="1">
      <c r="B1763" s="150"/>
      <c r="E1763" s="118"/>
      <c r="J1763" s="102"/>
      <c r="M1763" s="93"/>
      <c r="N1763" s="68"/>
      <c r="O1763" s="115"/>
      <c r="Q1763" s="127"/>
    </row>
    <row r="1764" spans="2:17" ht="28.5" customHeight="1">
      <c r="B1764" s="157" t="s">
        <v>220</v>
      </c>
      <c r="C1764" s="16" t="s">
        <v>117</v>
      </c>
      <c r="D1764" s="16" t="s">
        <v>8</v>
      </c>
      <c r="E1764" s="447" t="str">
        <f>IFERROR(VLOOKUP($C1764,'SINAPI JULHO 2018'!$1:$1048576,2,0),IFERROR(VLOOKUP($C1764,'5-COMP. PROPRIA'!$B$13:$I$518,4,0),""))</f>
        <v>IMPERMEABILIZACAO DE ESTRUTURAS ENTERRADAS, COM TINTA ASFALTICA, DUAS DEMAOS.</v>
      </c>
      <c r="F1764" s="448"/>
      <c r="G1764" s="448"/>
      <c r="H1764" s="448"/>
      <c r="I1764" s="448"/>
      <c r="J1764" s="449"/>
      <c r="K1764" s="184">
        <f>K1756+(E1758*F1758)</f>
        <v>18.980999999999998</v>
      </c>
      <c r="L1764" s="57" t="s">
        <v>25</v>
      </c>
      <c r="M1764" s="52"/>
      <c r="N1764" s="68"/>
      <c r="O1764" s="115"/>
      <c r="Q1764" s="127"/>
    </row>
    <row r="1765" spans="2:17" ht="15" customHeight="1">
      <c r="B1765" s="150"/>
      <c r="E1765" s="112"/>
      <c r="J1765" s="102"/>
      <c r="K1765" s="183"/>
      <c r="L1765" s="57"/>
      <c r="M1765" s="93"/>
      <c r="N1765" s="68"/>
      <c r="O1765" s="115"/>
      <c r="Q1765" s="127"/>
    </row>
    <row r="1766" spans="2:17" ht="15" customHeight="1">
      <c r="B1766" s="150"/>
      <c r="C1766" s="26">
        <v>72897</v>
      </c>
      <c r="D1766" s="16" t="s">
        <v>8</v>
      </c>
      <c r="E1766" s="447" t="str">
        <f>IFERROR(VLOOKUP($C1766,'SINAPI JULHO 2018'!$1:$1048576,2,0),IFERROR(VLOOKUP($C1766,'5-COMP. PROPRIA'!$B$13:$I$518,4,0),""))</f>
        <v>CARGA MANUAL DE ENTULHO EM CAMINHAO BASCULANTE 6 M3</v>
      </c>
      <c r="F1766" s="448"/>
      <c r="G1766" s="448"/>
      <c r="H1766" s="448"/>
      <c r="I1766" s="448"/>
      <c r="J1766" s="449"/>
      <c r="K1766" s="184">
        <f>SUM(K1768:K1768)</f>
        <v>1.40049</v>
      </c>
      <c r="L1766" s="58" t="s">
        <v>65</v>
      </c>
      <c r="M1766" s="93"/>
      <c r="N1766" s="68"/>
      <c r="O1766" s="115"/>
      <c r="Q1766" s="127"/>
    </row>
    <row r="1767" spans="2:17" ht="15" customHeight="1">
      <c r="B1767" s="150"/>
      <c r="E1767" s="79"/>
      <c r="F1767" s="67" t="s">
        <v>116</v>
      </c>
      <c r="G1767" s="17"/>
      <c r="H1767" s="67" t="s">
        <v>119</v>
      </c>
      <c r="J1767" s="220"/>
      <c r="K1767" s="70"/>
      <c r="M1767" s="93"/>
      <c r="N1767" s="68"/>
      <c r="O1767" s="115"/>
      <c r="Q1767" s="127"/>
    </row>
    <row r="1768" spans="2:17" ht="15" customHeight="1">
      <c r="B1768" s="150"/>
      <c r="E1768" s="118"/>
      <c r="F1768" s="17">
        <f>K1740</f>
        <v>1.0772999999999999</v>
      </c>
      <c r="G1768" s="17"/>
      <c r="H1768" s="17">
        <v>1.3</v>
      </c>
      <c r="J1768" s="68"/>
      <c r="K1768" s="70">
        <f>H1768*F1768</f>
        <v>1.40049</v>
      </c>
      <c r="M1768" s="93"/>
      <c r="N1768" s="68"/>
      <c r="O1768" s="115"/>
      <c r="Q1768" s="127"/>
    </row>
    <row r="1769" spans="2:17" ht="15" customHeight="1">
      <c r="B1769" s="150"/>
      <c r="E1769" s="118"/>
      <c r="F1769" s="17"/>
      <c r="G1769" s="17"/>
      <c r="I1769" s="17"/>
      <c r="J1769" s="68"/>
      <c r="K1769" s="70"/>
      <c r="M1769" s="93"/>
      <c r="N1769" s="68"/>
      <c r="O1769" s="115"/>
      <c r="Q1769" s="127"/>
    </row>
    <row r="1770" spans="2:17" ht="35.25" customHeight="1">
      <c r="B1770" s="150"/>
      <c r="C1770" s="26">
        <v>97914</v>
      </c>
      <c r="D1770" s="16" t="s">
        <v>8</v>
      </c>
      <c r="E1770" s="447" t="str">
        <f>IFERROR(VLOOKUP($C1770,'SINAPI JULHO 2018'!$1:$1048576,2,0),IFERROR(VLOOKUP($C1770,'5-COMP. PROPRIA'!$B$13:$I$518,4,0),""))</f>
        <v>TRANSPORTE COM CAMINHÃO BASCULANTE DE 6 M3, EM VIA URBANA PAVIMENTADA, DMT ATÉ 30 KM (UNIDADE: M3XKM). AF_01/2018</v>
      </c>
      <c r="F1770" s="448"/>
      <c r="G1770" s="448"/>
      <c r="H1770" s="448"/>
      <c r="I1770" s="448"/>
      <c r="J1770" s="449"/>
      <c r="K1770" s="184">
        <f>K1772</f>
        <v>14.004899999999999</v>
      </c>
      <c r="L1770" s="57" t="s">
        <v>78</v>
      </c>
      <c r="M1770" s="93"/>
      <c r="N1770" s="68"/>
      <c r="O1770" s="115"/>
      <c r="Q1770" s="127"/>
    </row>
    <row r="1771" spans="2:17" ht="15" customHeight="1">
      <c r="B1771" s="150"/>
      <c r="E1771" s="79" t="s">
        <v>80</v>
      </c>
      <c r="H1771" s="67" t="s">
        <v>81</v>
      </c>
      <c r="J1771" s="102"/>
      <c r="M1771" s="93"/>
      <c r="N1771" s="68"/>
      <c r="O1771" s="115"/>
      <c r="Q1771" s="127"/>
    </row>
    <row r="1772" spans="2:17" ht="15" customHeight="1">
      <c r="B1772" s="150"/>
      <c r="E1772" s="79">
        <f>K1766</f>
        <v>1.40049</v>
      </c>
      <c r="H1772" s="67">
        <v>10</v>
      </c>
      <c r="J1772" s="102"/>
      <c r="K1772" s="180">
        <f>E1772*H1772</f>
        <v>14.004899999999999</v>
      </c>
      <c r="M1772" s="93"/>
      <c r="N1772" s="68"/>
      <c r="O1772" s="115"/>
      <c r="Q1772" s="127"/>
    </row>
    <row r="1773" spans="2:17" ht="15" customHeight="1">
      <c r="B1773" s="150"/>
      <c r="E1773" s="276"/>
      <c r="F1773" s="221"/>
      <c r="G1773" s="221"/>
      <c r="H1773" s="221"/>
      <c r="I1773" s="221"/>
      <c r="J1773" s="222"/>
      <c r="K1773" s="184"/>
      <c r="M1773" s="93"/>
      <c r="N1773" s="68"/>
      <c r="O1773" s="115"/>
      <c r="Q1773" s="127"/>
    </row>
    <row r="1774" spans="2:17" ht="15" customHeight="1">
      <c r="B1774" s="268"/>
      <c r="C1774" s="302"/>
      <c r="D1774" s="302"/>
      <c r="E1774" s="462" t="s">
        <v>125</v>
      </c>
      <c r="F1774" s="463"/>
      <c r="G1774" s="463"/>
      <c r="H1774" s="463"/>
      <c r="I1774" s="463"/>
      <c r="J1774" s="464"/>
      <c r="K1774" s="270"/>
      <c r="L1774" s="303"/>
      <c r="M1774" s="272"/>
      <c r="N1774" s="304"/>
      <c r="O1774" s="115"/>
      <c r="Q1774" s="127"/>
    </row>
    <row r="1775" spans="2:17" ht="15" customHeight="1">
      <c r="B1775" s="150"/>
      <c r="C1775" s="16"/>
      <c r="D1775" s="16"/>
      <c r="E1775" s="276"/>
      <c r="F1775" s="221"/>
      <c r="G1775" s="221"/>
      <c r="H1775" s="221"/>
      <c r="I1775" s="221"/>
      <c r="J1775" s="222"/>
      <c r="K1775" s="184"/>
      <c r="L1775" s="57"/>
      <c r="M1775" s="93"/>
      <c r="N1775" s="68"/>
      <c r="O1775" s="115"/>
      <c r="Q1775" s="127"/>
    </row>
    <row r="1776" spans="2:17" ht="15" customHeight="1">
      <c r="B1776" s="150"/>
      <c r="C1776" s="16"/>
      <c r="D1776" s="16"/>
      <c r="E1776" s="453" t="s">
        <v>127</v>
      </c>
      <c r="F1776" s="454"/>
      <c r="G1776" s="454"/>
      <c r="H1776" s="454"/>
      <c r="I1776" s="454"/>
      <c r="J1776" s="455"/>
      <c r="K1776" s="183"/>
      <c r="L1776" s="57"/>
      <c r="M1776" s="93"/>
      <c r="N1776" s="68"/>
      <c r="O1776" s="115"/>
      <c r="Q1776" s="127"/>
    </row>
    <row r="1777" spans="2:17" ht="15" customHeight="1">
      <c r="B1777" s="150"/>
      <c r="C1777" s="16"/>
      <c r="D1777" s="16"/>
      <c r="E1777" s="76"/>
      <c r="F1777" s="17"/>
      <c r="G1777" s="17"/>
      <c r="H1777" s="67"/>
      <c r="I1777" s="55"/>
      <c r="J1777" s="121"/>
      <c r="K1777" s="186"/>
      <c r="L1777" s="100"/>
      <c r="M1777" s="122"/>
      <c r="N1777" s="109"/>
      <c r="O1777" s="115"/>
      <c r="Q1777" s="127"/>
    </row>
    <row r="1778" spans="2:17" ht="33" customHeight="1">
      <c r="B1778" s="150"/>
      <c r="C1778" s="16">
        <v>94965</v>
      </c>
      <c r="D1778" s="16" t="s">
        <v>8</v>
      </c>
      <c r="E1778" s="447" t="str">
        <f>IFERROR(VLOOKUP($C1778,'SINAPI JULHO 2018'!$1:$1048576,2,0),IFERROR(VLOOKUP($C1778,'5-COMP. PROPRIA'!$B$13:$I$518,4,0),""))</f>
        <v>CONCRETO FCK = 25MPA, TRAÇO 1:2,3:2,7 (CIMENTO/ AREIA MÉDIA/ BRITA 1)  - PREPARO MECÂNICO COM BETONEIRA 400 L. AF_07/2016</v>
      </c>
      <c r="F1778" s="448"/>
      <c r="G1778" s="448"/>
      <c r="H1778" s="448"/>
      <c r="I1778" s="448"/>
      <c r="J1778" s="449"/>
      <c r="K1778" s="184">
        <f>K1780</f>
        <v>0.72072000000000014</v>
      </c>
      <c r="L1778" s="57" t="s">
        <v>65</v>
      </c>
      <c r="N1778" s="109"/>
      <c r="O1778" s="115"/>
      <c r="Q1778" s="127"/>
    </row>
    <row r="1779" spans="2:17" ht="15" customHeight="1">
      <c r="B1779" s="150"/>
      <c r="C1779" s="16"/>
      <c r="D1779" s="16"/>
      <c r="E1779" s="76" t="s">
        <v>68</v>
      </c>
      <c r="F1779" s="17" t="s">
        <v>107</v>
      </c>
      <c r="G1779" s="17" t="s">
        <v>108</v>
      </c>
      <c r="H1779" s="67" t="s">
        <v>47</v>
      </c>
      <c r="I1779" s="55" t="s">
        <v>128</v>
      </c>
      <c r="J1779" s="121"/>
      <c r="K1779" s="186"/>
      <c r="L1779" s="100"/>
      <c r="M1779" s="122"/>
      <c r="N1779" s="109"/>
      <c r="O1779" s="115"/>
      <c r="Q1779" s="127"/>
    </row>
    <row r="1780" spans="2:17" ht="15" customHeight="1">
      <c r="B1780" s="150" t="s">
        <v>292</v>
      </c>
      <c r="C1780" s="16"/>
      <c r="D1780" s="16"/>
      <c r="E1780" s="111">
        <v>0.14000000000000001</v>
      </c>
      <c r="F1780" s="74">
        <v>0.26</v>
      </c>
      <c r="G1780" s="105">
        <f>0.6+2.7</f>
        <v>3.3000000000000003</v>
      </c>
      <c r="H1780" s="74">
        <v>6</v>
      </c>
      <c r="I1780" s="17">
        <f>H1780*G1780</f>
        <v>19.8</v>
      </c>
      <c r="J1780" s="89"/>
      <c r="K1780" s="70">
        <f>H1780*F1780*G1780*E1780</f>
        <v>0.72072000000000014</v>
      </c>
      <c r="L1780" s="57"/>
      <c r="N1780" s="109"/>
      <c r="O1780" s="115"/>
      <c r="Q1780" s="127"/>
    </row>
    <row r="1781" spans="2:17" ht="15" customHeight="1">
      <c r="B1781" s="150"/>
      <c r="C1781" s="16"/>
      <c r="D1781" s="17"/>
      <c r="E1781" s="112"/>
      <c r="F1781" s="17"/>
      <c r="G1781" s="17"/>
      <c r="H1781" s="17"/>
      <c r="I1781" s="17"/>
      <c r="J1781" s="89"/>
      <c r="K1781" s="70"/>
      <c r="L1781" s="57"/>
      <c r="N1781" s="109"/>
      <c r="O1781" s="115"/>
      <c r="Q1781" s="127"/>
    </row>
    <row r="1782" spans="2:17" ht="36" customHeight="1">
      <c r="B1782" s="150"/>
      <c r="C1782" s="16">
        <v>92873</v>
      </c>
      <c r="D1782" s="16" t="s">
        <v>8</v>
      </c>
      <c r="E1782" s="447" t="str">
        <f>IFERROR(VLOOKUP($C1782,'SINAPI JULHO 2018'!$1:$1048576,2,0),IFERROR(VLOOKUP($C1782,'5-COMP. PROPRIA'!$B$13:$I$518,4,0),""))</f>
        <v>LANÇAMENTO COM USO DE BALDES, ADENSAMENTO E ACABAMENTO DE CONCRETO EM ESTRUTURAS. AF_12/2015</v>
      </c>
      <c r="F1782" s="448"/>
      <c r="G1782" s="448"/>
      <c r="H1782" s="448"/>
      <c r="I1782" s="448"/>
      <c r="J1782" s="449"/>
      <c r="K1782" s="184">
        <f>K1778</f>
        <v>0.72072000000000014</v>
      </c>
      <c r="L1782" s="57" t="s">
        <v>65</v>
      </c>
      <c r="N1782" s="109"/>
      <c r="O1782" s="115"/>
      <c r="Q1782" s="127"/>
    </row>
    <row r="1783" spans="2:17" ht="15" customHeight="1">
      <c r="B1783" s="150"/>
      <c r="C1783" s="16"/>
      <c r="D1783" s="16"/>
      <c r="E1783" s="112"/>
      <c r="F1783" s="17"/>
      <c r="G1783" s="17"/>
      <c r="H1783" s="17"/>
      <c r="I1783" s="17"/>
      <c r="J1783" s="89"/>
      <c r="K1783" s="70"/>
      <c r="L1783" s="57"/>
      <c r="N1783" s="109"/>
      <c r="O1783" s="115"/>
      <c r="Q1783" s="127"/>
    </row>
    <row r="1784" spans="2:17" ht="45.75" customHeight="1">
      <c r="B1784" s="150"/>
      <c r="C1784" s="16">
        <v>92775</v>
      </c>
      <c r="D1784" s="16" t="s">
        <v>8</v>
      </c>
      <c r="E1784" s="447" t="str">
        <f>IFERROR(VLOOKUP($C1784,'SINAPI JULHO 2018'!$1:$1048576,2,0),IFERROR(VLOOKUP($C1784,'5-COMP. PROPRIA'!$B$13:$I$518,4,0),""))</f>
        <v>ARMAÇÃO DE PILAR OU VIGA DE UMA ESTRUTURA CONVENCIONAL DE CONCRETO ARMADO EM UMA EDIFICAÇÃO TÉRREA OU SOBRADO UTILIZANDO AÇO CA-60 DE 5,0 MM - MONTAGEM. AF_12/2015</v>
      </c>
      <c r="F1784" s="448"/>
      <c r="G1784" s="448"/>
      <c r="H1784" s="448"/>
      <c r="I1784" s="448"/>
      <c r="J1784" s="449"/>
      <c r="K1784" s="184">
        <f>SUM(K1787:K1787)</f>
        <v>13.421380500000003</v>
      </c>
      <c r="L1784" s="57" t="s">
        <v>92</v>
      </c>
      <c r="M1784" s="52"/>
      <c r="N1784" s="68"/>
      <c r="O1784" s="115"/>
      <c r="Q1784" s="127"/>
    </row>
    <row r="1785" spans="2:17" ht="15" customHeight="1">
      <c r="B1785" s="150"/>
      <c r="C1785" s="16"/>
      <c r="D1785" s="16"/>
      <c r="E1785" s="112"/>
      <c r="F1785" s="17"/>
      <c r="G1785" s="17"/>
      <c r="H1785" s="70" t="s">
        <v>112</v>
      </c>
      <c r="I1785" s="69">
        <f>K1784/K1778</f>
        <v>18.622184065934068</v>
      </c>
      <c r="J1785" s="89"/>
      <c r="K1785" s="70"/>
      <c r="L1785" s="57"/>
      <c r="M1785" s="93"/>
      <c r="N1785" s="68"/>
      <c r="O1785" s="115"/>
      <c r="Q1785" s="127"/>
    </row>
    <row r="1786" spans="2:17" ht="15" customHeight="1">
      <c r="B1786" s="157" t="s">
        <v>132</v>
      </c>
      <c r="C1786" s="16"/>
      <c r="D1786" s="16"/>
      <c r="E1786" s="79" t="s">
        <v>93</v>
      </c>
      <c r="F1786" s="67" t="s">
        <v>106</v>
      </c>
      <c r="G1786" s="67" t="s">
        <v>94</v>
      </c>
      <c r="H1786" s="67" t="s">
        <v>95</v>
      </c>
      <c r="I1786" s="67" t="s">
        <v>54</v>
      </c>
      <c r="J1786" s="89"/>
      <c r="K1786" s="70"/>
      <c r="L1786" s="57"/>
      <c r="M1786" s="93"/>
      <c r="N1786" s="68"/>
      <c r="O1786" s="115"/>
      <c r="Q1786" s="127"/>
    </row>
    <row r="1787" spans="2:17" ht="15" customHeight="1">
      <c r="B1787" s="150" t="str">
        <f>B1780</f>
        <v>PILAR  (TOCO 0,6 + PILAR 2,7)</v>
      </c>
      <c r="C1787" s="16"/>
      <c r="D1787" s="16"/>
      <c r="E1787" s="111">
        <v>5</v>
      </c>
      <c r="F1787" s="17">
        <f>(E1780-0.06)*2+(F1780-0.06)*2+0.1</f>
        <v>0.66</v>
      </c>
      <c r="G1787" s="17">
        <f>I1780/0.15</f>
        <v>132</v>
      </c>
      <c r="H1787" s="17">
        <f>((E1787/1000)*(E1787/1000)*3.14*0.25)*7850</f>
        <v>0.15405625000000003</v>
      </c>
      <c r="I1787" s="17">
        <v>1</v>
      </c>
      <c r="J1787" s="89"/>
      <c r="K1787" s="70">
        <f>G1787*H1787*F1787*I1787</f>
        <v>13.421380500000003</v>
      </c>
      <c r="L1787" s="57"/>
      <c r="M1787" s="93"/>
      <c r="N1787" s="68"/>
      <c r="O1787" s="115"/>
      <c r="Q1787" s="127"/>
    </row>
    <row r="1788" spans="2:17" ht="15" customHeight="1">
      <c r="B1788" s="150"/>
      <c r="C1788" s="16"/>
      <c r="D1788" s="16"/>
      <c r="E1788" s="112"/>
      <c r="F1788" s="17"/>
      <c r="G1788" s="17"/>
      <c r="H1788" s="17"/>
      <c r="I1788" s="17"/>
      <c r="J1788" s="89"/>
      <c r="K1788" s="70"/>
      <c r="L1788" s="57"/>
      <c r="M1788" s="93"/>
      <c r="N1788" s="68"/>
      <c r="O1788" s="115"/>
      <c r="Q1788" s="127"/>
    </row>
    <row r="1789" spans="2:17" ht="44.25" customHeight="1">
      <c r="B1789" s="150"/>
      <c r="C1789" s="16">
        <v>92778</v>
      </c>
      <c r="D1789" s="16" t="s">
        <v>8</v>
      </c>
      <c r="E1789" s="447" t="str">
        <f>IFERROR(VLOOKUP($C1789,'SINAPI JULHO 2018'!$1:$1048576,2,0),IFERROR(VLOOKUP($C1789,'5-COMP. PROPRIA'!$B$13:$I$518,4,0),""))</f>
        <v>ARMAÇÃO DE PILAR OU VIGA DE UMA ESTRUTURA CONVENCIONAL DE CONCRETO ARMADO EM UMA EDIFICAÇÃO TÉRREA OU SOBRADO UTILIZANDO AÇO CA-50 DE 10,0 MM - MONTAGEM. AF_12/2015</v>
      </c>
      <c r="F1789" s="448"/>
      <c r="G1789" s="448"/>
      <c r="H1789" s="448"/>
      <c r="I1789" s="448"/>
      <c r="J1789" s="449"/>
      <c r="K1789" s="184">
        <f>SUM(K1792:K1792)</f>
        <v>54.720780000000019</v>
      </c>
      <c r="L1789" s="57" t="s">
        <v>92</v>
      </c>
      <c r="M1789" s="52"/>
      <c r="N1789" s="68"/>
      <c r="O1789" s="115"/>
      <c r="Q1789" s="127"/>
    </row>
    <row r="1790" spans="2:17" ht="15" customHeight="1">
      <c r="B1790" s="150"/>
      <c r="C1790" s="16"/>
      <c r="D1790" s="16"/>
      <c r="E1790" s="112"/>
      <c r="F1790" s="17"/>
      <c r="G1790" s="17"/>
      <c r="H1790" s="70" t="s">
        <v>112</v>
      </c>
      <c r="I1790" s="69">
        <f>K1789/K1778</f>
        <v>75.925158175158188</v>
      </c>
      <c r="J1790" s="89"/>
      <c r="K1790" s="70"/>
      <c r="L1790" s="57"/>
      <c r="M1790" s="93"/>
      <c r="N1790" s="109"/>
      <c r="O1790" s="115"/>
      <c r="Q1790" s="127"/>
    </row>
    <row r="1791" spans="2:17" ht="15" customHeight="1">
      <c r="B1791" s="150"/>
      <c r="C1791" s="16"/>
      <c r="D1791" s="16"/>
      <c r="E1791" s="79" t="s">
        <v>93</v>
      </c>
      <c r="F1791" s="67" t="s">
        <v>106</v>
      </c>
      <c r="G1791" s="67" t="s">
        <v>94</v>
      </c>
      <c r="H1791" s="67" t="s">
        <v>95</v>
      </c>
      <c r="I1791" s="67" t="s">
        <v>54</v>
      </c>
      <c r="J1791" s="89"/>
      <c r="K1791" s="70"/>
      <c r="L1791" s="57"/>
      <c r="M1791" s="93"/>
      <c r="N1791" s="68"/>
      <c r="O1791" s="115"/>
      <c r="Q1791" s="127"/>
    </row>
    <row r="1792" spans="2:17" ht="15" customHeight="1">
      <c r="B1792" s="150" t="str">
        <f>B1787</f>
        <v>PILAR  (TOCO 0,6 + PILAR 2,7)</v>
      </c>
      <c r="C1792" s="16"/>
      <c r="D1792" s="16"/>
      <c r="E1792" s="111">
        <v>10</v>
      </c>
      <c r="F1792" s="17">
        <f>G1780+0.4</f>
        <v>3.7</v>
      </c>
      <c r="G1792" s="17">
        <v>4</v>
      </c>
      <c r="H1792" s="17">
        <f>((E1792/1000)*(E1792/1000)*3.14*0.25)*7850</f>
        <v>0.61622500000000013</v>
      </c>
      <c r="I1792" s="17">
        <f>H1780</f>
        <v>6</v>
      </c>
      <c r="J1792" s="89"/>
      <c r="K1792" s="70">
        <f>G1792*H1792*F1792*I1792</f>
        <v>54.720780000000019</v>
      </c>
      <c r="L1792" s="57"/>
      <c r="M1792" s="93"/>
      <c r="N1792" s="68"/>
      <c r="O1792" s="115"/>
      <c r="Q1792" s="127"/>
    </row>
    <row r="1793" spans="2:17" ht="15" customHeight="1">
      <c r="B1793" s="150"/>
      <c r="C1793" s="16"/>
      <c r="D1793" s="16"/>
      <c r="E1793" s="112"/>
      <c r="F1793" s="17"/>
      <c r="G1793" s="17"/>
      <c r="H1793" s="17"/>
      <c r="I1793" s="17"/>
      <c r="J1793" s="89"/>
      <c r="K1793" s="70"/>
      <c r="L1793" s="57"/>
      <c r="M1793" s="93"/>
      <c r="N1793" s="109"/>
      <c r="O1793" s="115"/>
      <c r="Q1793" s="127"/>
    </row>
    <row r="1794" spans="2:17" ht="45.75" customHeight="1">
      <c r="B1794" s="150"/>
      <c r="C1794" s="16">
        <v>92412</v>
      </c>
      <c r="D1794" s="16" t="s">
        <v>8</v>
      </c>
      <c r="E1794" s="447" t="str">
        <f>IFERROR(VLOOKUP($C1794,'SINAPI JULHO 2018'!$1:$1048576,2,0),IFERROR(VLOOKUP($C1794,'5-COMP. PROPRIA'!$B$13:$I$518,4,0),""))</f>
        <v>MONTAGEM E DESMONTAGEM DE FÔRMA DE PILARES RETANGULARES E ESTRUTURAS SIMILARES COM ÁREA MÉDIA DAS SEÇÕES MENOR OU IGUAL A 0,25 M², PÉ-DIREITO SIMPLES, EM MADEIRA SERRADA, 4 UTILIZAÇÕES. AF_12/2015</v>
      </c>
      <c r="F1794" s="448"/>
      <c r="G1794" s="448"/>
      <c r="H1794" s="448"/>
      <c r="I1794" s="448"/>
      <c r="J1794" s="449"/>
      <c r="K1794" s="184">
        <f>K1796</f>
        <v>15.840000000000003</v>
      </c>
      <c r="L1794" s="57" t="s">
        <v>25</v>
      </c>
      <c r="N1794" s="109"/>
      <c r="O1794" s="115"/>
      <c r="Q1794" s="127"/>
    </row>
    <row r="1795" spans="2:17" ht="15" customHeight="1">
      <c r="B1795" s="150"/>
      <c r="C1795" s="16"/>
      <c r="D1795" s="16"/>
      <c r="E1795" s="76" t="s">
        <v>68</v>
      </c>
      <c r="F1795" s="17" t="s">
        <v>107</v>
      </c>
      <c r="G1795" s="17" t="s">
        <v>108</v>
      </c>
      <c r="H1795" s="67" t="s">
        <v>47</v>
      </c>
      <c r="I1795" s="55"/>
      <c r="J1795" s="121"/>
      <c r="K1795" s="186"/>
      <c r="L1795" s="57"/>
      <c r="N1795" s="109"/>
      <c r="O1795" s="115"/>
      <c r="Q1795" s="127"/>
    </row>
    <row r="1796" spans="2:17" ht="15" customHeight="1">
      <c r="B1796" s="150" t="str">
        <f>B1792</f>
        <v>PILAR  (TOCO 0,6 + PILAR 2,7)</v>
      </c>
      <c r="C1796" s="16"/>
      <c r="D1796" s="16"/>
      <c r="E1796" s="112">
        <f t="shared" ref="E1796:G1796" si="24">E1780</f>
        <v>0.14000000000000001</v>
      </c>
      <c r="F1796" s="57">
        <f t="shared" si="24"/>
        <v>0.26</v>
      </c>
      <c r="G1796" s="57">
        <f t="shared" si="24"/>
        <v>3.3000000000000003</v>
      </c>
      <c r="H1796" s="57">
        <f>I1792</f>
        <v>6</v>
      </c>
      <c r="I1796" s="17"/>
      <c r="J1796" s="89"/>
      <c r="K1796" s="70">
        <f>(E1796*2+F1796*2)*G1796*H1796</f>
        <v>15.840000000000003</v>
      </c>
      <c r="L1796" s="57"/>
      <c r="N1796" s="109"/>
      <c r="O1796" s="115"/>
      <c r="Q1796" s="127"/>
    </row>
    <row r="1797" spans="2:17" ht="15" customHeight="1">
      <c r="B1797" s="150"/>
      <c r="C1797" s="16"/>
      <c r="D1797" s="16"/>
      <c r="E1797" s="276"/>
      <c r="F1797" s="221"/>
      <c r="G1797" s="221"/>
      <c r="H1797" s="221"/>
      <c r="I1797" s="221"/>
      <c r="J1797" s="222"/>
      <c r="K1797" s="184"/>
      <c r="L1797" s="57"/>
      <c r="M1797" s="93"/>
      <c r="N1797" s="68"/>
      <c r="O1797" s="115"/>
      <c r="Q1797" s="127"/>
    </row>
    <row r="1798" spans="2:17" ht="15" customHeight="1">
      <c r="B1798" s="150"/>
      <c r="C1798" s="16"/>
      <c r="D1798" s="16"/>
      <c r="E1798" s="453" t="s">
        <v>133</v>
      </c>
      <c r="F1798" s="454"/>
      <c r="G1798" s="454"/>
      <c r="H1798" s="454"/>
      <c r="I1798" s="454"/>
      <c r="J1798" s="455"/>
      <c r="K1798" s="70"/>
      <c r="L1798" s="57"/>
      <c r="N1798" s="109"/>
      <c r="O1798" s="115"/>
      <c r="Q1798" s="127"/>
    </row>
    <row r="1799" spans="2:17" ht="15" customHeight="1">
      <c r="B1799" s="150"/>
      <c r="E1799" s="118"/>
      <c r="F1799" s="58"/>
      <c r="G1799" s="58"/>
      <c r="J1799" s="102"/>
      <c r="K1799" s="70"/>
      <c r="N1799" s="104"/>
      <c r="O1799" s="115"/>
      <c r="Q1799" s="127"/>
    </row>
    <row r="1800" spans="2:17" ht="44.25" customHeight="1">
      <c r="B1800" s="150"/>
      <c r="C1800" s="26">
        <v>94965</v>
      </c>
      <c r="D1800" s="16" t="s">
        <v>8</v>
      </c>
      <c r="E1800" s="447" t="str">
        <f>IFERROR(VLOOKUP($C1800,'SINAPI JULHO 2018'!$1:$1048576,2,0),IFERROR(VLOOKUP($C1800,'5-COMP. PROPRIA'!$B$13:$I$518,4,0),""))</f>
        <v>CONCRETO FCK = 25MPA, TRAÇO 1:2,3:2,7 (CIMENTO/ AREIA MÉDIA/ BRITA 1)  - PREPARO MECÂNICO COM BETONEIRA 400 L. AF_07/2016</v>
      </c>
      <c r="F1800" s="448"/>
      <c r="G1800" s="448"/>
      <c r="H1800" s="448"/>
      <c r="I1800" s="448"/>
      <c r="J1800" s="449"/>
      <c r="K1800" s="184">
        <f>SUM(K1802:K1802)</f>
        <v>0.84000000000000008</v>
      </c>
      <c r="L1800" s="58" t="s">
        <v>65</v>
      </c>
      <c r="N1800" s="104"/>
      <c r="O1800" s="115"/>
      <c r="Q1800" s="127"/>
    </row>
    <row r="1801" spans="2:17" ht="15" customHeight="1">
      <c r="B1801" s="150"/>
      <c r="E1801" s="76" t="s">
        <v>106</v>
      </c>
      <c r="F1801" s="17" t="s">
        <v>107</v>
      </c>
      <c r="G1801" s="17" t="s">
        <v>108</v>
      </c>
      <c r="H1801" s="67" t="s">
        <v>47</v>
      </c>
      <c r="I1801" s="221"/>
      <c r="J1801" s="222"/>
      <c r="K1801" s="183"/>
      <c r="N1801" s="104"/>
      <c r="O1801" s="115"/>
      <c r="Q1801" s="127"/>
    </row>
    <row r="1802" spans="2:17" ht="15" customHeight="1">
      <c r="B1802" s="150"/>
      <c r="E1802" s="111">
        <v>20</v>
      </c>
      <c r="F1802" s="74">
        <v>0.14000000000000001</v>
      </c>
      <c r="G1802" s="74">
        <v>0.3</v>
      </c>
      <c r="H1802" s="74">
        <v>1</v>
      </c>
      <c r="J1802" s="102"/>
      <c r="K1802" s="70">
        <f>E1802*F1802*G1802*H1802</f>
        <v>0.84000000000000008</v>
      </c>
      <c r="N1802" s="104"/>
      <c r="O1802" s="115"/>
      <c r="Q1802" s="127"/>
    </row>
    <row r="1803" spans="2:17" ht="15" customHeight="1">
      <c r="B1803" s="150"/>
      <c r="E1803" s="112"/>
      <c r="J1803" s="102"/>
      <c r="K1803" s="183"/>
      <c r="N1803" s="104"/>
      <c r="O1803" s="115"/>
      <c r="Q1803" s="127"/>
    </row>
    <row r="1804" spans="2:17" ht="15" customHeight="1">
      <c r="B1804" s="150"/>
      <c r="C1804" s="26" t="s">
        <v>111</v>
      </c>
      <c r="D1804" s="16" t="s">
        <v>8</v>
      </c>
      <c r="E1804" s="447" t="str">
        <f>IFERROR(VLOOKUP($C1804,'SINAPI JULHO 2018'!$1:$1048576,2,0),IFERROR(VLOOKUP($C1804,'5-COMP. PROPRIA'!$B$13:$I$518,4,0),""))</f>
        <v>LANCAMENTO/APLICACAO MANUAL DE CONCRETO EM FUNDACOES</v>
      </c>
      <c r="F1804" s="448"/>
      <c r="G1804" s="448"/>
      <c r="H1804" s="448"/>
      <c r="I1804" s="448"/>
      <c r="J1804" s="449"/>
      <c r="K1804" s="184">
        <f>K1800</f>
        <v>0.84000000000000008</v>
      </c>
      <c r="L1804" s="58" t="s">
        <v>65</v>
      </c>
      <c r="N1804" s="104"/>
      <c r="O1804" s="115"/>
      <c r="Q1804" s="127"/>
    </row>
    <row r="1805" spans="2:17" ht="15" customHeight="1">
      <c r="B1805" s="150"/>
      <c r="E1805" s="118"/>
      <c r="F1805" s="58"/>
      <c r="G1805" s="58"/>
      <c r="J1805" s="102"/>
      <c r="K1805" s="70"/>
      <c r="N1805" s="104"/>
      <c r="O1805" s="115"/>
      <c r="Q1805" s="127"/>
    </row>
    <row r="1806" spans="2:17" ht="50.25" customHeight="1">
      <c r="B1806" s="157" t="s">
        <v>132</v>
      </c>
      <c r="C1806" s="26">
        <v>92775</v>
      </c>
      <c r="D1806" s="16" t="s">
        <v>8</v>
      </c>
      <c r="E1806" s="447" t="str">
        <f>IFERROR(VLOOKUP($C1806,'SINAPI JULHO 2018'!$1:$1048576,2,0),IFERROR(VLOOKUP($C1806,'5-COMP. PROPRIA'!$B$13:$I$518,4,0),""))</f>
        <v>ARMAÇÃO DE PILAR OU VIGA DE UMA ESTRUTURA CONVENCIONAL DE CONCRETO ARMADO EM UMA EDIFICAÇÃO TÉRREA OU SOBRADO UTILIZANDO AÇO CA-60 DE 5,0 MM - MONTAGEM. AF_12/2015</v>
      </c>
      <c r="F1806" s="448"/>
      <c r="G1806" s="448"/>
      <c r="H1806" s="448"/>
      <c r="I1806" s="448"/>
      <c r="J1806" s="449"/>
      <c r="K1806" s="184">
        <f>SUM(K1809:K1809)</f>
        <v>15.200216666666671</v>
      </c>
      <c r="L1806" s="58" t="s">
        <v>92</v>
      </c>
      <c r="M1806" s="52"/>
      <c r="N1806" s="68"/>
      <c r="O1806" s="115"/>
      <c r="Q1806" s="127"/>
    </row>
    <row r="1807" spans="2:17" ht="15" customHeight="1">
      <c r="B1807" s="150"/>
      <c r="E1807" s="118"/>
      <c r="H1807" s="70" t="s">
        <v>112</v>
      </c>
      <c r="I1807" s="69">
        <f>K1806/K1800</f>
        <v>18.095496031746034</v>
      </c>
      <c r="J1807" s="102"/>
      <c r="K1807" s="70"/>
      <c r="M1807" s="93"/>
      <c r="N1807" s="68"/>
      <c r="O1807" s="115"/>
      <c r="Q1807" s="127"/>
    </row>
    <row r="1808" spans="2:17" ht="15" customHeight="1">
      <c r="B1808" s="150"/>
      <c r="E1808" s="79" t="s">
        <v>93</v>
      </c>
      <c r="F1808" s="67" t="s">
        <v>106</v>
      </c>
      <c r="G1808" s="67" t="s">
        <v>94</v>
      </c>
      <c r="H1808" s="61" t="s">
        <v>95</v>
      </c>
      <c r="I1808" s="67" t="s">
        <v>54</v>
      </c>
      <c r="J1808" s="102"/>
      <c r="K1808" s="70"/>
      <c r="M1808" s="93"/>
      <c r="N1808" s="68"/>
      <c r="O1808" s="115"/>
      <c r="Q1808" s="127"/>
    </row>
    <row r="1809" spans="2:17" ht="15" customHeight="1">
      <c r="B1809" s="150"/>
      <c r="E1809" s="101">
        <v>5</v>
      </c>
      <c r="F1809" s="51">
        <f>(F1802-0.06)*2+(G1802-0.06)*2+0.1</f>
        <v>0.74</v>
      </c>
      <c r="G1809" s="51">
        <f>E1802/0.15</f>
        <v>133.33333333333334</v>
      </c>
      <c r="H1809" s="51">
        <f>((E1809/1000)*(E1809/1000)*3.14*0.25)*7850</f>
        <v>0.15405625000000003</v>
      </c>
      <c r="I1809" s="51">
        <v>1</v>
      </c>
      <c r="J1809" s="102"/>
      <c r="K1809" s="70">
        <f>G1809*H1809*F1809*I1809</f>
        <v>15.200216666666671</v>
      </c>
      <c r="M1809" s="93"/>
      <c r="N1809" s="68"/>
      <c r="O1809" s="115"/>
      <c r="Q1809" s="127"/>
    </row>
    <row r="1810" spans="2:17" ht="15" customHeight="1">
      <c r="B1810" s="150"/>
      <c r="E1810" s="118"/>
      <c r="F1810" s="58"/>
      <c r="G1810" s="58"/>
      <c r="J1810" s="102"/>
      <c r="K1810" s="70"/>
      <c r="N1810" s="104"/>
      <c r="O1810" s="115"/>
      <c r="Q1810" s="127"/>
    </row>
    <row r="1811" spans="2:17" ht="48" customHeight="1">
      <c r="B1811" s="150"/>
      <c r="C1811" s="26">
        <v>92761</v>
      </c>
      <c r="D1811" s="16" t="s">
        <v>8</v>
      </c>
      <c r="E1811" s="447" t="str">
        <f>IFERROR(VLOOKUP($C1811,'SINAPI JULHO 2018'!$1:$1048576,2,0),IFERROR(VLOOKUP($C1811,'5-COMP. PROPRIA'!$B$13:$I$518,4,0),""))</f>
        <v>ARMAÇÃO DE PILAR OU VIGA DE UMA ESTRUTURA CONVENCIONAL DE CONCRETO ARMADO EM UM EDIFÍCIO DE MÚLTIPLOS PAVIMENTOS UTILIZANDO AÇO CA-50 DE 8,0 MM - MONTAGEM. AF_12/2015</v>
      </c>
      <c r="F1811" s="448"/>
      <c r="G1811" s="448"/>
      <c r="H1811" s="448"/>
      <c r="I1811" s="448"/>
      <c r="J1811" s="449"/>
      <c r="K1811" s="184">
        <f>SUM(K1814:K1814)</f>
        <v>31.550720000000002</v>
      </c>
      <c r="L1811" s="58" t="s">
        <v>92</v>
      </c>
      <c r="M1811" s="52"/>
      <c r="N1811" s="68"/>
      <c r="O1811" s="115"/>
      <c r="Q1811" s="127"/>
    </row>
    <row r="1812" spans="2:17" ht="15" customHeight="1">
      <c r="B1812" s="150"/>
      <c r="E1812" s="118"/>
      <c r="H1812" s="70" t="s">
        <v>112</v>
      </c>
      <c r="I1812" s="69">
        <f>K1811/K1802</f>
        <v>37.560380952380953</v>
      </c>
      <c r="J1812" s="102"/>
      <c r="K1812" s="70"/>
      <c r="M1812" s="93"/>
      <c r="N1812" s="68"/>
      <c r="O1812" s="115"/>
      <c r="Q1812" s="127"/>
    </row>
    <row r="1813" spans="2:17" ht="15" customHeight="1">
      <c r="B1813" s="150"/>
      <c r="E1813" s="79" t="s">
        <v>93</v>
      </c>
      <c r="F1813" s="67" t="s">
        <v>106</v>
      </c>
      <c r="G1813" s="67" t="s">
        <v>94</v>
      </c>
      <c r="H1813" s="61" t="s">
        <v>95</v>
      </c>
      <c r="I1813" s="67" t="s">
        <v>54</v>
      </c>
      <c r="J1813" s="102"/>
      <c r="K1813" s="70"/>
      <c r="M1813" s="93"/>
      <c r="N1813" s="68"/>
      <c r="O1813" s="115"/>
      <c r="Q1813" s="127"/>
    </row>
    <row r="1814" spans="2:17" ht="15" customHeight="1">
      <c r="B1814" s="150"/>
      <c r="E1814" s="101">
        <v>8</v>
      </c>
      <c r="F1814" s="51">
        <f>E1802</f>
        <v>20</v>
      </c>
      <c r="G1814" s="51">
        <v>1</v>
      </c>
      <c r="H1814" s="51">
        <f>((E1814/1000)*(E1814/1000)*3.14*0.25)*7850</f>
        <v>0.39438400000000001</v>
      </c>
      <c r="I1814" s="51">
        <v>4</v>
      </c>
      <c r="J1814" s="102"/>
      <c r="K1814" s="70">
        <f>G1814*H1814*F1814*I1814</f>
        <v>31.550720000000002</v>
      </c>
      <c r="M1814" s="93"/>
      <c r="N1814" s="68"/>
      <c r="O1814" s="115"/>
      <c r="Q1814" s="127"/>
    </row>
    <row r="1815" spans="2:17" ht="15" customHeight="1">
      <c r="B1815" s="150"/>
      <c r="E1815" s="118"/>
      <c r="F1815" s="58"/>
      <c r="G1815" s="58"/>
      <c r="J1815" s="102"/>
      <c r="K1815" s="70"/>
      <c r="N1815" s="104"/>
      <c r="O1815" s="115"/>
      <c r="Q1815" s="127"/>
    </row>
    <row r="1816" spans="2:17" ht="45.75" customHeight="1">
      <c r="B1816" s="150"/>
      <c r="C1816" s="26">
        <v>92412</v>
      </c>
      <c r="D1816" s="16" t="s">
        <v>8</v>
      </c>
      <c r="E1816" s="447" t="str">
        <f>IFERROR(VLOOKUP($C1816,'SINAPI JULHO 2018'!$1:$1048576,2,0),IFERROR(VLOOKUP($C1816,'5-COMP. PROPRIA'!$B$13:$I$518,4,0),""))</f>
        <v>MONTAGEM E DESMONTAGEM DE FÔRMA DE PILARES RETANGULARES E ESTRUTURAS SIMILARES COM ÁREA MÉDIA DAS SEÇÕES MENOR OU IGUAL A 0,25 M², PÉ-DIREITO SIMPLES, EM MADEIRA SERRADA, 4 UTILIZAÇÕES. AF_12/2015</v>
      </c>
      <c r="F1816" s="448"/>
      <c r="G1816" s="448"/>
      <c r="H1816" s="448"/>
      <c r="I1816" s="448"/>
      <c r="J1816" s="449"/>
      <c r="K1816" s="184">
        <f>K1818</f>
        <v>17.600000000000001</v>
      </c>
      <c r="L1816" s="58" t="s">
        <v>25</v>
      </c>
      <c r="N1816" s="104"/>
      <c r="O1816" s="115"/>
      <c r="Q1816" s="127"/>
    </row>
    <row r="1817" spans="2:17" ht="15" customHeight="1">
      <c r="B1817" s="150"/>
      <c r="E1817" s="76" t="s">
        <v>68</v>
      </c>
      <c r="F1817" s="17" t="s">
        <v>107</v>
      </c>
      <c r="G1817" s="17" t="s">
        <v>108</v>
      </c>
      <c r="H1817" s="67" t="s">
        <v>47</v>
      </c>
      <c r="I1817" s="55"/>
      <c r="J1817" s="121"/>
      <c r="K1817" s="186"/>
      <c r="N1817" s="104"/>
      <c r="O1817" s="115"/>
      <c r="Q1817" s="127"/>
    </row>
    <row r="1818" spans="2:17" ht="15" customHeight="1">
      <c r="B1818" s="150"/>
      <c r="E1818" s="118">
        <f>E1802</f>
        <v>20</v>
      </c>
      <c r="F1818" s="58">
        <f>F1802</f>
        <v>0.14000000000000001</v>
      </c>
      <c r="G1818" s="58">
        <f>G1802</f>
        <v>0.3</v>
      </c>
      <c r="H1818" s="58">
        <v>2</v>
      </c>
      <c r="J1818" s="102"/>
      <c r="K1818" s="70">
        <f>E1818*(G1818+F1818)*H1818</f>
        <v>17.600000000000001</v>
      </c>
      <c r="N1818" s="104"/>
      <c r="O1818" s="115"/>
      <c r="Q1818" s="127"/>
    </row>
    <row r="1819" spans="2:17" ht="15" customHeight="1">
      <c r="B1819" s="150"/>
      <c r="E1819" s="118"/>
      <c r="G1819" s="58"/>
      <c r="J1819" s="102"/>
      <c r="K1819" s="183"/>
      <c r="N1819" s="104"/>
      <c r="O1819" s="115"/>
      <c r="Q1819" s="127"/>
    </row>
    <row r="1820" spans="2:17" s="281" customFormat="1" ht="15" customHeight="1">
      <c r="B1820" s="157"/>
      <c r="C1820" s="188"/>
      <c r="D1820" s="188"/>
      <c r="E1820" s="503" t="s">
        <v>249</v>
      </c>
      <c r="F1820" s="504"/>
      <c r="G1820" s="504"/>
      <c r="H1820" s="504"/>
      <c r="I1820" s="504"/>
      <c r="J1820" s="505"/>
      <c r="K1820" s="264"/>
      <c r="L1820" s="263"/>
      <c r="M1820" s="301"/>
      <c r="N1820" s="347"/>
      <c r="O1820" s="381"/>
      <c r="Q1820" s="382"/>
    </row>
    <row r="1821" spans="2:17" ht="15" customHeight="1">
      <c r="B1821" s="150"/>
      <c r="E1821" s="276"/>
      <c r="F1821" s="221"/>
      <c r="G1821" s="221"/>
      <c r="H1821" s="221"/>
      <c r="I1821" s="221"/>
      <c r="J1821" s="222"/>
      <c r="K1821" s="184"/>
      <c r="M1821" s="93"/>
      <c r="N1821" s="68"/>
      <c r="O1821" s="115"/>
      <c r="Q1821" s="127"/>
    </row>
    <row r="1822" spans="2:17" ht="54" customHeight="1">
      <c r="B1822" s="150" t="s">
        <v>250</v>
      </c>
      <c r="C1822" s="26">
        <v>89977</v>
      </c>
      <c r="D1822" s="26" t="s">
        <v>8</v>
      </c>
      <c r="E1822" s="447" t="str">
        <f>IFERROR(VLOOKUP($C1822,'SINAPI JULHO 2018'!$1:$1048576,2,0),IFERROR(VLOOKUP($C1822,'5-COMP. PROPRIA'!$B$13:$I$518,4,0),""))</f>
        <v>(COMPOSIÇÃO REPRESENTATIVA) DO SERVIÇO DE ALVENARIA DE VEDAÇÃO DE BLOCOS VAZADOS DE CERÂMICA DE 14X9X19CM (ESPESSURA 14CM, BLOCO DEITADO), PARA EDIFICAÇÃO HABITACIONAL UNIFAMILIAR (CASA) E EDIFICAÇÃO PÚBLICA PADRÃO. AF_12/2014</v>
      </c>
      <c r="F1822" s="448"/>
      <c r="G1822" s="448"/>
      <c r="H1822" s="448"/>
      <c r="I1822" s="448"/>
      <c r="J1822" s="449"/>
      <c r="K1822" s="184">
        <f>25.65*3</f>
        <v>76.949999999999989</v>
      </c>
      <c r="L1822" s="57" t="s">
        <v>145</v>
      </c>
      <c r="M1822" s="93"/>
      <c r="N1822" s="68"/>
      <c r="O1822" s="115"/>
      <c r="Q1822" s="127"/>
    </row>
    <row r="1823" spans="2:17" ht="15" customHeight="1">
      <c r="B1823" s="150"/>
      <c r="E1823" s="276"/>
      <c r="F1823" s="221"/>
      <c r="G1823" s="221"/>
      <c r="H1823" s="221"/>
      <c r="I1823" s="221"/>
      <c r="J1823" s="222"/>
      <c r="K1823" s="184"/>
      <c r="M1823" s="93"/>
      <c r="N1823" s="68"/>
      <c r="O1823" s="115"/>
      <c r="Q1823" s="127"/>
    </row>
    <row r="1824" spans="2:17" ht="49.5" customHeight="1">
      <c r="B1824" s="150"/>
      <c r="C1824" s="26">
        <v>87894</v>
      </c>
      <c r="D1824" s="26" t="s">
        <v>8</v>
      </c>
      <c r="E1824" s="447" t="str">
        <f>IFERROR(VLOOKUP($C1824,'SINAPI JULHO 2018'!$1:$1048576,2,0),IFERROR(VLOOKUP($C1824,'5-COMP. PROPRIA'!$B$13:$I$518,4,0),""))</f>
        <v>CHAPISCO APLICADO EM ALVENARIA (SEM PRESENÇA DE VÃOS) E ESTRUTURAS DE CONCRETO DE FACHADA, COM COLHER DE PEDREIRO.  ARGAMASSA TRAÇO 1:3 COM PREPARO EM BETONEIRA 400L. AF_06/2014</v>
      </c>
      <c r="F1824" s="448"/>
      <c r="G1824" s="448"/>
      <c r="H1824" s="448"/>
      <c r="I1824" s="448"/>
      <c r="J1824" s="449"/>
      <c r="K1824" s="184">
        <f>K1822*2</f>
        <v>153.89999999999998</v>
      </c>
      <c r="L1824" s="57" t="s">
        <v>145</v>
      </c>
      <c r="M1824" s="93"/>
      <c r="N1824" s="68"/>
      <c r="O1824" s="115"/>
      <c r="Q1824" s="127"/>
    </row>
    <row r="1825" spans="2:17" ht="15" customHeight="1">
      <c r="B1825" s="150"/>
      <c r="E1825" s="276"/>
      <c r="F1825" s="221"/>
      <c r="G1825" s="221"/>
      <c r="H1825" s="221"/>
      <c r="I1825" s="221"/>
      <c r="J1825" s="222"/>
      <c r="K1825" s="184"/>
      <c r="M1825" s="93"/>
      <c r="N1825" s="68"/>
      <c r="O1825" s="115"/>
      <c r="Q1825" s="127"/>
    </row>
    <row r="1826" spans="2:17" ht="44.25" customHeight="1">
      <c r="B1826" s="150"/>
      <c r="C1826" s="26">
        <v>87529</v>
      </c>
      <c r="D1826" s="26" t="s">
        <v>8</v>
      </c>
      <c r="E1826" s="447" t="str">
        <f>IFERROR(VLOOKUP($C1826,'SINAPI JULHO 2018'!$1:$1048576,2,0),IFERROR(VLOOKUP($C1826,'5-COMP. PROPRIA'!$B$13:$I$518,4,0),""))</f>
        <v>MASSA ÚNICA, PARA RECEBIMENTO DE PINTURA, EM ARGAMASSA TRAÇO 1:2:8, PREPARO MECÂNICO COM BETONEIRA 400L, APLICADA MANUALMENTE EM FACES INTERNAS DE PAREDES, ESPESSURA DE 20MM, COM EXECUÇÃO DE TALISCAS. AF_06/2014</v>
      </c>
      <c r="F1826" s="448"/>
      <c r="G1826" s="448"/>
      <c r="H1826" s="448"/>
      <c r="I1826" s="448"/>
      <c r="J1826" s="449"/>
      <c r="K1826" s="184">
        <f>K1824</f>
        <v>153.89999999999998</v>
      </c>
      <c r="L1826" s="57" t="s">
        <v>145</v>
      </c>
      <c r="M1826" s="93"/>
      <c r="N1826" s="68"/>
      <c r="O1826" s="115"/>
      <c r="Q1826" s="127"/>
    </row>
    <row r="1827" spans="2:17" ht="15" customHeight="1">
      <c r="B1827" s="150"/>
      <c r="E1827" s="276"/>
      <c r="F1827" s="221"/>
      <c r="G1827" s="221"/>
      <c r="H1827" s="221"/>
      <c r="I1827" s="221"/>
      <c r="J1827" s="222"/>
      <c r="K1827" s="184"/>
      <c r="M1827" s="93"/>
      <c r="N1827" s="68"/>
      <c r="O1827" s="115"/>
      <c r="Q1827" s="127"/>
    </row>
    <row r="1828" spans="2:17" s="128" customFormat="1" ht="15" customHeight="1">
      <c r="B1828" s="150"/>
      <c r="C1828" s="136">
        <v>88483</v>
      </c>
      <c r="D1828" s="16" t="s">
        <v>8</v>
      </c>
      <c r="E1828" s="447" t="str">
        <f>IFERROR(VLOOKUP($C1828,'SINAPI JULHO 2018'!$1:$1048576,2,0),IFERROR(VLOOKUP($C1828,'5-COMP. PROPRIA'!$B$13:$I$518,4,0),""))</f>
        <v>APLICAÇÃO DE FUNDO SELADOR LÁTEX PVA EM PAREDES, UMA DEMÃO. AF_06/2014</v>
      </c>
      <c r="F1828" s="448"/>
      <c r="G1828" s="448"/>
      <c r="H1828" s="448"/>
      <c r="I1828" s="448"/>
      <c r="J1828" s="449"/>
      <c r="K1828" s="184">
        <f>20*3</f>
        <v>60</v>
      </c>
      <c r="L1828" s="57" t="s">
        <v>145</v>
      </c>
      <c r="M1828" s="93"/>
      <c r="N1828" s="68"/>
      <c r="O1828" s="115"/>
      <c r="Q1828" s="348"/>
    </row>
    <row r="1829" spans="2:17" s="128" customFormat="1" ht="15" customHeight="1">
      <c r="B1829" s="150"/>
      <c r="C1829" s="136"/>
      <c r="D1829" s="16"/>
      <c r="E1829" s="276"/>
      <c r="F1829" s="221"/>
      <c r="G1829" s="221"/>
      <c r="H1829" s="221"/>
      <c r="I1829" s="221"/>
      <c r="J1829" s="222"/>
      <c r="K1829" s="184"/>
      <c r="L1829" s="57"/>
      <c r="M1829" s="93"/>
      <c r="N1829" s="68"/>
      <c r="O1829" s="115"/>
      <c r="Q1829" s="348"/>
    </row>
    <row r="1830" spans="2:17" s="128" customFormat="1" ht="15" customHeight="1">
      <c r="B1830" s="150"/>
      <c r="C1830" s="136">
        <v>88487</v>
      </c>
      <c r="D1830" s="16" t="s">
        <v>8</v>
      </c>
      <c r="E1830" s="447" t="str">
        <f>IFERROR(VLOOKUP($C1830,'SINAPI JULHO 2018'!$1:$1048576,2,0),IFERROR(VLOOKUP($C1830,'5-COMP. PROPRIA'!$B$13:$I$518,4,0),""))</f>
        <v>APLICAÇÃO MANUAL DE PINTURA COM TINTA LÁTEX PVA EM PAREDES, DUAS DEMÃOS. AF_06/2014</v>
      </c>
      <c r="F1830" s="448"/>
      <c r="G1830" s="448"/>
      <c r="H1830" s="448"/>
      <c r="I1830" s="448"/>
      <c r="J1830" s="449"/>
      <c r="K1830" s="184">
        <f>20*2</f>
        <v>40</v>
      </c>
      <c r="L1830" s="57" t="s">
        <v>145</v>
      </c>
      <c r="M1830" s="93"/>
      <c r="N1830" s="68"/>
      <c r="O1830" s="115"/>
      <c r="Q1830" s="348"/>
    </row>
    <row r="1831" spans="2:17" s="128" customFormat="1" ht="15" customHeight="1">
      <c r="B1831" s="150"/>
      <c r="C1831" s="16"/>
      <c r="D1831" s="16"/>
      <c r="E1831" s="276"/>
      <c r="F1831" s="221"/>
      <c r="G1831" s="221"/>
      <c r="H1831" s="221"/>
      <c r="I1831" s="221"/>
      <c r="J1831" s="222"/>
      <c r="K1831" s="184"/>
      <c r="L1831" s="57"/>
      <c r="M1831" s="93"/>
      <c r="N1831" s="68"/>
      <c r="O1831" s="115"/>
      <c r="Q1831" s="348"/>
    </row>
    <row r="1832" spans="2:17" s="128" customFormat="1" ht="15" customHeight="1">
      <c r="B1832" s="150"/>
      <c r="C1832" s="16" t="s">
        <v>168</v>
      </c>
      <c r="D1832" s="16" t="s">
        <v>35</v>
      </c>
      <c r="E1832" s="447" t="str">
        <f>IFERROR(VLOOKUP($C1832,'SINAPI JULHO 2018'!$1:$1048576,2,0),IFERROR(VLOOKUP($C1832,'5-COMP. PROPRIA'!$B$13:$I$518,4,0),""))</f>
        <v xml:space="preserve">PINTURA COM TINTA ESMALTE SINTÉTICO </v>
      </c>
      <c r="F1832" s="448"/>
      <c r="G1832" s="448"/>
      <c r="H1832" s="448"/>
      <c r="I1832" s="448"/>
      <c r="J1832" s="449"/>
      <c r="K1832" s="184">
        <f>20*1.2</f>
        <v>24</v>
      </c>
      <c r="L1832" s="57" t="s">
        <v>145</v>
      </c>
      <c r="M1832" s="93"/>
      <c r="N1832" s="68"/>
      <c r="O1832" s="115"/>
      <c r="Q1832" s="348"/>
    </row>
    <row r="1833" spans="2:17" ht="15" customHeight="1">
      <c r="B1833" s="150"/>
      <c r="E1833" s="276"/>
      <c r="F1833" s="221"/>
      <c r="G1833" s="221"/>
      <c r="H1833" s="221"/>
      <c r="I1833" s="221"/>
      <c r="J1833" s="222"/>
      <c r="K1833" s="184"/>
      <c r="M1833" s="93"/>
      <c r="N1833" s="68"/>
      <c r="O1833" s="115"/>
      <c r="Q1833" s="127"/>
    </row>
    <row r="1834" spans="2:17" ht="15">
      <c r="B1834" s="150"/>
      <c r="C1834" s="26">
        <v>88485</v>
      </c>
      <c r="D1834" s="26" t="s">
        <v>8</v>
      </c>
      <c r="E1834" s="447" t="str">
        <f>IFERROR(VLOOKUP($C1834,'SINAPI JULHO 2018'!$1:$1048576,2,0),IFERROR(VLOOKUP($C1834,'5-COMP. PROPRIA'!$B$13:$I$518,4,0),""))</f>
        <v>APLICAÇÃO DE FUNDO SELADOR ACRÍLICO EM PAREDES, UMA DEMÃO. AF_06/2014</v>
      </c>
      <c r="F1834" s="448"/>
      <c r="G1834" s="448"/>
      <c r="H1834" s="448"/>
      <c r="I1834" s="448"/>
      <c r="J1834" s="449"/>
      <c r="K1834" s="184">
        <f>20*3</f>
        <v>60</v>
      </c>
      <c r="L1834" s="57" t="s">
        <v>145</v>
      </c>
      <c r="M1834" s="93"/>
      <c r="N1834" s="68"/>
      <c r="O1834" s="115"/>
      <c r="Q1834" s="127"/>
    </row>
    <row r="1835" spans="2:17" ht="15" customHeight="1">
      <c r="B1835" s="150"/>
      <c r="E1835" s="276"/>
      <c r="F1835" s="221"/>
      <c r="G1835" s="221"/>
      <c r="H1835" s="221"/>
      <c r="I1835" s="221"/>
      <c r="J1835" s="222"/>
      <c r="K1835" s="184"/>
      <c r="M1835" s="93"/>
      <c r="N1835" s="68"/>
      <c r="O1835" s="115"/>
      <c r="Q1835" s="127"/>
    </row>
    <row r="1836" spans="2:17" ht="36.75" customHeight="1">
      <c r="B1836" s="150"/>
      <c r="C1836" s="26">
        <v>88489</v>
      </c>
      <c r="D1836" s="26" t="s">
        <v>8</v>
      </c>
      <c r="E1836" s="447" t="str">
        <f>IFERROR(VLOOKUP($C1836,'SINAPI JULHO 2018'!$1:$1048576,2,0),IFERROR(VLOOKUP($C1836,'5-COMP. PROPRIA'!$B$13:$I$518,4,0),""))</f>
        <v>APLICAÇÃO MANUAL DE PINTURA COM TINTA LÁTEX ACRÍLICA EM PAREDES, DUAS DEMÃOS. AF_06/2014</v>
      </c>
      <c r="F1836" s="448"/>
      <c r="G1836" s="448"/>
      <c r="H1836" s="448"/>
      <c r="I1836" s="448"/>
      <c r="J1836" s="449"/>
      <c r="K1836" s="184">
        <f>20*2</f>
        <v>40</v>
      </c>
      <c r="L1836" s="57" t="s">
        <v>145</v>
      </c>
      <c r="M1836" s="93"/>
      <c r="N1836" s="68"/>
      <c r="O1836" s="115"/>
      <c r="Q1836" s="127"/>
    </row>
    <row r="1837" spans="2:17" ht="15" customHeight="1">
      <c r="B1837" s="150"/>
      <c r="E1837" s="276"/>
      <c r="F1837" s="221"/>
      <c r="G1837" s="221"/>
      <c r="H1837" s="221"/>
      <c r="I1837" s="221"/>
      <c r="J1837" s="222"/>
      <c r="K1837" s="184"/>
      <c r="M1837" s="93"/>
      <c r="N1837" s="68"/>
      <c r="O1837" s="115"/>
      <c r="Q1837" s="127"/>
    </row>
    <row r="1838" spans="2:17" ht="15">
      <c r="B1838" s="150"/>
      <c r="C1838" s="26" t="s">
        <v>168</v>
      </c>
      <c r="D1838" s="26" t="s">
        <v>35</v>
      </c>
      <c r="E1838" s="447" t="str">
        <f>IFERROR(VLOOKUP($C1838,'SINAPI JULHO 2018'!$1:$1048576,2,0),IFERROR(VLOOKUP($C1838,'5-COMP. PROPRIA'!$B$13:$I$518,4,0),""))</f>
        <v xml:space="preserve">PINTURA COM TINTA ESMALTE SINTÉTICO </v>
      </c>
      <c r="F1838" s="448"/>
      <c r="G1838" s="448"/>
      <c r="H1838" s="448"/>
      <c r="I1838" s="448"/>
      <c r="J1838" s="449"/>
      <c r="K1838" s="184">
        <f>20*1.2</f>
        <v>24</v>
      </c>
      <c r="L1838" s="57" t="s">
        <v>145</v>
      </c>
      <c r="M1838" s="93"/>
      <c r="N1838" s="68"/>
      <c r="O1838" s="115"/>
      <c r="Q1838" s="127"/>
    </row>
    <row r="1839" spans="2:17" ht="15" customHeight="1">
      <c r="B1839" s="150"/>
      <c r="E1839" s="276"/>
      <c r="F1839" s="221"/>
      <c r="G1839" s="221"/>
      <c r="H1839" s="221"/>
      <c r="I1839" s="221"/>
      <c r="J1839" s="222"/>
      <c r="K1839" s="184"/>
      <c r="M1839" s="93"/>
      <c r="N1839" s="68"/>
      <c r="O1839" s="115"/>
      <c r="Q1839" s="127"/>
    </row>
    <row r="1840" spans="2:17" ht="15" customHeight="1">
      <c r="B1840" s="150"/>
      <c r="C1840" s="16"/>
      <c r="D1840" s="16"/>
      <c r="E1840" s="453" t="s">
        <v>173</v>
      </c>
      <c r="F1840" s="454"/>
      <c r="G1840" s="454"/>
      <c r="H1840" s="454"/>
      <c r="I1840" s="454"/>
      <c r="J1840" s="455"/>
      <c r="K1840" s="70"/>
      <c r="M1840" s="93"/>
      <c r="N1840" s="68"/>
      <c r="O1840" s="115"/>
      <c r="Q1840" s="127"/>
    </row>
    <row r="1841" spans="2:17" ht="15" customHeight="1">
      <c r="B1841" s="150"/>
      <c r="E1841" s="276"/>
      <c r="F1841" s="221"/>
      <c r="G1841" s="221"/>
      <c r="H1841" s="221"/>
      <c r="I1841" s="221"/>
      <c r="J1841" s="222"/>
      <c r="K1841" s="184"/>
      <c r="M1841" s="93"/>
      <c r="N1841" s="68"/>
      <c r="O1841" s="115"/>
      <c r="Q1841" s="127"/>
    </row>
    <row r="1842" spans="2:17" ht="36" customHeight="1">
      <c r="B1842" s="150" t="s">
        <v>293</v>
      </c>
      <c r="C1842" s="94">
        <v>91341</v>
      </c>
      <c r="D1842" s="26" t="s">
        <v>8</v>
      </c>
      <c r="E1842" s="447" t="str">
        <f>IFERROR(VLOOKUP($C1842,'SINAPI JULHO 2018'!$1:$1048576,2,0),IFERROR(VLOOKUP($C1842,'5-COMP. PROPRIA'!$B$13:$I$518,4,0),""))</f>
        <v>PORTA EM ALUMÍNIO DE ABRIR TIPO VENEZIANA COM GUARNIÇÃO, FIXAÇÃO COM PARAFUSOS - FORNECIMENTO E INSTALAÇÃO. AF_08/2015</v>
      </c>
      <c r="F1842" s="448"/>
      <c r="G1842" s="448"/>
      <c r="H1842" s="448"/>
      <c r="I1842" s="448"/>
      <c r="J1842" s="449"/>
      <c r="K1842" s="184">
        <f>(0.8*2.1*1)+(0.9*2.1*1)+(0.6*1.8*4)</f>
        <v>7.8900000000000006</v>
      </c>
      <c r="L1842" s="57" t="s">
        <v>25</v>
      </c>
      <c r="M1842" s="93"/>
      <c r="N1842" s="68"/>
      <c r="O1842" s="115"/>
      <c r="Q1842" s="378"/>
    </row>
    <row r="1843" spans="2:17" ht="15" customHeight="1">
      <c r="B1843" s="150"/>
      <c r="C1843" s="91"/>
      <c r="D1843" s="91"/>
      <c r="E1843" s="113"/>
      <c r="F1843" s="56"/>
      <c r="G1843" s="56"/>
      <c r="H1843" s="56"/>
      <c r="I1843" s="56"/>
      <c r="J1843" s="240"/>
      <c r="K1843" s="183"/>
      <c r="L1843" s="56"/>
      <c r="M1843" s="93"/>
      <c r="N1843" s="68"/>
      <c r="O1843" s="115"/>
      <c r="Q1843" s="378"/>
    </row>
    <row r="1844" spans="2:17" ht="15" customHeight="1">
      <c r="B1844" s="150"/>
      <c r="C1844" s="94">
        <v>94575</v>
      </c>
      <c r="D1844" s="26" t="s">
        <v>8</v>
      </c>
      <c r="E1844" s="447" t="str">
        <f>IFERROR(VLOOKUP($C1844,'SINAPI JULHO 2018'!$1:$1048576,2,0),IFERROR(VLOOKUP($C1844,'5-COMP. PROPRIA'!$B$13:$I$518,4,0),""))</f>
        <v>JANELA DE ALUMÍNIO MAXIM-AR, FIXAÇÃO COM PARAFUSO, VEDAÇÃO COM ESPUMA EXPANSIVA PU, COM VIDROS, PADRONIZADA. AF_07/2016</v>
      </c>
      <c r="F1844" s="448"/>
      <c r="G1844" s="448"/>
      <c r="H1844" s="448"/>
      <c r="I1844" s="448"/>
      <c r="J1844" s="449"/>
      <c r="K1844" s="184">
        <f>1.5*0.6*3</f>
        <v>2.6999999999999997</v>
      </c>
      <c r="L1844" s="57" t="s">
        <v>25</v>
      </c>
      <c r="M1844" s="93"/>
      <c r="N1844" s="68"/>
      <c r="O1844" s="115"/>
      <c r="Q1844" s="378"/>
    </row>
    <row r="1845" spans="2:17" ht="15" customHeight="1">
      <c r="B1845" s="150"/>
      <c r="C1845" s="91"/>
      <c r="D1845" s="91"/>
      <c r="E1845" s="113"/>
      <c r="F1845" s="56"/>
      <c r="G1845" s="56"/>
      <c r="H1845" s="56"/>
      <c r="I1845" s="56"/>
      <c r="J1845" s="240"/>
      <c r="K1845" s="183"/>
      <c r="L1845" s="56"/>
      <c r="M1845" s="93"/>
      <c r="N1845" s="68"/>
      <c r="O1845" s="115"/>
      <c r="Q1845" s="127"/>
    </row>
    <row r="1846" spans="2:17" ht="15" customHeight="1">
      <c r="B1846" s="150"/>
      <c r="C1846" s="26" t="s">
        <v>141</v>
      </c>
      <c r="D1846" s="16" t="s">
        <v>35</v>
      </c>
      <c r="E1846" s="447" t="str">
        <f>IFERROR(VLOOKUP($C1846,'SINAPI JULHO 2018'!$1:$1048576,2,0),IFERROR(VLOOKUP($C1846,'5-COMP. PROPRIA'!$B$13:$I$518,4,0),""))</f>
        <v xml:space="preserve">LIXAMENTO DE SUPERFICIE METÁLICA </v>
      </c>
      <c r="F1846" s="448"/>
      <c r="G1846" s="448"/>
      <c r="H1846" s="448"/>
      <c r="I1846" s="448"/>
      <c r="J1846" s="449"/>
      <c r="K1846" s="184">
        <f>(K1844+K1842)*2</f>
        <v>21.18</v>
      </c>
      <c r="L1846" s="58" t="s">
        <v>25</v>
      </c>
      <c r="M1846" s="93"/>
      <c r="N1846" s="68"/>
      <c r="O1846" s="115"/>
      <c r="Q1846" s="127"/>
    </row>
    <row r="1847" spans="2:17" ht="15" customHeight="1">
      <c r="B1847" s="150"/>
      <c r="E1847" s="276"/>
      <c r="F1847" s="221"/>
      <c r="G1847" s="221"/>
      <c r="H1847" s="221"/>
      <c r="I1847" s="221"/>
      <c r="J1847" s="222"/>
      <c r="K1847" s="184"/>
      <c r="M1847" s="93"/>
      <c r="N1847" s="68"/>
      <c r="O1847" s="115"/>
      <c r="Q1847" s="127"/>
    </row>
    <row r="1848" spans="2:17" ht="15" customHeight="1">
      <c r="B1848" s="150"/>
      <c r="C1848" s="94" t="s">
        <v>142</v>
      </c>
      <c r="D1848" s="26" t="s">
        <v>8</v>
      </c>
      <c r="E1848" s="447" t="str">
        <f>IFERROR(VLOOKUP($C1848,'SINAPI JULHO 2018'!$1:$1048576,2,0),IFERROR(VLOOKUP($C1848,'5-COMP. PROPRIA'!$B$13:$I$518,4,0),""))</f>
        <v>PINTURA ESMALTE ALTO BRILHO, DUAS DEMAOS, SOBRE SUPERFICIE METALICA</v>
      </c>
      <c r="F1848" s="448"/>
      <c r="G1848" s="448"/>
      <c r="H1848" s="448"/>
      <c r="I1848" s="448"/>
      <c r="J1848" s="449"/>
      <c r="K1848" s="184">
        <f>K1846</f>
        <v>21.18</v>
      </c>
      <c r="L1848" s="58" t="s">
        <v>25</v>
      </c>
      <c r="M1848" s="93"/>
      <c r="N1848" s="68"/>
      <c r="O1848" s="115"/>
      <c r="Q1848" s="127"/>
    </row>
    <row r="1849" spans="2:17" ht="15" customHeight="1">
      <c r="B1849" s="150"/>
      <c r="E1849" s="276"/>
      <c r="F1849" s="221"/>
      <c r="G1849" s="221"/>
      <c r="H1849" s="221"/>
      <c r="I1849" s="221"/>
      <c r="J1849" s="222"/>
      <c r="K1849" s="184"/>
      <c r="M1849" s="93"/>
      <c r="N1849" s="68"/>
      <c r="O1849" s="115"/>
      <c r="Q1849" s="127"/>
    </row>
    <row r="1850" spans="2:17" ht="15" customHeight="1">
      <c r="B1850" s="150"/>
      <c r="C1850" s="16"/>
      <c r="D1850" s="16"/>
      <c r="E1850" s="453" t="s">
        <v>252</v>
      </c>
      <c r="F1850" s="454"/>
      <c r="G1850" s="454"/>
      <c r="H1850" s="454"/>
      <c r="I1850" s="454"/>
      <c r="J1850" s="455"/>
      <c r="K1850" s="70"/>
      <c r="M1850" s="93"/>
      <c r="N1850" s="68"/>
      <c r="O1850" s="115"/>
      <c r="Q1850" s="127"/>
    </row>
    <row r="1851" spans="2:17" ht="15" customHeight="1">
      <c r="B1851" s="150"/>
      <c r="E1851" s="276"/>
      <c r="F1851" s="221"/>
      <c r="G1851" s="221"/>
      <c r="H1851" s="221"/>
      <c r="I1851" s="221"/>
      <c r="J1851" s="222"/>
      <c r="K1851" s="184"/>
      <c r="M1851" s="93"/>
      <c r="N1851" s="68"/>
      <c r="O1851" s="115"/>
      <c r="Q1851" s="127"/>
    </row>
    <row r="1852" spans="2:17" ht="15" customHeight="1">
      <c r="B1852" s="150"/>
      <c r="C1852" s="94" t="s">
        <v>253</v>
      </c>
      <c r="D1852" s="26" t="s">
        <v>8</v>
      </c>
      <c r="E1852" s="447" t="str">
        <f>IFERROR(VLOOKUP($C1852,'SINAPI JULHO 2018'!$1:$1048576,2,0),IFERROR(VLOOKUP($C1852,'5-COMP. PROPRIA'!$B$13:$I$518,4,0),""))</f>
        <v>CAPINA E LIMPEZA MANUAL DE TERRENO</v>
      </c>
      <c r="F1852" s="448"/>
      <c r="G1852" s="448"/>
      <c r="H1852" s="448"/>
      <c r="I1852" s="448"/>
      <c r="J1852" s="449"/>
      <c r="K1852" s="184">
        <v>24.35</v>
      </c>
      <c r="L1852" s="57" t="s">
        <v>145</v>
      </c>
      <c r="M1852" s="93"/>
      <c r="N1852" s="68"/>
      <c r="O1852" s="115"/>
      <c r="Q1852" s="127"/>
    </row>
    <row r="1853" spans="2:17" ht="15" customHeight="1">
      <c r="B1853" s="150"/>
      <c r="C1853" s="94"/>
      <c r="E1853" s="276"/>
      <c r="F1853" s="221"/>
      <c r="G1853" s="221"/>
      <c r="H1853" s="221"/>
      <c r="I1853" s="221"/>
      <c r="J1853" s="222"/>
      <c r="K1853" s="184"/>
      <c r="L1853" s="57"/>
      <c r="M1853" s="93"/>
      <c r="N1853" s="68"/>
      <c r="O1853" s="115"/>
      <c r="Q1853" s="127"/>
    </row>
    <row r="1854" spans="2:17" ht="15" customHeight="1">
      <c r="B1854" s="150"/>
      <c r="C1854" s="94" t="s">
        <v>189</v>
      </c>
      <c r="D1854" s="26" t="s">
        <v>35</v>
      </c>
      <c r="E1854" s="447" t="str">
        <f>IFERROR(VLOOKUP($C1854,'SINAPI JULHO 2018'!$1:$1048576,2,0),IFERROR(VLOOKUP($C1854,'5-COMP. PROPRIA'!$B$13:$I$518,4,0),""))</f>
        <v>AQUISIÇÃO DE CARGA E TRANSPORTE DE SOLO PARA ATERRO</v>
      </c>
      <c r="F1854" s="448"/>
      <c r="G1854" s="448"/>
      <c r="H1854" s="448"/>
      <c r="I1854" s="448"/>
      <c r="J1854" s="449"/>
      <c r="K1854" s="184">
        <f>K1852*0.1</f>
        <v>2.4350000000000005</v>
      </c>
      <c r="L1854" s="57" t="s">
        <v>178</v>
      </c>
      <c r="M1854" s="93"/>
      <c r="N1854" s="68"/>
      <c r="O1854" s="115"/>
      <c r="Q1854" s="127"/>
    </row>
    <row r="1855" spans="2:17" ht="15" customHeight="1">
      <c r="B1855" s="150"/>
      <c r="C1855" s="94"/>
      <c r="E1855" s="276"/>
      <c r="F1855" s="221"/>
      <c r="G1855" s="221"/>
      <c r="H1855" s="221"/>
      <c r="I1855" s="221"/>
      <c r="J1855" s="222"/>
      <c r="K1855" s="184"/>
      <c r="L1855" s="57"/>
      <c r="M1855" s="93"/>
      <c r="N1855" s="68"/>
      <c r="O1855" s="115"/>
      <c r="Q1855" s="127"/>
    </row>
    <row r="1856" spans="2:17" ht="31.5" customHeight="1">
      <c r="B1856" s="150"/>
      <c r="C1856" s="26">
        <v>96385</v>
      </c>
      <c r="D1856" s="26" t="s">
        <v>8</v>
      </c>
      <c r="E1856" s="447" t="str">
        <f>IFERROR(VLOOKUP($C1856,'SINAPI JULHO 2018'!$1:$1048576,2,0),IFERROR(VLOOKUP($C1856,'5-COMP. PROPRIA'!$B$13:$I$518,4,0),""))</f>
        <v>EXECUÇÃO E COMPACTAÇÃO DE ATERRO COM SOLO PREDOMINANTEMENTE ARGILOSO - EXCLUSIVE ESCAVAÇÃO, CARGA E TRANSPORTE E SOLO. AF_09/2017</v>
      </c>
      <c r="F1856" s="448"/>
      <c r="G1856" s="448"/>
      <c r="H1856" s="448"/>
      <c r="I1856" s="448"/>
      <c r="J1856" s="449"/>
      <c r="K1856" s="184">
        <f>K1852*0.1</f>
        <v>2.4350000000000005</v>
      </c>
      <c r="L1856" s="57" t="s">
        <v>178</v>
      </c>
      <c r="M1856" s="93"/>
      <c r="N1856" s="68"/>
      <c r="O1856" s="115"/>
      <c r="Q1856" s="127"/>
    </row>
    <row r="1857" spans="2:17" ht="15" customHeight="1">
      <c r="B1857" s="150"/>
      <c r="E1857" s="276"/>
      <c r="F1857" s="221"/>
      <c r="G1857" s="221"/>
      <c r="H1857" s="221"/>
      <c r="I1857" s="221"/>
      <c r="J1857" s="222"/>
      <c r="K1857" s="184"/>
      <c r="M1857" s="93"/>
      <c r="N1857" s="68"/>
      <c r="O1857" s="115"/>
      <c r="Q1857" s="127"/>
    </row>
    <row r="1858" spans="2:17" ht="26.25" customHeight="1">
      <c r="B1858" s="150"/>
      <c r="C1858" s="26">
        <v>95241</v>
      </c>
      <c r="D1858" s="26" t="s">
        <v>8</v>
      </c>
      <c r="E1858" s="447" t="str">
        <f>IFERROR(VLOOKUP($C1858,'SINAPI JULHO 2018'!$1:$1048576,2,0),IFERROR(VLOOKUP($C1858,'5-COMP. PROPRIA'!$B$13:$I$518,4,0),""))</f>
        <v>LASTRO DE CONCRETO MAGRO, APLICADO EM PISOS OU RADIERS, ESPESSURA DE 5 CM. AF_07/2016</v>
      </c>
      <c r="F1858" s="448"/>
      <c r="G1858" s="448"/>
      <c r="H1858" s="448"/>
      <c r="I1858" s="448"/>
      <c r="J1858" s="449"/>
      <c r="K1858" s="184">
        <f>14.75+4.15+2.5</f>
        <v>21.4</v>
      </c>
      <c r="L1858" s="57" t="s">
        <v>145</v>
      </c>
      <c r="M1858" s="93"/>
      <c r="N1858" s="68"/>
      <c r="O1858" s="115"/>
      <c r="Q1858" s="127"/>
    </row>
    <row r="1859" spans="2:17" ht="15" customHeight="1">
      <c r="B1859" s="150"/>
      <c r="E1859" s="276"/>
      <c r="F1859" s="221"/>
      <c r="G1859" s="221"/>
      <c r="H1859" s="221"/>
      <c r="I1859" s="221"/>
      <c r="J1859" s="222"/>
      <c r="K1859" s="184"/>
      <c r="M1859" s="93"/>
      <c r="N1859" s="68"/>
      <c r="O1859" s="115"/>
      <c r="Q1859" s="127"/>
    </row>
    <row r="1860" spans="2:17" ht="41.25" customHeight="1">
      <c r="B1860" s="150"/>
      <c r="C1860" s="26">
        <v>87620</v>
      </c>
      <c r="D1860" s="26" t="s">
        <v>8</v>
      </c>
      <c r="E1860" s="447" t="str">
        <f>IFERROR(VLOOKUP($C1860,'SINAPI JULHO 2018'!$1:$1048576,2,0),IFERROR(VLOOKUP($C1860,'5-COMP. PROPRIA'!$B$13:$I$518,4,0),""))</f>
        <v>CONTRAPISO EM ARGAMASSA TRAÇO 1:4 (CIMENTO E AREIA), PREPARO MECÂNICO COM BETONEIRA 400 L, APLICADO EM ÁREAS SECAS SOBRE LAJE, ADERIDO, ESPESSURA 2CM. AF_06/2014</v>
      </c>
      <c r="F1860" s="448"/>
      <c r="G1860" s="448"/>
      <c r="H1860" s="448"/>
      <c r="I1860" s="448"/>
      <c r="J1860" s="449"/>
      <c r="K1860" s="184">
        <f>K1858</f>
        <v>21.4</v>
      </c>
      <c r="L1860" s="57" t="s">
        <v>145</v>
      </c>
      <c r="M1860" s="93"/>
      <c r="N1860" s="68"/>
      <c r="O1860" s="115"/>
      <c r="Q1860" s="127"/>
    </row>
    <row r="1861" spans="2:17" ht="15" customHeight="1">
      <c r="B1861" s="150"/>
      <c r="E1861" s="276"/>
      <c r="F1861" s="221"/>
      <c r="G1861" s="221"/>
      <c r="H1861" s="221"/>
      <c r="I1861" s="221"/>
      <c r="J1861" s="222"/>
      <c r="K1861" s="184"/>
      <c r="M1861" s="93"/>
      <c r="N1861" s="68"/>
      <c r="O1861" s="115"/>
      <c r="Q1861" s="127"/>
    </row>
    <row r="1862" spans="2:17" ht="30.75" customHeight="1">
      <c r="B1862" s="150"/>
      <c r="C1862" s="26">
        <v>84191</v>
      </c>
      <c r="D1862" s="26" t="s">
        <v>8</v>
      </c>
      <c r="E1862" s="447" t="str">
        <f>IFERROR(VLOOKUP($C1862,'SINAPI JULHO 2018'!$1:$1048576,2,0),IFERROR(VLOOKUP($C1862,'5-COMP. PROPRIA'!$B$13:$I$518,4,0),""))</f>
        <v>PISO EM GRANILITE, MARMORITE OU GRANITINA ESPESSURA 8 MM, INCLUSO JUNTAS DE DILATACAO PLASTICAS</v>
      </c>
      <c r="F1862" s="448"/>
      <c r="G1862" s="448"/>
      <c r="H1862" s="448"/>
      <c r="I1862" s="448"/>
      <c r="J1862" s="449"/>
      <c r="K1862" s="184">
        <f>K1860</f>
        <v>21.4</v>
      </c>
      <c r="L1862" s="57" t="s">
        <v>145</v>
      </c>
      <c r="M1862" s="93"/>
      <c r="N1862" s="68"/>
      <c r="O1862" s="115"/>
      <c r="Q1862" s="127"/>
    </row>
    <row r="1863" spans="2:17" ht="15" customHeight="1">
      <c r="B1863" s="150"/>
      <c r="E1863" s="276"/>
      <c r="F1863" s="221"/>
      <c r="G1863" s="221"/>
      <c r="H1863" s="221"/>
      <c r="I1863" s="221"/>
      <c r="J1863" s="222"/>
      <c r="K1863" s="184"/>
      <c r="M1863" s="93"/>
      <c r="N1863" s="68"/>
      <c r="O1863" s="115"/>
      <c r="Q1863" s="127"/>
    </row>
    <row r="1864" spans="2:17" ht="18" customHeight="1">
      <c r="B1864" s="150"/>
      <c r="C1864" s="26" t="s">
        <v>180</v>
      </c>
      <c r="D1864" s="26" t="s">
        <v>8</v>
      </c>
      <c r="E1864" s="447" t="str">
        <f>IFERROR(VLOOKUP($C1864,'SINAPI JULHO 2018'!$1:$1048576,2,0),IFERROR(VLOOKUP($C1864,'5-COMP. PROPRIA'!$B$13:$I$518,4,0),""))</f>
        <v>IMPERMEABILIZACAO COM PINTURA A BASE DE RESINA EPOXI ALCATRAO, UMA DEMAO.</v>
      </c>
      <c r="F1864" s="448"/>
      <c r="G1864" s="448"/>
      <c r="H1864" s="448"/>
      <c r="I1864" s="448"/>
      <c r="J1864" s="449"/>
      <c r="K1864" s="184">
        <f>K1862</f>
        <v>21.4</v>
      </c>
      <c r="L1864" s="57" t="s">
        <v>145</v>
      </c>
      <c r="M1864" s="93"/>
      <c r="N1864" s="68"/>
      <c r="O1864" s="115"/>
      <c r="Q1864" s="127"/>
    </row>
    <row r="1865" spans="2:17" ht="15" customHeight="1">
      <c r="B1865" s="150"/>
      <c r="E1865" s="276"/>
      <c r="F1865" s="221"/>
      <c r="G1865" s="221"/>
      <c r="H1865" s="221"/>
      <c r="I1865" s="221"/>
      <c r="J1865" s="222"/>
      <c r="K1865" s="184"/>
      <c r="M1865" s="93"/>
      <c r="N1865" s="68"/>
      <c r="O1865" s="115"/>
      <c r="Q1865" s="127"/>
    </row>
    <row r="1866" spans="2:17" ht="24" customHeight="1">
      <c r="B1866" s="150"/>
      <c r="C1866" s="26" t="s">
        <v>181</v>
      </c>
      <c r="D1866" s="26" t="s">
        <v>8</v>
      </c>
      <c r="E1866" s="447" t="str">
        <f>IFERROR(VLOOKUP($C1866,'SINAPI JULHO 2018'!$1:$1048576,2,0),IFERROR(VLOOKUP($C1866,'5-COMP. PROPRIA'!$B$13:$I$518,4,0),""))</f>
        <v>RODAPE EM MARMORITE, ALTURA 10CM</v>
      </c>
      <c r="F1866" s="448"/>
      <c r="G1866" s="448"/>
      <c r="H1866" s="448"/>
      <c r="I1866" s="448"/>
      <c r="J1866" s="449"/>
      <c r="K1866" s="184">
        <f>15.35+8.4+3.25</f>
        <v>27</v>
      </c>
      <c r="L1866" s="57" t="s">
        <v>172</v>
      </c>
      <c r="M1866" s="93"/>
      <c r="N1866" s="68"/>
      <c r="O1866" s="115"/>
      <c r="Q1866" s="127"/>
    </row>
    <row r="1867" spans="2:17" ht="15" customHeight="1">
      <c r="B1867" s="157"/>
      <c r="E1867" s="266"/>
      <c r="F1867" s="99"/>
      <c r="G1867" s="99"/>
      <c r="H1867" s="99"/>
      <c r="I1867" s="99"/>
      <c r="J1867" s="267"/>
      <c r="M1867" s="93"/>
      <c r="N1867" s="68"/>
      <c r="O1867" s="115"/>
      <c r="Q1867" s="127"/>
    </row>
    <row r="1868" spans="2:17" ht="15" customHeight="1">
      <c r="B1868" s="157"/>
      <c r="E1868" s="453" t="s">
        <v>254</v>
      </c>
      <c r="F1868" s="454"/>
      <c r="G1868" s="454"/>
      <c r="H1868" s="454"/>
      <c r="I1868" s="454"/>
      <c r="J1868" s="455"/>
      <c r="M1868" s="93"/>
      <c r="N1868" s="68"/>
      <c r="O1868" s="115"/>
      <c r="Q1868" s="127"/>
    </row>
    <row r="1869" spans="2:17" ht="15" customHeight="1">
      <c r="B1869" s="150"/>
      <c r="E1869" s="276"/>
      <c r="F1869" s="221"/>
      <c r="G1869" s="221"/>
      <c r="H1869" s="221"/>
      <c r="I1869" s="221"/>
      <c r="J1869" s="222"/>
      <c r="K1869" s="184"/>
      <c r="M1869" s="93"/>
      <c r="N1869" s="68"/>
      <c r="O1869" s="115"/>
      <c r="Q1869" s="127"/>
    </row>
    <row r="1870" spans="2:17" ht="62.25" customHeight="1">
      <c r="B1870" s="150"/>
      <c r="C1870" s="26">
        <v>72110</v>
      </c>
      <c r="D1870" s="26" t="s">
        <v>8</v>
      </c>
      <c r="E1870" s="447" t="str">
        <f>IFERROR(VLOOKUP($C1870,'SINAPI JULHO 2018'!$1:$1048576,2,0),IFERROR(VLOOKUP($C1870,'5-COMP. PROPRIA'!$B$13:$I$518,4,0),""))</f>
        <v>ESTRUTURA METALICA EM TESOURAS OU TRELICAS, VAO LIVRE DE 12M, FORNECIMENTO E MONTAGEM, NAO SENDO CONSIDERADOS OS FECHAMENTOS METALICOS, AS COLUNAS, OS SERVICOS GERAIS EM ALVENARIA E CONCRETO, AS TELHAS DE COBERTURA E A PINTURA DE ACABAMENTO</v>
      </c>
      <c r="F1870" s="448"/>
      <c r="G1870" s="448"/>
      <c r="H1870" s="448"/>
      <c r="I1870" s="448"/>
      <c r="J1870" s="449"/>
      <c r="K1870" s="184">
        <f>5.2*5.8</f>
        <v>30.16</v>
      </c>
      <c r="L1870" s="57" t="s">
        <v>25</v>
      </c>
      <c r="M1870" s="93"/>
      <c r="N1870" s="68"/>
      <c r="O1870" s="115"/>
      <c r="Q1870" s="127"/>
    </row>
    <row r="1871" spans="2:17" ht="15" customHeight="1">
      <c r="B1871" s="150"/>
      <c r="E1871" s="118"/>
      <c r="G1871" s="231"/>
      <c r="J1871" s="102"/>
      <c r="M1871" s="93"/>
      <c r="N1871" s="68"/>
      <c r="O1871" s="115"/>
      <c r="Q1871" s="127"/>
    </row>
    <row r="1872" spans="2:17" ht="43.5" customHeight="1">
      <c r="B1872" s="150"/>
      <c r="C1872" s="26">
        <v>92569</v>
      </c>
      <c r="D1872" s="26" t="s">
        <v>8</v>
      </c>
      <c r="E1872" s="447" t="str">
        <f>IFERROR(VLOOKUP($C1872,'SINAPI JULHO 2018'!$1:$1048576,2,0),IFERROR(VLOOKUP($C1872,'5-COMP. PROPRIA'!$B$13:$I$518,4,0),""))</f>
        <v>TRAMA DE AÇO COMPOSTA POR RIPAS E CAIBROS PARA TELHADOS DE ATÉ 2 ÁGUAS PARA TELHA DE ENCAIXE DE CERÂMICA OU DE CONCRETO, INCLUSO TRANSPORTE VERTICAL. AF_12/2015</v>
      </c>
      <c r="F1872" s="448"/>
      <c r="G1872" s="448"/>
      <c r="H1872" s="448"/>
      <c r="I1872" s="448"/>
      <c r="J1872" s="449"/>
      <c r="K1872" s="184">
        <f>K1870</f>
        <v>30.16</v>
      </c>
      <c r="L1872" s="57" t="s">
        <v>25</v>
      </c>
      <c r="M1872" s="93"/>
      <c r="N1872" s="68"/>
      <c r="O1872" s="115"/>
      <c r="Q1872" s="127"/>
    </row>
    <row r="1873" spans="2:17" ht="15" customHeight="1">
      <c r="B1873" s="150"/>
      <c r="E1873" s="276"/>
      <c r="F1873" s="221"/>
      <c r="G1873" s="221"/>
      <c r="H1873" s="221"/>
      <c r="I1873" s="221"/>
      <c r="J1873" s="222"/>
      <c r="K1873" s="184"/>
      <c r="L1873" s="57"/>
      <c r="M1873" s="93"/>
      <c r="N1873" s="68"/>
      <c r="O1873" s="115"/>
      <c r="Q1873" s="127"/>
    </row>
    <row r="1874" spans="2:17" ht="15" customHeight="1">
      <c r="B1874" s="150"/>
      <c r="C1874" s="94" t="s">
        <v>141</v>
      </c>
      <c r="D1874" s="26" t="s">
        <v>35</v>
      </c>
      <c r="E1874" s="447" t="str">
        <f>IFERROR(VLOOKUP($C1874,'SINAPI JULHO 2018'!$1:$1048576,2,0),IFERROR(VLOOKUP($C1874,'5-COMP. PROPRIA'!$B$13:$I$518,4,0),""))</f>
        <v xml:space="preserve">LIXAMENTO DE SUPERFICIE METÁLICA </v>
      </c>
      <c r="F1874" s="448"/>
      <c r="G1874" s="448"/>
      <c r="H1874" s="448"/>
      <c r="I1874" s="448"/>
      <c r="J1874" s="449"/>
      <c r="K1874" s="184">
        <f>(K1872+K1870)*2</f>
        <v>120.64</v>
      </c>
      <c r="L1874" s="58" t="s">
        <v>25</v>
      </c>
      <c r="M1874" s="93"/>
      <c r="N1874" s="68"/>
      <c r="O1874" s="115"/>
      <c r="Q1874" s="127"/>
    </row>
    <row r="1875" spans="2:17" ht="15" customHeight="1">
      <c r="B1875" s="150"/>
      <c r="E1875" s="276"/>
      <c r="F1875" s="221"/>
      <c r="G1875" s="221"/>
      <c r="H1875" s="221"/>
      <c r="I1875" s="221"/>
      <c r="J1875" s="222"/>
      <c r="K1875" s="184"/>
      <c r="M1875" s="93"/>
      <c r="N1875" s="68"/>
      <c r="O1875" s="115"/>
      <c r="Q1875" s="127"/>
    </row>
    <row r="1876" spans="2:17" ht="15" customHeight="1">
      <c r="B1876" s="150"/>
      <c r="C1876" s="94" t="s">
        <v>142</v>
      </c>
      <c r="D1876" s="26" t="s">
        <v>8</v>
      </c>
      <c r="E1876" s="447" t="str">
        <f>IFERROR(VLOOKUP($C1876,'SINAPI JULHO 2018'!$1:$1048576,2,0),IFERROR(VLOOKUP($C1876,'5-COMP. PROPRIA'!$B$13:$I$518,4,0),""))</f>
        <v>PINTURA ESMALTE ALTO BRILHO, DUAS DEMAOS, SOBRE SUPERFICIE METALICA</v>
      </c>
      <c r="F1876" s="448"/>
      <c r="G1876" s="448"/>
      <c r="H1876" s="448"/>
      <c r="I1876" s="448"/>
      <c r="J1876" s="449"/>
      <c r="K1876" s="184">
        <f>K1874</f>
        <v>120.64</v>
      </c>
      <c r="L1876" s="58" t="s">
        <v>25</v>
      </c>
      <c r="M1876" s="93"/>
      <c r="N1876" s="68"/>
      <c r="O1876" s="115"/>
      <c r="Q1876" s="127"/>
    </row>
    <row r="1877" spans="2:17" ht="15" customHeight="1">
      <c r="B1877" s="150"/>
      <c r="C1877" s="94"/>
      <c r="E1877" s="276"/>
      <c r="F1877" s="221"/>
      <c r="G1877" s="221"/>
      <c r="H1877" s="221"/>
      <c r="I1877" s="221"/>
      <c r="J1877" s="222"/>
      <c r="K1877" s="184"/>
      <c r="M1877" s="93"/>
      <c r="N1877" s="68"/>
      <c r="O1877" s="115"/>
      <c r="Q1877" s="127"/>
    </row>
    <row r="1878" spans="2:17" ht="44.25" customHeight="1">
      <c r="B1878" s="150"/>
      <c r="C1878" s="26">
        <v>94210</v>
      </c>
      <c r="D1878" s="26" t="s">
        <v>8</v>
      </c>
      <c r="E1878" s="447" t="str">
        <f>IFERROR(VLOOKUP($C1878,'SINAPI JULHO 2018'!$1:$1048576,2,0),IFERROR(VLOOKUP($C1878,'5-COMP. PROPRIA'!$B$13:$I$518,4,0),""))</f>
        <v>TELHAMENTO COM TELHA ONDULADA DE FIBROCIMENTO E = 6 MM, COM RECOBRIMENTO LATERAL DE 1 1/4 DE ONDA PARA TELHADO COM INCLINAÇÃO MÁXIMA DE 10°, COM ATÉ 2 ÁGUAS, INCLUSO IÇAMENTO. AF_06/2016</v>
      </c>
      <c r="F1878" s="448"/>
      <c r="G1878" s="448"/>
      <c r="H1878" s="448"/>
      <c r="I1878" s="448"/>
      <c r="J1878" s="449"/>
      <c r="K1878" s="184">
        <f>K1872</f>
        <v>30.16</v>
      </c>
      <c r="L1878" s="57" t="s">
        <v>25</v>
      </c>
      <c r="M1878" s="93"/>
      <c r="N1878" s="68"/>
      <c r="O1878" s="115"/>
      <c r="Q1878" s="127"/>
    </row>
    <row r="1879" spans="2:17" ht="15" customHeight="1">
      <c r="B1879" s="150"/>
      <c r="E1879" s="118"/>
      <c r="G1879" s="231"/>
      <c r="J1879" s="102"/>
      <c r="M1879" s="93"/>
      <c r="N1879" s="68"/>
      <c r="O1879" s="115"/>
      <c r="Q1879" s="127"/>
    </row>
    <row r="1880" spans="2:17" ht="39" customHeight="1">
      <c r="B1880" s="150"/>
      <c r="C1880" s="26">
        <v>94231</v>
      </c>
      <c r="D1880" s="26" t="s">
        <v>8</v>
      </c>
      <c r="E1880" s="447" t="str">
        <f>IFERROR(VLOOKUP($C1880,'SINAPI JULHO 2018'!$1:$1048576,2,0),IFERROR(VLOOKUP($C1880,'5-COMP. PROPRIA'!$B$13:$I$518,4,0),""))</f>
        <v>RUFO EM CHAPA DE AÇO GALVANIZADO NÚMERO 24, CORTE DE 25 CM, INCLUSO TRANSPORTE VERTICAL. AF_06/2016</v>
      </c>
      <c r="F1880" s="448"/>
      <c r="G1880" s="448"/>
      <c r="H1880" s="448"/>
      <c r="I1880" s="448"/>
      <c r="J1880" s="449"/>
      <c r="K1880" s="184">
        <v>8.6999999999999993</v>
      </c>
      <c r="L1880" s="57" t="s">
        <v>172</v>
      </c>
      <c r="M1880" s="93"/>
      <c r="N1880" s="68"/>
      <c r="O1880" s="115"/>
      <c r="Q1880" s="127"/>
    </row>
    <row r="1881" spans="2:17" ht="15" customHeight="1">
      <c r="B1881" s="150"/>
      <c r="E1881" s="276"/>
      <c r="F1881" s="221"/>
      <c r="G1881" s="221"/>
      <c r="H1881" s="221"/>
      <c r="I1881" s="221"/>
      <c r="J1881" s="222"/>
      <c r="K1881" s="184"/>
      <c r="L1881" s="57"/>
      <c r="M1881" s="93"/>
      <c r="N1881" s="68"/>
      <c r="O1881" s="115"/>
      <c r="Q1881" s="127"/>
    </row>
    <row r="1882" spans="2:17" ht="34.5" customHeight="1">
      <c r="B1882" s="150"/>
      <c r="C1882" s="26">
        <v>96116</v>
      </c>
      <c r="D1882" s="26" t="s">
        <v>8</v>
      </c>
      <c r="E1882" s="447" t="str">
        <f>IFERROR(VLOOKUP($C1882,'SINAPI JULHO 2018'!$1:$1048576,2,0),IFERROR(VLOOKUP($C1882,'5-COMP. PROPRIA'!$B$13:$I$518,4,0),""))</f>
        <v>FORRO EM RÉGUAS DE PVC, FRISADO, PARA AMBIENTES COMERCIAIS, INCLUSIVE ESTRUTURA DE FIXAÇÃO. AF_05/2017_P</v>
      </c>
      <c r="F1882" s="448"/>
      <c r="G1882" s="448"/>
      <c r="H1882" s="448"/>
      <c r="I1882" s="448"/>
      <c r="J1882" s="449"/>
      <c r="K1882" s="184">
        <v>21.4</v>
      </c>
      <c r="L1882" s="57" t="s">
        <v>25</v>
      </c>
      <c r="M1882" s="93"/>
      <c r="N1882" s="68"/>
      <c r="O1882" s="115"/>
      <c r="Q1882" s="127"/>
    </row>
    <row r="1883" spans="2:17" ht="15">
      <c r="B1883" s="150"/>
      <c r="E1883" s="276"/>
      <c r="F1883" s="221"/>
      <c r="G1883" s="221"/>
      <c r="H1883" s="221"/>
      <c r="I1883" s="221"/>
      <c r="J1883" s="222"/>
      <c r="K1883" s="184"/>
      <c r="M1883" s="93"/>
      <c r="N1883" s="68"/>
      <c r="O1883" s="115"/>
      <c r="Q1883" s="127"/>
    </row>
    <row r="1884" spans="2:17" s="128" customFormat="1" ht="15">
      <c r="B1884" s="150"/>
      <c r="C1884" s="16"/>
      <c r="D1884" s="16"/>
      <c r="E1884" s="453" t="s">
        <v>174</v>
      </c>
      <c r="F1884" s="454"/>
      <c r="G1884" s="454"/>
      <c r="H1884" s="454"/>
      <c r="I1884" s="454"/>
      <c r="J1884" s="455"/>
      <c r="K1884" s="184"/>
      <c r="L1884" s="57"/>
      <c r="M1884" s="93"/>
      <c r="N1884" s="68"/>
      <c r="O1884" s="115"/>
      <c r="Q1884" s="348"/>
    </row>
    <row r="1885" spans="2:17" s="128" customFormat="1" ht="15">
      <c r="B1885" s="150"/>
      <c r="C1885" s="16"/>
      <c r="D1885" s="16"/>
      <c r="E1885" s="276"/>
      <c r="F1885" s="221"/>
      <c r="G1885" s="221"/>
      <c r="H1885" s="221"/>
      <c r="I1885" s="221"/>
      <c r="J1885" s="222"/>
      <c r="K1885" s="184"/>
      <c r="L1885" s="57"/>
      <c r="M1885" s="93"/>
      <c r="N1885" s="68"/>
      <c r="O1885" s="115"/>
      <c r="Q1885" s="348"/>
    </row>
    <row r="1886" spans="2:17" s="128" customFormat="1" ht="28.5" customHeight="1">
      <c r="B1886" s="150"/>
      <c r="C1886" s="136" t="s">
        <v>273</v>
      </c>
      <c r="D1886" s="16" t="s">
        <v>35</v>
      </c>
      <c r="E1886" s="447" t="str">
        <f>IFERROR(VLOOKUP($C1886,'SINAPI JULHO 2018'!$1:$1048576,2,0),IFERROR(VLOOKUP($C1886,'5-COMP. PROPRIA'!$B$13:$I$518,4,0),""))</f>
        <v xml:space="preserve">VASO SANITÁRIO CONVENCIONAL COM CONEXÕES DE INSTALAÇÃO E ASSENTO PLÁSTICO - FORNECIMENTO E INSTALAÇÃO </v>
      </c>
      <c r="F1886" s="448"/>
      <c r="G1886" s="448"/>
      <c r="H1886" s="448"/>
      <c r="I1886" s="448"/>
      <c r="J1886" s="449"/>
      <c r="K1886" s="184">
        <v>4</v>
      </c>
      <c r="L1886" s="57" t="s">
        <v>5</v>
      </c>
      <c r="M1886" s="93"/>
      <c r="N1886" s="68"/>
      <c r="O1886" s="115"/>
      <c r="Q1886" s="348"/>
    </row>
    <row r="1887" spans="2:17" s="128" customFormat="1" ht="15">
      <c r="B1887" s="150"/>
      <c r="C1887" s="136"/>
      <c r="D1887" s="16"/>
      <c r="E1887" s="276"/>
      <c r="F1887" s="221"/>
      <c r="G1887" s="221"/>
      <c r="H1887" s="221"/>
      <c r="I1887" s="221"/>
      <c r="J1887" s="222"/>
      <c r="K1887" s="184"/>
      <c r="L1887" s="57"/>
      <c r="M1887" s="93"/>
      <c r="N1887" s="68"/>
      <c r="O1887" s="115"/>
      <c r="Q1887" s="348"/>
    </row>
    <row r="1888" spans="2:17" s="128" customFormat="1" ht="50.25" customHeight="1">
      <c r="B1888" s="150" t="s">
        <v>274</v>
      </c>
      <c r="C1888" s="16">
        <v>95472</v>
      </c>
      <c r="D1888" s="16" t="s">
        <v>8</v>
      </c>
      <c r="E1888" s="447" t="str">
        <f>IFERROR(VLOOKUP($C1888,'SINAPI JULHO 2018'!$1:$1048576,2,0),IFERROR(VLOOKUP($C1888,'5-COMP. PROPRIA'!$B$13:$I$518,4,0),""))</f>
        <v>VASO SANITARIO SIFONADO CONVENCIONAL PARA PCD SEM FURO FRONTAL COM LOUÇA BRANCA SEM ASSENTO, INCLUSO CONJUNTO DE LIGAÇÃO PARA BACIA SANITÁRIA AJUSTÁVEL - FORNECIMENTO E INSTALAÇÃO. AF_10/2016</v>
      </c>
      <c r="F1888" s="448"/>
      <c r="G1888" s="448"/>
      <c r="H1888" s="448"/>
      <c r="I1888" s="448"/>
      <c r="J1888" s="449"/>
      <c r="K1888" s="184">
        <v>1</v>
      </c>
      <c r="L1888" s="57" t="s">
        <v>5</v>
      </c>
      <c r="M1888" s="93"/>
      <c r="N1888" s="68"/>
      <c r="O1888" s="115"/>
      <c r="Q1888" s="348"/>
    </row>
    <row r="1889" spans="2:17" s="128" customFormat="1" ht="15">
      <c r="B1889" s="150"/>
      <c r="C1889" s="16"/>
      <c r="D1889" s="16"/>
      <c r="E1889" s="276"/>
      <c r="F1889" s="221"/>
      <c r="G1889" s="221"/>
      <c r="H1889" s="221"/>
      <c r="I1889" s="221"/>
      <c r="J1889" s="222"/>
      <c r="K1889" s="184"/>
      <c r="L1889" s="57"/>
      <c r="M1889" s="93"/>
      <c r="N1889" s="68"/>
      <c r="O1889" s="115"/>
      <c r="Q1889" s="348"/>
    </row>
    <row r="1890" spans="2:17" s="128" customFormat="1" ht="42.75" customHeight="1">
      <c r="B1890" s="150" t="s">
        <v>274</v>
      </c>
      <c r="C1890" s="16">
        <v>86943</v>
      </c>
      <c r="D1890" s="16" t="s">
        <v>8</v>
      </c>
      <c r="E1890" s="447" t="str">
        <f>IFERROR(VLOOKUP($C1890,'SINAPI JULHO 2018'!$1:$1048576,2,0),IFERROR(VLOOKUP($C1890,'5-COMP. PROPRIA'!$B$13:$I$518,4,0),""))</f>
        <v>LAVATÓRIO LOUÇA BRANCA SUSPENSO, 29,5 X 39CM OU EQUIVALENTE, PADRÃO POPULAR, INCLUSO SIFÃO FLEXÍVEL EM PVC, VÁLVULA E ENGATE FLEXÍVEL 30CM EM PLÁSTICO E TORNEIRA CROMADA DE MESA, PADRÃO POPULAR - FORNECIMENTO E INSTALAÇÃO. AF_12/2013</v>
      </c>
      <c r="F1890" s="448"/>
      <c r="G1890" s="448"/>
      <c r="H1890" s="448"/>
      <c r="I1890" s="448"/>
      <c r="J1890" s="449"/>
      <c r="K1890" s="184">
        <v>1</v>
      </c>
      <c r="L1890" s="57" t="s">
        <v>5</v>
      </c>
      <c r="M1890" s="93"/>
      <c r="N1890" s="68"/>
      <c r="O1890" s="115"/>
      <c r="Q1890" s="348"/>
    </row>
    <row r="1891" spans="2:17" s="128" customFormat="1" ht="15">
      <c r="B1891" s="150"/>
      <c r="C1891" s="16"/>
      <c r="D1891" s="16"/>
      <c r="E1891" s="276"/>
      <c r="F1891" s="221"/>
      <c r="G1891" s="221"/>
      <c r="H1891" s="221"/>
      <c r="I1891" s="221"/>
      <c r="J1891" s="222"/>
      <c r="K1891" s="184"/>
      <c r="L1891" s="57"/>
      <c r="M1891" s="93"/>
      <c r="N1891" s="68"/>
      <c r="O1891" s="115"/>
      <c r="Q1891" s="348"/>
    </row>
    <row r="1892" spans="2:17" s="128" customFormat="1" ht="25.5" customHeight="1">
      <c r="B1892" s="150" t="s">
        <v>294</v>
      </c>
      <c r="C1892" s="136" t="str">
        <f>'5-COMP. PROPRIA'!B291</f>
        <v>CP-BAN-01</v>
      </c>
      <c r="D1892" s="16" t="s">
        <v>35</v>
      </c>
      <c r="E1892" s="447" t="str">
        <f>IFERROR(VLOOKUP($C1892,'SINAPI JULHO 2018'!$1:$1048576,2,0),IFERROR(VLOOKUP($C1892,'5-COMP. PROPRIA'!$B$13:$I$518,4,0),""))</f>
        <v>BANCADA DE GRANITO CINZA POLIDO 2,0 X 0,60 M - FORNECIMENTO E INSTALAÇÃO</v>
      </c>
      <c r="F1892" s="448"/>
      <c r="G1892" s="448"/>
      <c r="H1892" s="448"/>
      <c r="I1892" s="448"/>
      <c r="J1892" s="449"/>
      <c r="K1892" s="184">
        <v>1</v>
      </c>
      <c r="L1892" s="57" t="s">
        <v>5</v>
      </c>
      <c r="M1892" s="93"/>
      <c r="N1892" s="68"/>
      <c r="O1892" s="115"/>
      <c r="Q1892" s="348"/>
    </row>
    <row r="1893" spans="2:17" s="128" customFormat="1" ht="15">
      <c r="B1893" s="150"/>
      <c r="C1893" s="16"/>
      <c r="D1893" s="16"/>
      <c r="E1893" s="276"/>
      <c r="F1893" s="221"/>
      <c r="G1893" s="221"/>
      <c r="H1893" s="221"/>
      <c r="I1893" s="221"/>
      <c r="J1893" s="222"/>
      <c r="K1893" s="184"/>
      <c r="L1893" s="57"/>
      <c r="M1893" s="93"/>
      <c r="N1893" s="68"/>
      <c r="O1893" s="115"/>
      <c r="Q1893" s="348"/>
    </row>
    <row r="1894" spans="2:17" s="128" customFormat="1" ht="30" customHeight="1">
      <c r="B1894" s="150" t="s">
        <v>295</v>
      </c>
      <c r="C1894" s="16">
        <v>86901</v>
      </c>
      <c r="D1894" s="16" t="s">
        <v>8</v>
      </c>
      <c r="E1894" s="447" t="str">
        <f>IFERROR(VLOOKUP($C1894,'SINAPI JULHO 2018'!$1:$1048576,2,0),IFERROR(VLOOKUP($C1894,'5-COMP. PROPRIA'!$B$13:$I$518,4,0),""))</f>
        <v>CUBA DE EMBUTIR OVAL EM LOUÇA BRANCA, 35 X 50CM OU EQUIVALENTE - FORNECIMENTO E INSTALAÇÃO. AF_12/2013</v>
      </c>
      <c r="F1894" s="448"/>
      <c r="G1894" s="448"/>
      <c r="H1894" s="448"/>
      <c r="I1894" s="448"/>
      <c r="J1894" s="449"/>
      <c r="K1894" s="184">
        <v>3</v>
      </c>
      <c r="L1894" s="57" t="s">
        <v>5</v>
      </c>
      <c r="M1894" s="93"/>
      <c r="N1894" s="68"/>
      <c r="O1894" s="115"/>
      <c r="Q1894" s="348"/>
    </row>
    <row r="1895" spans="2:17" s="128" customFormat="1" ht="15">
      <c r="B1895" s="150"/>
      <c r="C1895" s="16"/>
      <c r="D1895" s="16"/>
      <c r="E1895" s="276"/>
      <c r="F1895" s="221"/>
      <c r="G1895" s="221"/>
      <c r="H1895" s="221"/>
      <c r="I1895" s="221"/>
      <c r="J1895" s="222"/>
      <c r="K1895" s="184"/>
      <c r="L1895" s="57"/>
      <c r="M1895" s="93"/>
      <c r="N1895" s="68"/>
      <c r="O1895" s="115"/>
      <c r="Q1895" s="348"/>
    </row>
    <row r="1896" spans="2:17" s="128" customFormat="1" ht="33" customHeight="1">
      <c r="B1896" s="150"/>
      <c r="C1896" s="16">
        <v>86906</v>
      </c>
      <c r="D1896" s="16" t="s">
        <v>8</v>
      </c>
      <c r="E1896" s="447" t="str">
        <f>IFERROR(VLOOKUP($C1896,'SINAPI JULHO 2018'!$1:$1048576,2,0),IFERROR(VLOOKUP($C1896,'5-COMP. PROPRIA'!$B$13:$I$518,4,0),""))</f>
        <v>TORNEIRA CROMADA DE MESA, 1/2" OU 3/4", PARA LAVATÓRIO, PADRÃO POPULAR - FORNECIMENTO E INSTALAÇÃO. AF_12/2013</v>
      </c>
      <c r="F1896" s="448"/>
      <c r="G1896" s="448"/>
      <c r="H1896" s="448"/>
      <c r="I1896" s="448"/>
      <c r="J1896" s="449"/>
      <c r="K1896" s="184">
        <v>4</v>
      </c>
      <c r="L1896" s="57" t="s">
        <v>5</v>
      </c>
      <c r="M1896" s="93"/>
      <c r="N1896" s="68"/>
      <c r="O1896" s="115"/>
      <c r="Q1896" s="348"/>
    </row>
    <row r="1897" spans="2:17" s="128" customFormat="1" ht="15">
      <c r="B1897" s="150"/>
      <c r="C1897" s="16"/>
      <c r="D1897" s="16"/>
      <c r="E1897" s="276"/>
      <c r="F1897" s="221"/>
      <c r="G1897" s="221"/>
      <c r="H1897" s="221"/>
      <c r="I1897" s="221"/>
      <c r="J1897" s="222"/>
      <c r="K1897" s="184"/>
      <c r="L1897" s="57"/>
      <c r="M1897" s="93"/>
      <c r="N1897" s="68"/>
      <c r="O1897" s="115"/>
      <c r="Q1897" s="348"/>
    </row>
    <row r="1898" spans="2:17" s="128" customFormat="1" ht="15">
      <c r="B1898" s="150" t="s">
        <v>274</v>
      </c>
      <c r="C1898" s="136" t="s">
        <v>296</v>
      </c>
      <c r="D1898" s="16" t="s">
        <v>35</v>
      </c>
      <c r="E1898" s="447" t="str">
        <f>IFERROR(VLOOKUP($C1898,'SINAPI JULHO 2018'!$1:$1048576,2,0),IFERROR(VLOOKUP($C1898,'5-COMP. PROPRIA'!$B$13:$I$518,4,0),""))</f>
        <v>FORNECIMENTO E INSTALAÇÃO BARRAS DE APOIO EM ACO INOX POLIDO, DIAMETRO MINIMO 3 CM</v>
      </c>
      <c r="F1898" s="448"/>
      <c r="G1898" s="448"/>
      <c r="H1898" s="448"/>
      <c r="I1898" s="448"/>
      <c r="J1898" s="449"/>
      <c r="K1898" s="184">
        <v>1</v>
      </c>
      <c r="L1898" s="57" t="s">
        <v>5</v>
      </c>
      <c r="M1898" s="93"/>
      <c r="N1898" s="68"/>
      <c r="O1898" s="115"/>
      <c r="Q1898" s="348"/>
    </row>
    <row r="1899" spans="2:17" s="128" customFormat="1" ht="15">
      <c r="B1899" s="150"/>
      <c r="C1899" s="16"/>
      <c r="D1899" s="16"/>
      <c r="E1899" s="276"/>
      <c r="F1899" s="221"/>
      <c r="G1899" s="221"/>
      <c r="H1899" s="221"/>
      <c r="I1899" s="221"/>
      <c r="J1899" s="222"/>
      <c r="K1899" s="184"/>
      <c r="L1899" s="57"/>
      <c r="M1899" s="93"/>
      <c r="N1899" s="68"/>
      <c r="O1899" s="115"/>
      <c r="Q1899" s="348"/>
    </row>
    <row r="1900" spans="2:17" s="128" customFormat="1" ht="36" customHeight="1">
      <c r="B1900" s="150" t="s">
        <v>297</v>
      </c>
      <c r="C1900" s="16" t="s">
        <v>175</v>
      </c>
      <c r="D1900" s="16" t="s">
        <v>8</v>
      </c>
      <c r="E1900" s="447" t="str">
        <f>IFERROR(VLOOKUP($C1900,'SINAPI JULHO 2018'!$1:$1048576,2,0),IFERROR(VLOOKUP($C1900,'5-COMP. PROPRIA'!$B$13:$I$518,4,0),""))</f>
        <v>DIVISORIA EM MARMORITE ESPESSURA 35MM, CHUMBAMENTO NO PISO E PAREDE COM ARGAMASSA DE CIMENTO E AREIA, POLIMENTO MANUAL, EXCLUSIVE FERRAGENS</v>
      </c>
      <c r="F1900" s="448"/>
      <c r="G1900" s="448"/>
      <c r="H1900" s="448"/>
      <c r="I1900" s="448"/>
      <c r="J1900" s="449"/>
      <c r="K1900" s="184">
        <f>(3.75+(3*1.3))*2.1</f>
        <v>16.065000000000001</v>
      </c>
      <c r="L1900" s="57" t="s">
        <v>145</v>
      </c>
      <c r="M1900" s="93"/>
      <c r="N1900" s="68"/>
      <c r="O1900" s="115"/>
      <c r="Q1900" s="348"/>
    </row>
    <row r="1901" spans="2:17" s="128" customFormat="1" ht="15">
      <c r="B1901" s="150"/>
      <c r="C1901" s="16"/>
      <c r="D1901" s="16"/>
      <c r="E1901" s="276"/>
      <c r="F1901" s="221"/>
      <c r="G1901" s="221"/>
      <c r="H1901" s="221"/>
      <c r="I1901" s="221"/>
      <c r="J1901" s="222"/>
      <c r="K1901" s="184"/>
      <c r="L1901" s="57"/>
      <c r="M1901" s="93"/>
      <c r="N1901" s="68"/>
      <c r="O1901" s="115"/>
      <c r="Q1901" s="348"/>
    </row>
    <row r="1902" spans="2:17" s="128" customFormat="1" ht="15">
      <c r="B1902" s="150"/>
      <c r="C1902" s="16"/>
      <c r="D1902" s="16"/>
      <c r="E1902" s="453" t="s">
        <v>281</v>
      </c>
      <c r="F1902" s="454"/>
      <c r="G1902" s="454"/>
      <c r="H1902" s="454"/>
      <c r="I1902" s="454"/>
      <c r="J1902" s="455"/>
      <c r="K1902" s="184"/>
      <c r="L1902" s="57"/>
      <c r="M1902" s="93"/>
      <c r="N1902" s="68"/>
      <c r="O1902" s="115"/>
      <c r="Q1902" s="348"/>
    </row>
    <row r="1903" spans="2:17" s="128" customFormat="1" ht="15">
      <c r="B1903" s="150"/>
      <c r="C1903" s="16"/>
      <c r="D1903" s="16"/>
      <c r="E1903" s="276"/>
      <c r="F1903" s="221"/>
      <c r="G1903" s="221"/>
      <c r="H1903" s="221"/>
      <c r="I1903" s="221"/>
      <c r="J1903" s="222"/>
      <c r="K1903" s="184"/>
      <c r="L1903" s="57"/>
      <c r="M1903" s="93"/>
      <c r="N1903" s="68"/>
      <c r="O1903" s="115"/>
      <c r="Q1903" s="348"/>
    </row>
    <row r="1904" spans="2:17" s="128" customFormat="1" ht="15">
      <c r="B1904" s="150"/>
      <c r="C1904" s="136" t="s">
        <v>253</v>
      </c>
      <c r="D1904" s="16" t="s">
        <v>8</v>
      </c>
      <c r="E1904" s="447" t="str">
        <f>IFERROR(VLOOKUP($C1904,'SINAPI JULHO 2018'!$1:$1048576,2,0),IFERROR(VLOOKUP($C1904,'5-COMP. PROPRIA'!$B$13:$I$518,4,0),""))</f>
        <v>CAPINA E LIMPEZA MANUAL DE TERRENO</v>
      </c>
      <c r="F1904" s="448"/>
      <c r="G1904" s="448"/>
      <c r="H1904" s="448"/>
      <c r="I1904" s="448"/>
      <c r="J1904" s="449"/>
      <c r="K1904" s="184">
        <f>1.6*0.85</f>
        <v>1.36</v>
      </c>
      <c r="L1904" s="57" t="s">
        <v>145</v>
      </c>
      <c r="M1904" s="93"/>
      <c r="N1904" s="68"/>
      <c r="O1904" s="115"/>
      <c r="Q1904" s="348"/>
    </row>
    <row r="1905" spans="2:17" s="128" customFormat="1" ht="15">
      <c r="B1905" s="150"/>
      <c r="C1905" s="16"/>
      <c r="D1905" s="16"/>
      <c r="E1905" s="276"/>
      <c r="F1905" s="221"/>
      <c r="G1905" s="221"/>
      <c r="H1905" s="221"/>
      <c r="I1905" s="221"/>
      <c r="J1905" s="222"/>
      <c r="K1905" s="184"/>
      <c r="L1905" s="57"/>
      <c r="M1905" s="93"/>
      <c r="N1905" s="68"/>
      <c r="O1905" s="115"/>
      <c r="Q1905" s="348"/>
    </row>
    <row r="1906" spans="2:17" s="128" customFormat="1" ht="29.25" customHeight="1">
      <c r="B1906" s="150"/>
      <c r="C1906" s="16">
        <v>96617</v>
      </c>
      <c r="D1906" s="16" t="s">
        <v>8</v>
      </c>
      <c r="E1906" s="447" t="str">
        <f>IFERROR(VLOOKUP($C1906,'SINAPI JULHO 2018'!$1:$1048576,2,0),IFERROR(VLOOKUP($C1906,'5-COMP. PROPRIA'!$B$13:$I$518,4,0),""))</f>
        <v>LASTRO DE CONCRETO MAGRO, APLICADO EM BLOCOS DE COROAMENTO OU SAPATAS, ESPESSURA DE 3 CM. AF_08/2017</v>
      </c>
      <c r="F1906" s="448"/>
      <c r="G1906" s="448"/>
      <c r="H1906" s="448"/>
      <c r="I1906" s="448"/>
      <c r="J1906" s="449"/>
      <c r="K1906" s="184">
        <f>K1904</f>
        <v>1.36</v>
      </c>
      <c r="L1906" s="57" t="s">
        <v>145</v>
      </c>
      <c r="M1906" s="93"/>
      <c r="N1906" s="68"/>
      <c r="O1906" s="115"/>
      <c r="Q1906" s="348"/>
    </row>
    <row r="1907" spans="2:17" s="128" customFormat="1" ht="15">
      <c r="B1907" s="150"/>
      <c r="C1907" s="16"/>
      <c r="D1907" s="16"/>
      <c r="E1907" s="276"/>
      <c r="F1907" s="221"/>
      <c r="G1907" s="221"/>
      <c r="H1907" s="221"/>
      <c r="I1907" s="221"/>
      <c r="J1907" s="222"/>
      <c r="K1907" s="184"/>
      <c r="L1907" s="57"/>
      <c r="M1907" s="93"/>
      <c r="N1907" s="68"/>
      <c r="O1907" s="115"/>
      <c r="Q1907" s="348"/>
    </row>
    <row r="1908" spans="2:17" s="128" customFormat="1" ht="35.25" customHeight="1">
      <c r="B1908" s="150"/>
      <c r="C1908" s="16">
        <v>94965</v>
      </c>
      <c r="D1908" s="16" t="s">
        <v>8</v>
      </c>
      <c r="E1908" s="447" t="str">
        <f>IFERROR(VLOOKUP($C1908,'SINAPI JULHO 2018'!$1:$1048576,2,0),IFERROR(VLOOKUP($C1908,'5-COMP. PROPRIA'!$B$13:$I$518,4,0),""))</f>
        <v>CONCRETO FCK = 25MPA, TRAÇO 1:2,3:2,7 (CIMENTO/ AREIA MÉDIA/ BRITA 1)  - PREPARO MECÂNICO COM BETONEIRA 400 L. AF_07/2016</v>
      </c>
      <c r="F1908" s="448"/>
      <c r="G1908" s="448"/>
      <c r="H1908" s="448"/>
      <c r="I1908" s="448"/>
      <c r="J1908" s="449"/>
      <c r="K1908" s="184">
        <f>1.6*0.85*0.1</f>
        <v>0.13600000000000001</v>
      </c>
      <c r="L1908" s="57" t="s">
        <v>178</v>
      </c>
      <c r="M1908" s="93"/>
      <c r="N1908" s="68"/>
      <c r="O1908" s="115"/>
      <c r="Q1908" s="348"/>
    </row>
    <row r="1909" spans="2:17" s="128" customFormat="1" ht="15">
      <c r="B1909" s="150"/>
      <c r="C1909" s="16"/>
      <c r="D1909" s="16"/>
      <c r="E1909" s="276"/>
      <c r="F1909" s="221"/>
      <c r="G1909" s="221"/>
      <c r="H1909" s="221"/>
      <c r="I1909" s="221"/>
      <c r="J1909" s="222"/>
      <c r="K1909" s="184"/>
      <c r="L1909" s="57"/>
      <c r="M1909" s="93"/>
      <c r="N1909" s="68"/>
      <c r="O1909" s="115"/>
      <c r="Q1909" s="348"/>
    </row>
    <row r="1910" spans="2:17" s="128" customFormat="1" ht="15">
      <c r="B1910" s="150"/>
      <c r="C1910" s="16" t="s">
        <v>111</v>
      </c>
      <c r="D1910" s="16" t="s">
        <v>8</v>
      </c>
      <c r="E1910" s="447" t="str">
        <f>IFERROR(VLOOKUP($C1910,'SINAPI JULHO 2018'!$1:$1048576,2,0),IFERROR(VLOOKUP($C1910,'5-COMP. PROPRIA'!$B$13:$I$518,4,0),""))</f>
        <v>LANCAMENTO/APLICACAO MANUAL DE CONCRETO EM FUNDACOES</v>
      </c>
      <c r="F1910" s="448"/>
      <c r="G1910" s="448"/>
      <c r="H1910" s="448"/>
      <c r="I1910" s="448"/>
      <c r="J1910" s="449"/>
      <c r="K1910" s="184">
        <f>K1908</f>
        <v>0.13600000000000001</v>
      </c>
      <c r="L1910" s="57" t="s">
        <v>178</v>
      </c>
      <c r="M1910" s="93"/>
      <c r="N1910" s="68"/>
      <c r="O1910" s="115"/>
      <c r="Q1910" s="348"/>
    </row>
    <row r="1911" spans="2:17" s="128" customFormat="1" ht="15">
      <c r="B1911" s="150"/>
      <c r="C1911" s="16"/>
      <c r="D1911" s="16"/>
      <c r="E1911" s="276"/>
      <c r="F1911" s="221"/>
      <c r="G1911" s="221"/>
      <c r="H1911" s="221"/>
      <c r="I1911" s="221"/>
      <c r="J1911" s="222"/>
      <c r="K1911" s="184"/>
      <c r="L1911" s="57"/>
      <c r="M1911" s="93"/>
      <c r="N1911" s="68"/>
      <c r="O1911" s="115"/>
      <c r="Q1911" s="348"/>
    </row>
    <row r="1912" spans="2:17" s="128" customFormat="1" ht="15">
      <c r="B1912" s="150"/>
      <c r="C1912" s="16" t="s">
        <v>282</v>
      </c>
      <c r="D1912" s="16" t="s">
        <v>8</v>
      </c>
      <c r="E1912" s="447" t="str">
        <f>IFERROR(VLOOKUP($C1912,'SINAPI JULHO 2018'!$1:$1048576,2,0),IFERROR(VLOOKUP($C1912,'5-COMP. PROPRIA'!$B$13:$I$518,4,0),""))</f>
        <v>ARMACAO EM TELA DE ACO SOLDADA NERVURADA Q-138, ACO CA-60, 4,2MM, MALHA 10X10CM</v>
      </c>
      <c r="F1912" s="448"/>
      <c r="G1912" s="448"/>
      <c r="H1912" s="448"/>
      <c r="I1912" s="448"/>
      <c r="J1912" s="449"/>
      <c r="K1912" s="184">
        <f>1.6*0.25*0.85</f>
        <v>0.34</v>
      </c>
      <c r="L1912" s="57" t="s">
        <v>283</v>
      </c>
      <c r="M1912" s="93"/>
      <c r="N1912" s="68"/>
      <c r="O1912" s="115"/>
      <c r="Q1912" s="348"/>
    </row>
    <row r="1913" spans="2:17" s="128" customFormat="1" ht="15">
      <c r="B1913" s="150"/>
      <c r="C1913" s="16"/>
      <c r="D1913" s="16"/>
      <c r="E1913" s="276"/>
      <c r="F1913" s="221"/>
      <c r="G1913" s="221"/>
      <c r="H1913" s="221"/>
      <c r="I1913" s="221"/>
      <c r="J1913" s="222"/>
      <c r="K1913" s="184"/>
      <c r="L1913" s="57"/>
      <c r="M1913" s="93"/>
      <c r="N1913" s="68"/>
      <c r="O1913" s="115"/>
      <c r="Q1913" s="348"/>
    </row>
    <row r="1914" spans="2:17" s="128" customFormat="1" ht="15">
      <c r="B1914" s="150"/>
      <c r="C1914" s="16">
        <v>96536</v>
      </c>
      <c r="D1914" s="16" t="s">
        <v>8</v>
      </c>
      <c r="E1914" s="447" t="str">
        <f>IFERROR(VLOOKUP($C1914,'SINAPI JULHO 2018'!$1:$1048576,2,0),IFERROR(VLOOKUP($C1914,'5-COMP. PROPRIA'!$B$13:$I$518,4,0),""))</f>
        <v>FABRICAÇÃO, MONTAGEM E DESMONTAGEM DE FÔRMA PARA VIGA BALDRAME, EM MADEIRA SERRADA, E=25 MM, 4 UTILIZAÇÕES. AF_06/2017</v>
      </c>
      <c r="F1914" s="448"/>
      <c r="G1914" s="448"/>
      <c r="H1914" s="448"/>
      <c r="I1914" s="448"/>
      <c r="J1914" s="449"/>
      <c r="K1914" s="184">
        <f>(0.85*0.15*2)+(1.6*0.15)</f>
        <v>0.495</v>
      </c>
      <c r="L1914" s="57" t="s">
        <v>145</v>
      </c>
      <c r="M1914" s="93"/>
      <c r="N1914" s="68"/>
      <c r="O1914" s="115"/>
      <c r="Q1914" s="348"/>
    </row>
    <row r="1915" spans="2:17" s="128" customFormat="1" ht="15">
      <c r="B1915" s="150"/>
      <c r="C1915" s="16"/>
      <c r="D1915" s="16"/>
      <c r="E1915" s="276"/>
      <c r="F1915" s="221"/>
      <c r="G1915" s="221"/>
      <c r="H1915" s="221"/>
      <c r="I1915" s="221"/>
      <c r="J1915" s="222"/>
      <c r="K1915" s="184"/>
      <c r="L1915" s="57"/>
      <c r="M1915" s="93"/>
      <c r="N1915" s="68"/>
      <c r="O1915" s="115"/>
      <c r="Q1915" s="348"/>
    </row>
    <row r="1916" spans="2:17" s="128" customFormat="1" ht="23.25" customHeight="1">
      <c r="B1916" s="150"/>
      <c r="C1916" s="16" t="s">
        <v>183</v>
      </c>
      <c r="D1916" s="16" t="s">
        <v>8</v>
      </c>
      <c r="E1916" s="447" t="str">
        <f>IFERROR(VLOOKUP($C1916,'SINAPI JULHO 2018'!$1:$1048576,2,0),IFERROR(VLOOKUP($C1916,'5-COMP. PROPRIA'!$B$13:$I$518,4,0),""))</f>
        <v>GUARDA-CORPO  COM CORRIMAO EM FERRO BARRA CHATA 3/16"</v>
      </c>
      <c r="F1916" s="448"/>
      <c r="G1916" s="448"/>
      <c r="H1916" s="448"/>
      <c r="I1916" s="448"/>
      <c r="J1916" s="449"/>
      <c r="K1916" s="184">
        <f>0.85*2</f>
        <v>1.7</v>
      </c>
      <c r="L1916" s="57" t="s">
        <v>172</v>
      </c>
      <c r="M1916" s="93"/>
      <c r="N1916" s="68"/>
      <c r="O1916" s="115"/>
      <c r="Q1916" s="348"/>
    </row>
    <row r="1917" spans="2:17" s="128" customFormat="1" ht="15">
      <c r="B1917" s="150"/>
      <c r="C1917" s="16"/>
      <c r="D1917" s="16"/>
      <c r="E1917" s="276"/>
      <c r="F1917" s="221"/>
      <c r="G1917" s="221"/>
      <c r="H1917" s="221"/>
      <c r="I1917" s="221"/>
      <c r="J1917" s="222"/>
      <c r="K1917" s="184"/>
      <c r="L1917" s="57"/>
      <c r="M1917" s="93"/>
      <c r="N1917" s="68"/>
      <c r="O1917" s="115"/>
      <c r="Q1917" s="348"/>
    </row>
    <row r="1918" spans="2:17" s="128" customFormat="1" ht="29.25" customHeight="1">
      <c r="B1918" s="150" t="s">
        <v>284</v>
      </c>
      <c r="C1918" s="16" t="s">
        <v>210</v>
      </c>
      <c r="D1918" s="16" t="s">
        <v>8</v>
      </c>
      <c r="E1918" s="447" t="str">
        <f>IFERROR(VLOOKUP($C1918,'SINAPI JULHO 2018'!$1:$1048576,2,0),IFERROR(VLOOKUP($C1918,'5-COMP. PROPRIA'!$B$13:$I$518,4,0),""))</f>
        <v>PINTURA ACRILICA EM PISO CIMENTADO, TRES DEMAOS</v>
      </c>
      <c r="F1918" s="448"/>
      <c r="G1918" s="448"/>
      <c r="H1918" s="448"/>
      <c r="I1918" s="448"/>
      <c r="J1918" s="449"/>
      <c r="K1918" s="184">
        <f>K1906*1.1</f>
        <v>1.4960000000000002</v>
      </c>
      <c r="L1918" s="57" t="s">
        <v>145</v>
      </c>
      <c r="M1918" s="93"/>
      <c r="N1918" s="68"/>
      <c r="O1918" s="115"/>
      <c r="Q1918" s="348"/>
    </row>
    <row r="1919" spans="2:17" s="281" customFormat="1" ht="15.75" thickBot="1">
      <c r="B1919" s="157"/>
      <c r="C1919" s="188"/>
      <c r="D1919" s="188"/>
      <c r="E1919" s="277"/>
      <c r="F1919" s="278"/>
      <c r="G1919" s="278"/>
      <c r="H1919" s="278"/>
      <c r="I1919" s="278"/>
      <c r="J1919" s="279"/>
      <c r="K1919" s="262"/>
      <c r="L1919" s="263"/>
      <c r="M1919" s="301"/>
      <c r="N1919" s="347"/>
      <c r="O1919" s="381"/>
      <c r="Q1919" s="382"/>
    </row>
    <row r="1920" spans="2:17" s="320" customFormat="1" ht="15.75" thickBot="1">
      <c r="B1920" s="322"/>
      <c r="C1920" s="323"/>
      <c r="D1920" s="379"/>
      <c r="E1920" s="459" t="s">
        <v>298</v>
      </c>
      <c r="F1920" s="460"/>
      <c r="G1920" s="460"/>
      <c r="H1920" s="460"/>
      <c r="I1920" s="460"/>
      <c r="J1920" s="461"/>
      <c r="K1920" s="350"/>
      <c r="L1920" s="325"/>
      <c r="M1920" s="352"/>
      <c r="N1920" s="318"/>
      <c r="O1920" s="319"/>
      <c r="Q1920" s="321"/>
    </row>
    <row r="1921" spans="2:17" s="281" customFormat="1" ht="15">
      <c r="B1921" s="157"/>
      <c r="C1921" s="188"/>
      <c r="D1921" s="188"/>
      <c r="E1921" s="277"/>
      <c r="F1921" s="278"/>
      <c r="G1921" s="278"/>
      <c r="H1921" s="278"/>
      <c r="I1921" s="278"/>
      <c r="J1921" s="279"/>
      <c r="K1921" s="262"/>
      <c r="L1921" s="263"/>
      <c r="M1921" s="301"/>
      <c r="N1921" s="347"/>
      <c r="O1921" s="381"/>
      <c r="Q1921" s="382"/>
    </row>
    <row r="1922" spans="2:17" s="281" customFormat="1" ht="15">
      <c r="B1922" s="157"/>
      <c r="C1922" s="26"/>
      <c r="D1922" s="26"/>
      <c r="E1922" s="453" t="s">
        <v>216</v>
      </c>
      <c r="F1922" s="454"/>
      <c r="G1922" s="454"/>
      <c r="H1922" s="454"/>
      <c r="I1922" s="454"/>
      <c r="J1922" s="455"/>
      <c r="K1922" s="180"/>
      <c r="L1922" s="58"/>
      <c r="M1922" s="93"/>
      <c r="N1922" s="68"/>
      <c r="O1922" s="381"/>
      <c r="Q1922" s="382"/>
    </row>
    <row r="1923" spans="2:17" s="281" customFormat="1" ht="15">
      <c r="B1923" s="157"/>
      <c r="C1923" s="26"/>
      <c r="D1923" s="26"/>
      <c r="E1923" s="266"/>
      <c r="F1923" s="99"/>
      <c r="G1923" s="99"/>
      <c r="H1923" s="99"/>
      <c r="I1923" s="99"/>
      <c r="J1923" s="267"/>
      <c r="K1923" s="180"/>
      <c r="L1923" s="58"/>
      <c r="M1923" s="93"/>
      <c r="N1923" s="68"/>
      <c r="O1923" s="381"/>
      <c r="Q1923" s="382"/>
    </row>
    <row r="1924" spans="2:17" s="281" customFormat="1" ht="46.5" customHeight="1">
      <c r="B1924" s="157"/>
      <c r="C1924" s="94" t="str">
        <f>'5-COMP. PROPRIA'!B197</f>
        <v>CP-FUN-03</v>
      </c>
      <c r="D1924" s="16" t="s">
        <v>35</v>
      </c>
      <c r="E1924" s="447" t="str">
        <f>IFERROR(VLOOKUP($C1924,'SINAPI JULHO 2018'!$1:$1048576,2,0),IFERROR(VLOOKUP($C1924,'5-COMP. PROPRIA'!$B$13:$I$518,4,0),""))</f>
        <v>ESTACA ESCAVADA MECANICAMENTE, COM 20 CM DE DIÂMETRO E 1,5 M DE PROFUNDIDADE, ARAMADA COM 4 BARRAS DE 10,0 MM E ESTRIBOS DE 5,0 MM A CADA 15 CM, CONCRETO 20 MPA, PREPARO MECÂNICO EM BETONEIRA.</v>
      </c>
      <c r="F1924" s="448"/>
      <c r="G1924" s="448"/>
      <c r="H1924" s="448"/>
      <c r="I1924" s="448"/>
      <c r="J1924" s="449"/>
      <c r="K1924" s="184">
        <f>SUM(K1926:K1926)</f>
        <v>72</v>
      </c>
      <c r="L1924" s="58" t="s">
        <v>5</v>
      </c>
      <c r="M1924" s="99"/>
      <c r="N1924" s="58"/>
      <c r="O1924" s="381"/>
      <c r="Q1924" s="382"/>
    </row>
    <row r="1925" spans="2:17" s="281" customFormat="1">
      <c r="B1925" s="157" t="s">
        <v>299</v>
      </c>
      <c r="C1925" s="26"/>
      <c r="D1925" s="26"/>
      <c r="E1925" s="76" t="s">
        <v>300</v>
      </c>
      <c r="F1925" s="79" t="s">
        <v>301</v>
      </c>
      <c r="G1925" s="79" t="s">
        <v>302</v>
      </c>
      <c r="H1925" s="79" t="s">
        <v>303</v>
      </c>
      <c r="I1925" s="51"/>
      <c r="J1925" s="102"/>
      <c r="K1925" s="187"/>
      <c r="L1925" s="3"/>
      <c r="M1925" s="3"/>
      <c r="N1925" s="104"/>
      <c r="O1925" s="381"/>
      <c r="Q1925" s="382"/>
    </row>
    <row r="1926" spans="2:17" s="281" customFormat="1">
      <c r="B1926" s="157"/>
      <c r="C1926" s="16"/>
      <c r="D1926" s="16"/>
      <c r="E1926" s="111">
        <v>12</v>
      </c>
      <c r="F1926" s="101">
        <v>12</v>
      </c>
      <c r="G1926" s="101">
        <v>12</v>
      </c>
      <c r="H1926" s="101">
        <v>2</v>
      </c>
      <c r="I1926" s="51"/>
      <c r="J1926" s="102"/>
      <c r="K1926" s="70">
        <f>SUM(E1926:G1926)*H1926</f>
        <v>72</v>
      </c>
      <c r="L1926" s="58"/>
      <c r="M1926" s="103"/>
      <c r="N1926" s="104"/>
      <c r="O1926" s="381"/>
      <c r="Q1926" s="382"/>
    </row>
    <row r="1927" spans="2:17" s="281" customFormat="1">
      <c r="B1927" s="157"/>
      <c r="C1927" s="16"/>
      <c r="D1927" s="16"/>
      <c r="E1927" s="112"/>
      <c r="F1927" s="51"/>
      <c r="G1927" s="51"/>
      <c r="H1927" s="51"/>
      <c r="I1927" s="51"/>
      <c r="J1927" s="102"/>
      <c r="K1927" s="70"/>
      <c r="L1927" s="58"/>
      <c r="M1927" s="103"/>
      <c r="N1927" s="104"/>
      <c r="O1927" s="381"/>
      <c r="Q1927" s="382"/>
    </row>
    <row r="1928" spans="2:17" ht="15">
      <c r="B1928" s="157"/>
      <c r="C1928" s="91"/>
      <c r="D1928" s="91"/>
      <c r="E1928" s="453" t="s">
        <v>103</v>
      </c>
      <c r="F1928" s="454"/>
      <c r="G1928" s="454"/>
      <c r="H1928" s="454"/>
      <c r="I1928" s="454"/>
      <c r="J1928" s="455"/>
      <c r="K1928" s="183"/>
      <c r="L1928" s="56"/>
      <c r="M1928" s="93"/>
      <c r="N1928" s="68"/>
      <c r="O1928" s="115"/>
      <c r="Q1928" s="127"/>
    </row>
    <row r="1929" spans="2:17" ht="15">
      <c r="B1929" s="157"/>
      <c r="C1929" s="91"/>
      <c r="D1929" s="91"/>
      <c r="E1929" s="266"/>
      <c r="F1929" s="99"/>
      <c r="G1929" s="99"/>
      <c r="H1929" s="123"/>
      <c r="J1929" s="117"/>
      <c r="K1929" s="183"/>
      <c r="L1929" s="56"/>
      <c r="M1929" s="93"/>
      <c r="N1929" s="68"/>
      <c r="O1929" s="115"/>
      <c r="Q1929" s="127"/>
    </row>
    <row r="1930" spans="2:17" ht="26.25" customHeight="1">
      <c r="B1930" s="157"/>
      <c r="C1930" s="26">
        <v>96527</v>
      </c>
      <c r="D1930" s="16" t="s">
        <v>8</v>
      </c>
      <c r="E1930" s="447" t="str">
        <f>IFERROR(VLOOKUP($C1930,'SINAPI JULHO 2018'!$1:$1048576,2,0),IFERROR(VLOOKUP($C1930,'5-COMP. PROPRIA'!$B$13:$I$518,4,0),""))</f>
        <v>ESCAVAÇÃO MANUAL DE VALA PARA VIGA BALDRAME, COM PREVISÃO DE FÔRMA. AF_06/2017</v>
      </c>
      <c r="F1930" s="448"/>
      <c r="G1930" s="448"/>
      <c r="H1930" s="448"/>
      <c r="I1930" s="448"/>
      <c r="J1930" s="449"/>
      <c r="K1930" s="184">
        <f>SUM(K1932:K1932)*1.3</f>
        <v>63.363299999999995</v>
      </c>
      <c r="L1930" s="58" t="s">
        <v>65</v>
      </c>
      <c r="M1930" s="93"/>
      <c r="N1930" s="68"/>
      <c r="O1930" s="115"/>
      <c r="Q1930" s="127"/>
    </row>
    <row r="1931" spans="2:17" ht="25.5">
      <c r="B1931" s="157"/>
      <c r="E1931" s="76" t="s">
        <v>106</v>
      </c>
      <c r="F1931" s="17" t="s">
        <v>107</v>
      </c>
      <c r="G1931" s="17" t="s">
        <v>108</v>
      </c>
      <c r="H1931" s="67" t="s">
        <v>47</v>
      </c>
      <c r="I1931" s="221"/>
      <c r="J1931" s="222"/>
      <c r="K1931" s="186"/>
      <c r="M1931" s="93"/>
      <c r="N1931" s="68"/>
      <c r="O1931" s="115"/>
      <c r="Q1931" s="127"/>
    </row>
    <row r="1932" spans="2:17">
      <c r="B1932" s="157"/>
      <c r="E1932" s="105">
        <f>E1940</f>
        <v>211</v>
      </c>
      <c r="F1932" s="105">
        <f>F1940+0.2</f>
        <v>0.35</v>
      </c>
      <c r="G1932" s="105">
        <f>G1940+0.03</f>
        <v>0.32999999999999996</v>
      </c>
      <c r="H1932" s="105">
        <f>H1936</f>
        <v>2</v>
      </c>
      <c r="J1932" s="102"/>
      <c r="K1932" s="70">
        <f>E1932*F1932*G1932*H1932</f>
        <v>48.740999999999993</v>
      </c>
      <c r="M1932" s="93"/>
      <c r="N1932" s="68"/>
      <c r="O1932" s="115"/>
      <c r="Q1932" s="127"/>
    </row>
    <row r="1933" spans="2:17">
      <c r="B1933" s="157"/>
      <c r="E1933" s="118"/>
      <c r="J1933" s="102"/>
      <c r="K1933" s="183"/>
      <c r="M1933" s="93"/>
      <c r="N1933" s="68"/>
      <c r="O1933" s="115"/>
      <c r="Q1933" s="127"/>
    </row>
    <row r="1934" spans="2:17" ht="39" customHeight="1">
      <c r="B1934" s="157"/>
      <c r="C1934" s="26">
        <v>96617</v>
      </c>
      <c r="D1934" s="16" t="s">
        <v>8</v>
      </c>
      <c r="E1934" s="447" t="str">
        <f>IFERROR(VLOOKUP($C1934,'SINAPI JULHO 2018'!$1:$1048576,2,0),IFERROR(VLOOKUP($C1934,'5-COMP. PROPRIA'!$B$13:$I$518,4,0),""))</f>
        <v>LASTRO DE CONCRETO MAGRO, APLICADO EM BLOCOS DE COROAMENTO OU SAPATAS, ESPESSURA DE 3 CM. AF_08/2017</v>
      </c>
      <c r="F1934" s="448"/>
      <c r="G1934" s="448"/>
      <c r="H1934" s="448"/>
      <c r="I1934" s="448"/>
      <c r="J1934" s="449"/>
      <c r="K1934" s="184">
        <f>SUM(K1936:K1936)</f>
        <v>63.3</v>
      </c>
      <c r="L1934" s="57" t="s">
        <v>25</v>
      </c>
      <c r="M1934" s="52">
        <f>K1934*0.03</f>
        <v>1.8989999999999998</v>
      </c>
      <c r="N1934" s="68"/>
      <c r="O1934" s="115"/>
      <c r="Q1934" s="127"/>
    </row>
    <row r="1935" spans="2:17" ht="25.5">
      <c r="B1935" s="157"/>
      <c r="E1935" s="76" t="s">
        <v>106</v>
      </c>
      <c r="F1935" s="17" t="s">
        <v>107</v>
      </c>
      <c r="H1935" s="67" t="s">
        <v>47</v>
      </c>
      <c r="J1935" s="102"/>
      <c r="N1935" s="68"/>
      <c r="O1935" s="115"/>
      <c r="Q1935" s="127"/>
    </row>
    <row r="1936" spans="2:17">
      <c r="B1936" s="157"/>
      <c r="E1936" s="105">
        <f>E1932</f>
        <v>211</v>
      </c>
      <c r="F1936" s="105">
        <f>F1940</f>
        <v>0.15</v>
      </c>
      <c r="H1936" s="105">
        <f>H1940</f>
        <v>2</v>
      </c>
      <c r="J1936" s="102"/>
      <c r="K1936" s="70">
        <f>H1936*F1936*E1936</f>
        <v>63.3</v>
      </c>
      <c r="N1936" s="68"/>
      <c r="O1936" s="115"/>
      <c r="Q1936" s="127"/>
    </row>
    <row r="1937" spans="2:17">
      <c r="B1937" s="157"/>
      <c r="E1937" s="118"/>
      <c r="J1937" s="102"/>
      <c r="K1937" s="183"/>
      <c r="M1937" s="93"/>
      <c r="N1937" s="68"/>
      <c r="O1937" s="115"/>
      <c r="Q1937" s="127"/>
    </row>
    <row r="1938" spans="2:17" ht="33" customHeight="1">
      <c r="B1938" s="157"/>
      <c r="C1938" s="26">
        <v>94965</v>
      </c>
      <c r="D1938" s="16" t="s">
        <v>8</v>
      </c>
      <c r="E1938" s="447" t="str">
        <f>IFERROR(VLOOKUP($C1938,'SINAPI JULHO 2018'!$1:$1048576,2,0),IFERROR(VLOOKUP($C1938,'5-COMP. PROPRIA'!$B$13:$I$518,4,0),""))</f>
        <v>CONCRETO FCK = 25MPA, TRAÇO 1:2,3:2,7 (CIMENTO/ AREIA MÉDIA/ BRITA 1)  - PREPARO MECÂNICO COM BETONEIRA 400 L. AF_07/2016</v>
      </c>
      <c r="F1938" s="448"/>
      <c r="G1938" s="448"/>
      <c r="H1938" s="448"/>
      <c r="I1938" s="448"/>
      <c r="J1938" s="449"/>
      <c r="K1938" s="184">
        <f>SUM(K1940:K1940)</f>
        <v>18.989999999999998</v>
      </c>
      <c r="L1938" s="58" t="s">
        <v>65</v>
      </c>
      <c r="M1938" s="93"/>
      <c r="N1938" s="68"/>
      <c r="O1938" s="115"/>
      <c r="Q1938" s="127"/>
    </row>
    <row r="1939" spans="2:17" ht="25.5">
      <c r="B1939" s="157"/>
      <c r="E1939" s="76" t="s">
        <v>106</v>
      </c>
      <c r="F1939" s="17" t="s">
        <v>107</v>
      </c>
      <c r="G1939" s="17" t="s">
        <v>108</v>
      </c>
      <c r="H1939" s="67" t="s">
        <v>47</v>
      </c>
      <c r="I1939" s="221"/>
      <c r="J1939" s="222"/>
      <c r="K1939" s="183"/>
      <c r="M1939" s="93"/>
      <c r="N1939" s="68"/>
      <c r="O1939" s="115"/>
      <c r="Q1939" s="127"/>
    </row>
    <row r="1940" spans="2:17">
      <c r="B1940" s="157"/>
      <c r="E1940" s="111">
        <f>(35*5)+(12*3)</f>
        <v>211</v>
      </c>
      <c r="F1940" s="74">
        <v>0.15</v>
      </c>
      <c r="G1940" s="74">
        <v>0.3</v>
      </c>
      <c r="H1940" s="74">
        <v>2</v>
      </c>
      <c r="J1940" s="102"/>
      <c r="K1940" s="70">
        <f>E1940*F1940*G1940*H1940</f>
        <v>18.989999999999998</v>
      </c>
      <c r="M1940" s="93"/>
      <c r="N1940" s="68"/>
      <c r="O1940" s="115"/>
      <c r="Q1940" s="127"/>
    </row>
    <row r="1941" spans="2:17">
      <c r="B1941" s="157"/>
      <c r="E1941" s="112"/>
      <c r="J1941" s="102"/>
      <c r="K1941" s="183"/>
      <c r="M1941" s="93"/>
      <c r="N1941" s="68"/>
      <c r="O1941" s="115"/>
      <c r="Q1941" s="127"/>
    </row>
    <row r="1942" spans="2:17" ht="15">
      <c r="B1942" s="157"/>
      <c r="C1942" s="26" t="s">
        <v>111</v>
      </c>
      <c r="D1942" s="16" t="s">
        <v>8</v>
      </c>
      <c r="E1942" s="447" t="str">
        <f>IFERROR(VLOOKUP($C1942,'SINAPI JULHO 2018'!$1:$1048576,2,0),IFERROR(VLOOKUP($C1942,'5-COMP. PROPRIA'!$B$13:$I$518,4,0),""))</f>
        <v>LANCAMENTO/APLICACAO MANUAL DE CONCRETO EM FUNDACOES</v>
      </c>
      <c r="F1942" s="448"/>
      <c r="G1942" s="448"/>
      <c r="H1942" s="448"/>
      <c r="I1942" s="448"/>
      <c r="J1942" s="449"/>
      <c r="K1942" s="184">
        <f>K1938</f>
        <v>18.989999999999998</v>
      </c>
      <c r="L1942" s="58" t="s">
        <v>65</v>
      </c>
      <c r="M1942" s="93"/>
      <c r="N1942" s="68"/>
      <c r="O1942" s="115"/>
      <c r="Q1942" s="127"/>
    </row>
    <row r="1943" spans="2:17">
      <c r="B1943" s="157"/>
      <c r="E1943" s="118"/>
      <c r="J1943" s="102"/>
      <c r="M1943" s="93"/>
      <c r="N1943" s="68"/>
      <c r="O1943" s="115"/>
      <c r="Q1943" s="127"/>
    </row>
    <row r="1944" spans="2:17" ht="40.5" customHeight="1">
      <c r="B1944" s="157" t="s">
        <v>219</v>
      </c>
      <c r="C1944" s="26">
        <v>96543</v>
      </c>
      <c r="D1944" s="16" t="s">
        <v>8</v>
      </c>
      <c r="E1944" s="447" t="str">
        <f>IFERROR(VLOOKUP($C1944,'SINAPI JULHO 2018'!$1:$1048576,2,0),IFERROR(VLOOKUP($C1944,'5-COMP. PROPRIA'!$B$13:$I$518,4,0),""))</f>
        <v>ARMAÇÃO DE BLOCO, VIGA BALDRAME E SAPATA UTILIZANDO AÇO CA-60 DE 5 MM - MONTAGEM. AF_06/2017</v>
      </c>
      <c r="F1944" s="448"/>
      <c r="G1944" s="448"/>
      <c r="H1944" s="448"/>
      <c r="I1944" s="448"/>
      <c r="J1944" s="449"/>
      <c r="K1944" s="184">
        <f>SUM(K1947:K1947)</f>
        <v>411.7410041666667</v>
      </c>
      <c r="L1944" s="58" t="s">
        <v>92</v>
      </c>
      <c r="M1944" s="52"/>
      <c r="N1944" s="68"/>
      <c r="O1944" s="115"/>
      <c r="Q1944" s="127"/>
    </row>
    <row r="1945" spans="2:17">
      <c r="B1945" s="157"/>
      <c r="E1945" s="118"/>
      <c r="H1945" s="70" t="s">
        <v>112</v>
      </c>
      <c r="I1945" s="69">
        <f>K1944/K1938</f>
        <v>21.681990740740744</v>
      </c>
      <c r="J1945" s="102"/>
      <c r="K1945" s="70"/>
      <c r="M1945" s="93"/>
      <c r="N1945" s="68"/>
      <c r="O1945" s="115"/>
      <c r="Q1945" s="127"/>
    </row>
    <row r="1946" spans="2:17">
      <c r="B1946" s="157"/>
      <c r="E1946" s="79" t="s">
        <v>93</v>
      </c>
      <c r="F1946" s="67" t="s">
        <v>27</v>
      </c>
      <c r="G1946" s="67" t="s">
        <v>94</v>
      </c>
      <c r="H1946" s="61" t="s">
        <v>95</v>
      </c>
      <c r="I1946" s="17" t="s">
        <v>54</v>
      </c>
      <c r="J1946" s="102"/>
      <c r="K1946" s="70"/>
      <c r="M1946" s="93"/>
      <c r="N1946" s="68"/>
      <c r="O1946" s="115"/>
      <c r="Q1946" s="127"/>
    </row>
    <row r="1947" spans="2:17">
      <c r="B1947" s="157"/>
      <c r="E1947" s="101">
        <v>5</v>
      </c>
      <c r="F1947" s="51">
        <f>(F1940-0.06)*2+(G1940-0.06)*2+0.1</f>
        <v>0.7599999999999999</v>
      </c>
      <c r="G1947" s="51">
        <f>E1932/0.12</f>
        <v>1758.3333333333335</v>
      </c>
      <c r="H1947" s="51">
        <f>((E1947/1000)*(E1947/1000)*3.14*0.25)*7850</f>
        <v>0.15405625000000003</v>
      </c>
      <c r="I1947" s="51">
        <f>H1940</f>
        <v>2</v>
      </c>
      <c r="J1947" s="102"/>
      <c r="K1947" s="70">
        <f>G1947*H1947*F1947*I1947</f>
        <v>411.7410041666667</v>
      </c>
      <c r="M1947" s="93"/>
      <c r="N1947" s="68"/>
      <c r="O1947" s="115"/>
      <c r="Q1947" s="127"/>
    </row>
    <row r="1948" spans="2:17">
      <c r="B1948" s="157"/>
      <c r="E1948" s="118"/>
      <c r="J1948" s="102"/>
      <c r="M1948" s="93"/>
      <c r="N1948" s="68"/>
      <c r="O1948" s="115"/>
      <c r="Q1948" s="127"/>
    </row>
    <row r="1949" spans="2:17" ht="47.25" customHeight="1">
      <c r="B1949" s="157"/>
      <c r="C1949" s="26">
        <v>92762</v>
      </c>
      <c r="D1949" s="16" t="s">
        <v>8</v>
      </c>
      <c r="E1949" s="447" t="str">
        <f>IFERROR(VLOOKUP($C1949,'SINAPI JULHO 2018'!$1:$1048576,2,0),IFERROR(VLOOKUP($C1949,'5-COMP. PROPRIA'!$B$13:$I$518,4,0),""))</f>
        <v>ARMAÇÃO DE PILAR OU VIGA DE UMA ESTRUTURA CONVENCIONAL DE CONCRETO ARMADO EM UM EDIFÍCIO DE MÚLTIPLOS PAVIMENTOS UTILIZANDO AÇO CA-50 DE 10,0 MM - MONTAGEM. AF_12/2015</v>
      </c>
      <c r="F1949" s="448"/>
      <c r="G1949" s="448"/>
      <c r="H1949" s="448"/>
      <c r="I1949" s="448"/>
      <c r="J1949" s="449"/>
      <c r="K1949" s="184">
        <f>SUM(K1952:K1952)</f>
        <v>1040.1878000000002</v>
      </c>
      <c r="L1949" s="58" t="s">
        <v>92</v>
      </c>
      <c r="M1949" s="52"/>
      <c r="N1949" s="68"/>
      <c r="O1949" s="115"/>
      <c r="Q1949" s="127"/>
    </row>
    <row r="1950" spans="2:17">
      <c r="B1950" s="157"/>
      <c r="E1950" s="118"/>
      <c r="H1950" s="70" t="s">
        <v>112</v>
      </c>
      <c r="I1950" s="69">
        <f>K1949/K1942</f>
        <v>54.77555555555557</v>
      </c>
      <c r="J1950" s="102"/>
      <c r="K1950" s="70"/>
      <c r="M1950" s="93"/>
      <c r="N1950" s="68"/>
      <c r="O1950" s="115"/>
      <c r="Q1950" s="127"/>
    </row>
    <row r="1951" spans="2:17">
      <c r="B1951" s="157"/>
      <c r="E1951" s="79" t="s">
        <v>93</v>
      </c>
      <c r="F1951" s="67" t="s">
        <v>27</v>
      </c>
      <c r="G1951" s="67" t="s">
        <v>28</v>
      </c>
      <c r="H1951" s="61" t="s">
        <v>95</v>
      </c>
      <c r="I1951" s="17" t="s">
        <v>54</v>
      </c>
      <c r="J1951" s="102"/>
      <c r="K1951" s="70"/>
      <c r="M1951" s="93"/>
      <c r="N1951" s="68"/>
      <c r="O1951" s="115"/>
      <c r="Q1951" s="127"/>
    </row>
    <row r="1952" spans="2:17">
      <c r="B1952" s="157"/>
      <c r="E1952" s="101">
        <v>10</v>
      </c>
      <c r="F1952" s="51">
        <f>E1940</f>
        <v>211</v>
      </c>
      <c r="G1952" s="51">
        <v>4</v>
      </c>
      <c r="H1952" s="51">
        <f>((E1952/1000)*(E1952/1000)*3.14*0.25)*7850</f>
        <v>0.61622500000000013</v>
      </c>
      <c r="I1952" s="51">
        <v>2</v>
      </c>
      <c r="J1952" s="102"/>
      <c r="K1952" s="70">
        <f>G1952*H1952*F1952*I1952</f>
        <v>1040.1878000000002</v>
      </c>
      <c r="M1952" s="93"/>
      <c r="N1952" s="68"/>
      <c r="O1952" s="115"/>
      <c r="Q1952" s="127"/>
    </row>
    <row r="1953" spans="2:17">
      <c r="B1953" s="157"/>
      <c r="E1953" s="118"/>
      <c r="J1953" s="102"/>
      <c r="K1953" s="183"/>
      <c r="M1953" s="93"/>
      <c r="N1953" s="68"/>
      <c r="O1953" s="115"/>
      <c r="Q1953" s="127"/>
    </row>
    <row r="1954" spans="2:17" ht="38.25" customHeight="1">
      <c r="B1954" s="157"/>
      <c r="C1954" s="26">
        <v>96536</v>
      </c>
      <c r="D1954" s="16" t="s">
        <v>8</v>
      </c>
      <c r="E1954" s="447" t="str">
        <f>IFERROR(VLOOKUP($C1954,'SINAPI JULHO 2018'!$1:$1048576,2,0),IFERROR(VLOOKUP($C1954,'5-COMP. PROPRIA'!$B$13:$I$518,4,0),""))</f>
        <v>FABRICAÇÃO, MONTAGEM E DESMONTAGEM DE FÔRMA PARA VIGA BALDRAME, EM MADEIRA SERRADA, E=25 MM, 4 UTILIZAÇÕES. AF_06/2017</v>
      </c>
      <c r="F1954" s="448"/>
      <c r="G1954" s="448"/>
      <c r="H1954" s="448"/>
      <c r="I1954" s="448"/>
      <c r="J1954" s="449"/>
      <c r="K1954" s="184">
        <f>SUM(K1956:K1956)</f>
        <v>253.2</v>
      </c>
      <c r="L1954" s="58" t="s">
        <v>25</v>
      </c>
      <c r="M1954" s="93"/>
      <c r="N1954" s="68"/>
      <c r="O1954" s="115"/>
      <c r="Q1954" s="127"/>
    </row>
    <row r="1955" spans="2:17" ht="25.5">
      <c r="B1955" s="157"/>
      <c r="D1955" s="51"/>
      <c r="E1955" s="76" t="s">
        <v>106</v>
      </c>
      <c r="F1955" s="17" t="s">
        <v>107</v>
      </c>
      <c r="G1955" s="17" t="s">
        <v>108</v>
      </c>
      <c r="H1955" s="67" t="s">
        <v>47</v>
      </c>
      <c r="I1955" s="221"/>
      <c r="J1955" s="222"/>
      <c r="K1955" s="186"/>
      <c r="L1955" s="100"/>
      <c r="M1955" s="93"/>
      <c r="N1955" s="68"/>
      <c r="O1955" s="115"/>
      <c r="Q1955" s="127"/>
    </row>
    <row r="1956" spans="2:17">
      <c r="B1956" s="157"/>
      <c r="E1956" s="118">
        <f>E1940</f>
        <v>211</v>
      </c>
      <c r="F1956" s="51">
        <f>F1940</f>
        <v>0.15</v>
      </c>
      <c r="G1956" s="51">
        <f>G1940</f>
        <v>0.3</v>
      </c>
      <c r="H1956" s="51">
        <f>H1940</f>
        <v>2</v>
      </c>
      <c r="J1956" s="102"/>
      <c r="K1956" s="70">
        <f>E1956*(G1956*2)*H1956</f>
        <v>253.2</v>
      </c>
      <c r="M1956" s="93"/>
      <c r="N1956" s="68"/>
      <c r="O1956" s="115"/>
      <c r="Q1956" s="127"/>
    </row>
    <row r="1957" spans="2:17">
      <c r="B1957" s="157"/>
      <c r="E1957" s="118"/>
      <c r="J1957" s="102"/>
      <c r="M1957" s="93"/>
      <c r="N1957" s="68"/>
      <c r="O1957" s="115"/>
      <c r="Q1957" s="127"/>
    </row>
    <row r="1958" spans="2:17" ht="21" customHeight="1">
      <c r="B1958" s="157"/>
      <c r="C1958" s="16">
        <v>93382</v>
      </c>
      <c r="D1958" s="16" t="s">
        <v>8</v>
      </c>
      <c r="E1958" s="447" t="str">
        <f>IFERROR(VLOOKUP($C1958,'SINAPI JULHO 2018'!$1:$1048576,2,0),IFERROR(VLOOKUP($C1958,'5-COMP. PROPRIA'!$B$13:$I$518,4,0),""))</f>
        <v>REATERRO MANUAL DE VALAS COM COMPACTAÇÃO MECANIZADA. AF_04/2016</v>
      </c>
      <c r="F1958" s="448"/>
      <c r="G1958" s="448"/>
      <c r="H1958" s="448"/>
      <c r="I1958" s="448"/>
      <c r="J1958" s="449"/>
      <c r="K1958" s="184">
        <f>SUM(K1960)</f>
        <v>44.3733</v>
      </c>
      <c r="L1958" s="58" t="s">
        <v>65</v>
      </c>
      <c r="M1958" s="93"/>
      <c r="N1958" s="68"/>
      <c r="O1958" s="115"/>
      <c r="Q1958" s="127"/>
    </row>
    <row r="1959" spans="2:17" ht="38.25">
      <c r="B1959" s="157"/>
      <c r="E1959" s="79" t="s">
        <v>115</v>
      </c>
      <c r="F1959" s="67" t="s">
        <v>116</v>
      </c>
      <c r="J1959" s="102"/>
      <c r="K1959" s="184"/>
      <c r="M1959" s="93"/>
      <c r="N1959" s="68"/>
      <c r="O1959" s="115"/>
      <c r="Q1959" s="127"/>
    </row>
    <row r="1960" spans="2:17">
      <c r="B1960" s="157"/>
      <c r="E1960" s="112">
        <f>K1930</f>
        <v>63.363299999999995</v>
      </c>
      <c r="F1960" s="51">
        <f>K1938</f>
        <v>18.989999999999998</v>
      </c>
      <c r="J1960" s="102"/>
      <c r="K1960" s="70">
        <f>E1960-F1960</f>
        <v>44.3733</v>
      </c>
      <c r="M1960" s="93"/>
      <c r="N1960" s="68"/>
      <c r="O1960" s="115"/>
      <c r="Q1960" s="127"/>
    </row>
    <row r="1961" spans="2:17">
      <c r="B1961" s="157"/>
      <c r="E1961" s="118"/>
      <c r="J1961" s="102"/>
      <c r="M1961" s="93"/>
      <c r="N1961" s="68"/>
      <c r="O1961" s="115"/>
      <c r="Q1961" s="127"/>
    </row>
    <row r="1962" spans="2:17" ht="29.25" customHeight="1">
      <c r="B1962" s="157" t="s">
        <v>220</v>
      </c>
      <c r="C1962" s="16" t="s">
        <v>117</v>
      </c>
      <c r="D1962" s="16" t="s">
        <v>8</v>
      </c>
      <c r="E1962" s="447" t="str">
        <f>IFERROR(VLOOKUP($C1962,'SINAPI JULHO 2018'!$1:$1048576,2,0),IFERROR(VLOOKUP($C1962,'5-COMP. PROPRIA'!$B$13:$I$518,4,0),""))</f>
        <v>IMPERMEABILIZACAO DE ESTRUTURAS ENTERRADAS, COM TINTA ASFALTICA, DUAS DEMAOS.</v>
      </c>
      <c r="F1962" s="448"/>
      <c r="G1962" s="448"/>
      <c r="H1962" s="448"/>
      <c r="I1962" s="448"/>
      <c r="J1962" s="449"/>
      <c r="K1962" s="184">
        <f>K1954+((E1956*F1956)*H1956)</f>
        <v>316.5</v>
      </c>
      <c r="L1962" s="57" t="s">
        <v>25</v>
      </c>
      <c r="M1962" s="52"/>
      <c r="N1962" s="68"/>
      <c r="O1962" s="115"/>
      <c r="Q1962" s="127"/>
    </row>
    <row r="1963" spans="2:17">
      <c r="B1963" s="157"/>
      <c r="E1963" s="112"/>
      <c r="J1963" s="102"/>
      <c r="K1963" s="183"/>
      <c r="L1963" s="57"/>
      <c r="M1963" s="93"/>
      <c r="N1963" s="68"/>
      <c r="O1963" s="115"/>
      <c r="Q1963" s="127"/>
    </row>
    <row r="1964" spans="2:17" ht="15">
      <c r="B1964" s="157"/>
      <c r="C1964" s="26">
        <v>72897</v>
      </c>
      <c r="D1964" s="16" t="s">
        <v>8</v>
      </c>
      <c r="E1964" s="447" t="str">
        <f>IFERROR(VLOOKUP($C1964,'SINAPI JULHO 2018'!$1:$1048576,2,0),IFERROR(VLOOKUP($C1964,'5-COMP. PROPRIA'!$B$13:$I$518,4,0),""))</f>
        <v>CARGA MANUAL DE ENTULHO EM CAMINHAO BASCULANTE 6 M3</v>
      </c>
      <c r="F1964" s="448"/>
      <c r="G1964" s="448"/>
      <c r="H1964" s="448"/>
      <c r="I1964" s="448"/>
      <c r="J1964" s="449"/>
      <c r="K1964" s="184">
        <f>SUM(K1966:K1966)</f>
        <v>24.686999999999998</v>
      </c>
      <c r="L1964" s="58" t="s">
        <v>65</v>
      </c>
      <c r="M1964" s="93"/>
      <c r="N1964" s="68"/>
      <c r="O1964" s="115"/>
      <c r="Q1964" s="127"/>
    </row>
    <row r="1965" spans="2:17" ht="38.25">
      <c r="B1965" s="157"/>
      <c r="E1965" s="79"/>
      <c r="F1965" s="67" t="s">
        <v>116</v>
      </c>
      <c r="G1965" s="17"/>
      <c r="H1965" s="67" t="s">
        <v>119</v>
      </c>
      <c r="J1965" s="220"/>
      <c r="K1965" s="70"/>
      <c r="M1965" s="93"/>
      <c r="N1965" s="68"/>
      <c r="O1965" s="115"/>
      <c r="Q1965" s="127"/>
    </row>
    <row r="1966" spans="2:17">
      <c r="B1966" s="157"/>
      <c r="E1966" s="118"/>
      <c r="F1966" s="17">
        <f>K1938</f>
        <v>18.989999999999998</v>
      </c>
      <c r="G1966" s="17"/>
      <c r="H1966" s="17">
        <v>1.3</v>
      </c>
      <c r="J1966" s="68"/>
      <c r="K1966" s="70">
        <f>H1966*F1966</f>
        <v>24.686999999999998</v>
      </c>
      <c r="M1966" s="93"/>
      <c r="N1966" s="68"/>
      <c r="O1966" s="115"/>
      <c r="Q1966" s="127"/>
    </row>
    <row r="1967" spans="2:17">
      <c r="B1967" s="157"/>
      <c r="E1967" s="118"/>
      <c r="F1967" s="17"/>
      <c r="G1967" s="17"/>
      <c r="I1967" s="17"/>
      <c r="J1967" s="68"/>
      <c r="K1967" s="70"/>
      <c r="M1967" s="93"/>
      <c r="N1967" s="68"/>
      <c r="O1967" s="115"/>
      <c r="Q1967" s="127"/>
    </row>
    <row r="1968" spans="2:17" ht="36.75" customHeight="1">
      <c r="B1968" s="157"/>
      <c r="C1968" s="16">
        <v>97914</v>
      </c>
      <c r="D1968" s="16" t="s">
        <v>8</v>
      </c>
      <c r="E1968" s="447" t="str">
        <f>IFERROR(VLOOKUP($C1968,'SINAPI JULHO 2018'!$1:$1048576,2,0),IFERROR(VLOOKUP($C1968,'5-COMP. PROPRIA'!$B$13:$I$518,4,0),""))</f>
        <v>TRANSPORTE COM CAMINHÃO BASCULANTE DE 6 M3, EM VIA URBANA PAVIMENTADA, DMT ATÉ 30 KM (UNIDADE: M3XKM). AF_01/2018</v>
      </c>
      <c r="F1968" s="448"/>
      <c r="G1968" s="448"/>
      <c r="H1968" s="448"/>
      <c r="I1968" s="448"/>
      <c r="J1968" s="449"/>
      <c r="K1968" s="184">
        <f>K1970</f>
        <v>185.15249999999997</v>
      </c>
      <c r="L1968" s="57" t="s">
        <v>78</v>
      </c>
      <c r="M1968" s="93"/>
      <c r="N1968" s="68"/>
      <c r="O1968" s="115"/>
      <c r="Q1968" s="127"/>
    </row>
    <row r="1969" spans="2:17" ht="25.5">
      <c r="B1969" s="157"/>
      <c r="E1969" s="79" t="s">
        <v>80</v>
      </c>
      <c r="H1969" s="67" t="s">
        <v>81</v>
      </c>
      <c r="J1969" s="102"/>
      <c r="M1969" s="93"/>
      <c r="N1969" s="68"/>
      <c r="O1969" s="115"/>
      <c r="Q1969" s="127"/>
    </row>
    <row r="1970" spans="2:17">
      <c r="B1970" s="157"/>
      <c r="E1970" s="79">
        <f>K1964</f>
        <v>24.686999999999998</v>
      </c>
      <c r="H1970" s="67">
        <v>7.5</v>
      </c>
      <c r="J1970" s="102"/>
      <c r="K1970" s="180">
        <f>E1970*H1970</f>
        <v>185.15249999999997</v>
      </c>
      <c r="M1970" s="93"/>
      <c r="N1970" s="68"/>
      <c r="O1970" s="115"/>
      <c r="Q1970" s="127"/>
    </row>
    <row r="1971" spans="2:17" ht="15">
      <c r="B1971" s="150"/>
      <c r="E1971" s="276"/>
      <c r="F1971" s="221"/>
      <c r="G1971" s="221"/>
      <c r="H1971" s="221"/>
      <c r="I1971" s="221"/>
      <c r="J1971" s="222"/>
      <c r="K1971" s="184"/>
      <c r="M1971" s="93"/>
      <c r="N1971" s="68"/>
      <c r="O1971" s="115"/>
      <c r="Q1971" s="127"/>
    </row>
    <row r="1972" spans="2:17" ht="15">
      <c r="B1972" s="150"/>
      <c r="C1972" s="16"/>
      <c r="D1972" s="16"/>
      <c r="E1972" s="453" t="s">
        <v>127</v>
      </c>
      <c r="F1972" s="454"/>
      <c r="G1972" s="454"/>
      <c r="H1972" s="454"/>
      <c r="I1972" s="454"/>
      <c r="J1972" s="455"/>
      <c r="K1972" s="183"/>
      <c r="L1972" s="57"/>
      <c r="M1972" s="93"/>
      <c r="N1972" s="68"/>
      <c r="O1972" s="115"/>
      <c r="Q1972" s="127"/>
    </row>
    <row r="1973" spans="2:17">
      <c r="B1973" s="150"/>
      <c r="C1973" s="16"/>
      <c r="D1973" s="16"/>
      <c r="E1973" s="76"/>
      <c r="F1973" s="17"/>
      <c r="G1973" s="17"/>
      <c r="H1973" s="67"/>
      <c r="I1973" s="55"/>
      <c r="J1973" s="121"/>
      <c r="K1973" s="186"/>
      <c r="L1973" s="100"/>
      <c r="M1973" s="122"/>
      <c r="N1973" s="109"/>
      <c r="O1973" s="115"/>
      <c r="Q1973" s="127"/>
    </row>
    <row r="1974" spans="2:17" ht="37.5" customHeight="1">
      <c r="B1974" s="150"/>
      <c r="C1974" s="16">
        <v>94965</v>
      </c>
      <c r="D1974" s="16" t="s">
        <v>8</v>
      </c>
      <c r="E1974" s="447" t="str">
        <f>IFERROR(VLOOKUP($C1974,'SINAPI JULHO 2018'!$1:$1048576,2,0),IFERROR(VLOOKUP($C1974,'5-COMP. PROPRIA'!$B$13:$I$518,4,0),""))</f>
        <v>CONCRETO FCK = 25MPA, TRAÇO 1:2,3:2,7 (CIMENTO/ AREIA MÉDIA/ BRITA 1)  - PREPARO MECÂNICO COM BETONEIRA 400 L. AF_07/2016</v>
      </c>
      <c r="F1974" s="448"/>
      <c r="G1974" s="448"/>
      <c r="H1974" s="448"/>
      <c r="I1974" s="448"/>
      <c r="J1974" s="449"/>
      <c r="K1974" s="184">
        <f>SUM(K1976:K1978)</f>
        <v>1.8144</v>
      </c>
      <c r="L1974" s="57" t="s">
        <v>65</v>
      </c>
      <c r="N1974" s="109"/>
      <c r="O1974" s="115"/>
      <c r="Q1974" s="127"/>
    </row>
    <row r="1975" spans="2:17" ht="25.5">
      <c r="B1975" s="150"/>
      <c r="C1975" s="16"/>
      <c r="D1975" s="16"/>
      <c r="E1975" s="76" t="s">
        <v>68</v>
      </c>
      <c r="F1975" s="17" t="s">
        <v>107</v>
      </c>
      <c r="G1975" s="17" t="s">
        <v>108</v>
      </c>
      <c r="H1975" s="67" t="s">
        <v>47</v>
      </c>
      <c r="I1975" s="55" t="s">
        <v>128</v>
      </c>
      <c r="J1975" s="67" t="s">
        <v>304</v>
      </c>
      <c r="K1975" s="186"/>
      <c r="L1975" s="100"/>
      <c r="M1975" s="122"/>
      <c r="N1975" s="109"/>
      <c r="O1975" s="115"/>
      <c r="Q1975" s="127"/>
    </row>
    <row r="1976" spans="2:17">
      <c r="B1976" s="150" t="s">
        <v>305</v>
      </c>
      <c r="C1976" s="16"/>
      <c r="D1976" s="16"/>
      <c r="E1976" s="111">
        <v>0.15</v>
      </c>
      <c r="F1976" s="74">
        <v>0.15</v>
      </c>
      <c r="G1976" s="105">
        <v>0.37</v>
      </c>
      <c r="H1976" s="74">
        <v>12</v>
      </c>
      <c r="I1976" s="17">
        <f>H1976*G1976</f>
        <v>4.4399999999999995</v>
      </c>
      <c r="J1976" s="74">
        <v>2</v>
      </c>
      <c r="K1976" s="70">
        <f>E1976*F1976*G1976*H1976*J1976</f>
        <v>0.19979999999999998</v>
      </c>
      <c r="L1976" s="57"/>
      <c r="N1976" s="109"/>
      <c r="O1976" s="115"/>
      <c r="Q1976" s="127"/>
    </row>
    <row r="1977" spans="2:17">
      <c r="B1977" s="150" t="s">
        <v>306</v>
      </c>
      <c r="C1977" s="16"/>
      <c r="D1977" s="16"/>
      <c r="E1977" s="111">
        <v>0.15</v>
      </c>
      <c r="F1977" s="74">
        <v>0.15</v>
      </c>
      <c r="G1977" s="105">
        <v>1.27</v>
      </c>
      <c r="H1977" s="74">
        <v>12</v>
      </c>
      <c r="I1977" s="17">
        <f t="shared" ref="I1977:I1978" si="25">H1977*G1977</f>
        <v>15.24</v>
      </c>
      <c r="J1977" s="74">
        <v>2</v>
      </c>
      <c r="K1977" s="70">
        <f t="shared" ref="K1977:K1978" si="26">E1977*F1977*G1977*H1977*J1977</f>
        <v>0.68579999999999997</v>
      </c>
      <c r="L1977" s="57"/>
      <c r="N1977" s="109"/>
      <c r="O1977" s="115"/>
      <c r="Q1977" s="127"/>
    </row>
    <row r="1978" spans="2:17">
      <c r="B1978" s="150" t="s">
        <v>307</v>
      </c>
      <c r="C1978" s="16"/>
      <c r="D1978" s="16"/>
      <c r="E1978" s="111">
        <v>0.15</v>
      </c>
      <c r="F1978" s="74">
        <v>0.15</v>
      </c>
      <c r="G1978" s="105">
        <v>1.72</v>
      </c>
      <c r="H1978" s="74">
        <v>12</v>
      </c>
      <c r="I1978" s="17">
        <f t="shared" si="25"/>
        <v>20.64</v>
      </c>
      <c r="J1978" s="74">
        <v>2</v>
      </c>
      <c r="K1978" s="70">
        <f t="shared" si="26"/>
        <v>0.92879999999999996</v>
      </c>
      <c r="L1978" s="57"/>
      <c r="N1978" s="109"/>
      <c r="O1978" s="115"/>
      <c r="Q1978" s="127"/>
    </row>
    <row r="1979" spans="2:17">
      <c r="B1979" s="150"/>
      <c r="C1979" s="16"/>
      <c r="D1979" s="17"/>
      <c r="E1979" s="112"/>
      <c r="F1979" s="17"/>
      <c r="G1979" s="17"/>
      <c r="H1979" s="17"/>
      <c r="I1979" s="17"/>
      <c r="J1979" s="89"/>
      <c r="K1979" s="70"/>
      <c r="L1979" s="57"/>
      <c r="N1979" s="109"/>
      <c r="O1979" s="115"/>
      <c r="Q1979" s="127"/>
    </row>
    <row r="1980" spans="2:17" ht="39.75" customHeight="1">
      <c r="B1980" s="150"/>
      <c r="C1980" s="16">
        <v>92873</v>
      </c>
      <c r="D1980" s="16" t="s">
        <v>8</v>
      </c>
      <c r="E1980" s="447" t="str">
        <f>IFERROR(VLOOKUP($C1980,'SINAPI JULHO 2018'!$1:$1048576,2,0),IFERROR(VLOOKUP($C1980,'5-COMP. PROPRIA'!$B$13:$I$518,4,0),""))</f>
        <v>LANÇAMENTO COM USO DE BALDES, ADENSAMENTO E ACABAMENTO DE CONCRETO EM ESTRUTURAS. AF_12/2015</v>
      </c>
      <c r="F1980" s="448"/>
      <c r="G1980" s="448"/>
      <c r="H1980" s="448"/>
      <c r="I1980" s="448"/>
      <c r="J1980" s="449"/>
      <c r="K1980" s="184">
        <f>K1974</f>
        <v>1.8144</v>
      </c>
      <c r="L1980" s="57" t="s">
        <v>65</v>
      </c>
      <c r="N1980" s="109"/>
      <c r="O1980" s="115"/>
      <c r="Q1980" s="127"/>
    </row>
    <row r="1981" spans="2:17">
      <c r="B1981" s="150"/>
      <c r="C1981" s="16"/>
      <c r="D1981" s="16"/>
      <c r="E1981" s="112"/>
      <c r="F1981" s="17"/>
      <c r="G1981" s="17"/>
      <c r="H1981" s="17"/>
      <c r="I1981" s="17"/>
      <c r="J1981" s="89"/>
      <c r="K1981" s="70"/>
      <c r="L1981" s="57"/>
      <c r="N1981" s="109"/>
      <c r="O1981" s="115"/>
      <c r="Q1981" s="127"/>
    </row>
    <row r="1982" spans="2:17" ht="44.25" customHeight="1">
      <c r="B1982" s="150"/>
      <c r="C1982" s="16">
        <v>92775</v>
      </c>
      <c r="D1982" s="16" t="s">
        <v>8</v>
      </c>
      <c r="E1982" s="447" t="str">
        <f>IFERROR(VLOOKUP($C1982,'SINAPI JULHO 2018'!$1:$1048576,2,0),IFERROR(VLOOKUP($C1982,'5-COMP. PROPRIA'!$B$13:$I$518,4,0),""))</f>
        <v>ARMAÇÃO DE PILAR OU VIGA DE UMA ESTRUTURA CONVENCIONAL DE CONCRETO ARMADO EM UMA EDIFICAÇÃO TÉRREA OU SOBRADO UTILIZANDO AÇO CA-60 DE 5,0 MM - MONTAGEM. AF_12/2015</v>
      </c>
      <c r="F1982" s="448"/>
      <c r="G1982" s="448"/>
      <c r="H1982" s="448"/>
      <c r="I1982" s="448"/>
      <c r="J1982" s="449"/>
      <c r="K1982" s="184">
        <f>SUM(K1985:K1987)</f>
        <v>38.097494400000016</v>
      </c>
      <c r="L1982" s="57" t="s">
        <v>92</v>
      </c>
      <c r="M1982" s="52"/>
      <c r="N1982" s="68"/>
      <c r="O1982" s="115"/>
      <c r="Q1982" s="127"/>
    </row>
    <row r="1983" spans="2:17">
      <c r="B1983" s="150"/>
      <c r="C1983" s="16"/>
      <c r="D1983" s="16"/>
      <c r="E1983" s="112"/>
      <c r="F1983" s="17"/>
      <c r="G1983" s="17"/>
      <c r="H1983" s="70" t="s">
        <v>112</v>
      </c>
      <c r="I1983" s="69">
        <f>K1982/K1974</f>
        <v>20.997296296296305</v>
      </c>
      <c r="J1983" s="89"/>
      <c r="K1983" s="70"/>
      <c r="L1983" s="57"/>
      <c r="M1983" s="93"/>
      <c r="N1983" s="68"/>
      <c r="O1983" s="115"/>
      <c r="Q1983" s="127"/>
    </row>
    <row r="1984" spans="2:17">
      <c r="B1984" s="157" t="s">
        <v>132</v>
      </c>
      <c r="C1984" s="16"/>
      <c r="D1984" s="16"/>
      <c r="E1984" s="79" t="s">
        <v>93</v>
      </c>
      <c r="F1984" s="67" t="s">
        <v>106</v>
      </c>
      <c r="G1984" s="67" t="s">
        <v>94</v>
      </c>
      <c r="H1984" s="67" t="s">
        <v>95</v>
      </c>
      <c r="I1984" s="67" t="s">
        <v>304</v>
      </c>
      <c r="J1984" s="89"/>
      <c r="K1984" s="70"/>
      <c r="L1984" s="57"/>
      <c r="M1984" s="93"/>
      <c r="N1984" s="68"/>
      <c r="O1984" s="115"/>
      <c r="Q1984" s="127"/>
    </row>
    <row r="1985" spans="2:17">
      <c r="B1985" s="150" t="str">
        <f>B1976</f>
        <v xml:space="preserve">PILAR DE 0,37 CM DE ALTURA  </v>
      </c>
      <c r="C1985" s="16"/>
      <c r="D1985" s="16"/>
      <c r="E1985" s="111">
        <v>5</v>
      </c>
      <c r="F1985" s="17">
        <f>(E1976-0.06)*2+(F1976-0.06)*2+0.1</f>
        <v>0.45999999999999996</v>
      </c>
      <c r="G1985" s="17">
        <f>I1976/0.15</f>
        <v>29.599999999999998</v>
      </c>
      <c r="H1985" s="17">
        <f>((E1985/1000)*(E1985/1000)*3.14*0.25)*7850</f>
        <v>0.15405625000000003</v>
      </c>
      <c r="I1985" s="17">
        <v>2</v>
      </c>
      <c r="J1985" s="89"/>
      <c r="K1985" s="70">
        <f>G1985*H1985*F1985*I1985</f>
        <v>4.1952598000000005</v>
      </c>
      <c r="L1985" s="57"/>
      <c r="M1985" s="93"/>
      <c r="N1985" s="68"/>
      <c r="O1985" s="115"/>
      <c r="Q1985" s="127"/>
    </row>
    <row r="1986" spans="2:17">
      <c r="B1986" s="150" t="str">
        <f t="shared" ref="B1986:B1987" si="27">B1977</f>
        <v xml:space="preserve">PILAR DE 1,27 CM DE ALTURA  </v>
      </c>
      <c r="C1986" s="16"/>
      <c r="D1986" s="16"/>
      <c r="E1986" s="111">
        <v>5</v>
      </c>
      <c r="F1986" s="17">
        <f t="shared" ref="F1986:F1987" si="28">(E1977-0.06)*2+(F1977-0.06)*2+0.1</f>
        <v>0.45999999999999996</v>
      </c>
      <c r="G1986" s="17">
        <f t="shared" ref="G1986:G1987" si="29">I1977/0.15</f>
        <v>101.60000000000001</v>
      </c>
      <c r="H1986" s="17">
        <f t="shared" ref="H1986:H1987" si="30">((E1986/1000)*(E1986/1000)*3.14*0.25)*7850</f>
        <v>0.15405625000000003</v>
      </c>
      <c r="I1986" s="17">
        <v>2</v>
      </c>
      <c r="J1986" s="89"/>
      <c r="K1986" s="70">
        <f t="shared" ref="K1986:K1987" si="31">G1986*H1986*F1986*I1986</f>
        <v>14.399945800000005</v>
      </c>
      <c r="L1986" s="57"/>
      <c r="M1986" s="93"/>
      <c r="N1986" s="68"/>
      <c r="O1986" s="115"/>
      <c r="Q1986" s="127"/>
    </row>
    <row r="1987" spans="2:17">
      <c r="B1987" s="150" t="str">
        <f t="shared" si="27"/>
        <v xml:space="preserve">PILAR DE 1,72 CM DE ALTURA  </v>
      </c>
      <c r="C1987" s="16"/>
      <c r="D1987" s="16"/>
      <c r="E1987" s="111">
        <v>5</v>
      </c>
      <c r="F1987" s="17">
        <f t="shared" si="28"/>
        <v>0.45999999999999996</v>
      </c>
      <c r="G1987" s="17">
        <f t="shared" si="29"/>
        <v>137.60000000000002</v>
      </c>
      <c r="H1987" s="17">
        <f t="shared" si="30"/>
        <v>0.15405625000000003</v>
      </c>
      <c r="I1987" s="17">
        <v>2</v>
      </c>
      <c r="J1987" s="89"/>
      <c r="K1987" s="70">
        <f t="shared" si="31"/>
        <v>19.502288800000006</v>
      </c>
      <c r="L1987" s="57"/>
      <c r="M1987" s="93"/>
      <c r="N1987" s="68"/>
      <c r="O1987" s="115"/>
      <c r="Q1987" s="127"/>
    </row>
    <row r="1988" spans="2:17">
      <c r="B1988" s="150"/>
      <c r="C1988" s="16"/>
      <c r="D1988" s="16"/>
      <c r="E1988" s="112"/>
      <c r="F1988" s="17"/>
      <c r="G1988" s="17"/>
      <c r="H1988" s="17"/>
      <c r="I1988" s="17"/>
      <c r="J1988" s="89"/>
      <c r="K1988" s="70"/>
      <c r="L1988" s="57"/>
      <c r="M1988" s="93"/>
      <c r="N1988" s="68"/>
      <c r="O1988" s="115"/>
      <c r="Q1988" s="127"/>
    </row>
    <row r="1989" spans="2:17" ht="48" customHeight="1">
      <c r="B1989" s="150"/>
      <c r="C1989" s="16">
        <v>92778</v>
      </c>
      <c r="D1989" s="16" t="s">
        <v>8</v>
      </c>
      <c r="E1989" s="447" t="str">
        <f>IFERROR(VLOOKUP($C1989,'SINAPI JULHO 2018'!$1:$1048576,2,0),IFERROR(VLOOKUP($C1989,'5-COMP. PROPRIA'!$B$13:$I$518,4,0),""))</f>
        <v>ARMAÇÃO DE PILAR OU VIGA DE UMA ESTRUTURA CONVENCIONAL DE CONCRETO ARMADO EM UMA EDIFICAÇÃO TÉRREA OU SOBRADO UTILIZANDO AÇO CA-50 DE 10,0 MM - MONTAGEM. AF_12/2015</v>
      </c>
      <c r="F1989" s="448"/>
      <c r="G1989" s="448"/>
      <c r="H1989" s="448"/>
      <c r="I1989" s="448"/>
      <c r="J1989" s="449"/>
      <c r="K1989" s="184">
        <f>SUM(K1992:K1994)</f>
        <v>126.00568800000003</v>
      </c>
      <c r="L1989" s="57" t="s">
        <v>92</v>
      </c>
      <c r="M1989" s="52"/>
      <c r="N1989" s="68"/>
      <c r="O1989" s="115"/>
      <c r="Q1989" s="127"/>
    </row>
    <row r="1990" spans="2:17">
      <c r="B1990" s="150"/>
      <c r="C1990" s="16"/>
      <c r="D1990" s="16"/>
      <c r="E1990" s="112"/>
      <c r="F1990" s="17"/>
      <c r="G1990" s="17"/>
      <c r="H1990" s="70" t="s">
        <v>112</v>
      </c>
      <c r="I1990" s="69">
        <f>K1989/K1974</f>
        <v>69.447579365079378</v>
      </c>
      <c r="J1990" s="89"/>
      <c r="K1990" s="70"/>
      <c r="L1990" s="57"/>
      <c r="M1990" s="93"/>
      <c r="N1990" s="109"/>
      <c r="O1990" s="115"/>
      <c r="Q1990" s="127"/>
    </row>
    <row r="1991" spans="2:17">
      <c r="B1991" s="150"/>
      <c r="C1991" s="16"/>
      <c r="D1991" s="16"/>
      <c r="E1991" s="79" t="s">
        <v>93</v>
      </c>
      <c r="F1991" s="67" t="s">
        <v>106</v>
      </c>
      <c r="G1991" s="67" t="s">
        <v>94</v>
      </c>
      <c r="H1991" s="67" t="s">
        <v>95</v>
      </c>
      <c r="I1991" s="67" t="s">
        <v>54</v>
      </c>
      <c r="J1991" s="89"/>
      <c r="K1991" s="70"/>
      <c r="L1991" s="57"/>
      <c r="M1991" s="93"/>
      <c r="N1991" s="68"/>
      <c r="O1991" s="115"/>
      <c r="Q1991" s="127"/>
    </row>
    <row r="1992" spans="2:17">
      <c r="B1992" s="150" t="str">
        <f>B1985</f>
        <v xml:space="preserve">PILAR DE 0,37 CM DE ALTURA  </v>
      </c>
      <c r="C1992" s="16"/>
      <c r="D1992" s="16"/>
      <c r="E1992" s="111">
        <v>10</v>
      </c>
      <c r="F1992" s="17">
        <f>G1976+0.3</f>
        <v>0.66999999999999993</v>
      </c>
      <c r="G1992" s="17">
        <v>4</v>
      </c>
      <c r="H1992" s="17">
        <f>((E1992/1000)*(E1992/1000)*3.14*0.25)*7850</f>
        <v>0.61622500000000013</v>
      </c>
      <c r="I1992" s="17">
        <f>H1976</f>
        <v>12</v>
      </c>
      <c r="J1992" s="89"/>
      <c r="K1992" s="70">
        <f>G1992*H1992*F1992*I1992</f>
        <v>19.817796000000001</v>
      </c>
      <c r="L1992" s="57"/>
      <c r="M1992" s="93"/>
      <c r="N1992" s="68"/>
      <c r="O1992" s="115"/>
      <c r="Q1992" s="127"/>
    </row>
    <row r="1993" spans="2:17">
      <c r="B1993" s="150" t="str">
        <f t="shared" ref="B1993:B1994" si="32">B1986</f>
        <v xml:space="preserve">PILAR DE 1,27 CM DE ALTURA  </v>
      </c>
      <c r="C1993" s="16"/>
      <c r="D1993" s="16"/>
      <c r="E1993" s="111">
        <v>10</v>
      </c>
      <c r="F1993" s="17">
        <f t="shared" ref="F1993:F1994" si="33">G1977+0.3</f>
        <v>1.57</v>
      </c>
      <c r="G1993" s="17">
        <v>4</v>
      </c>
      <c r="H1993" s="17">
        <f t="shared" ref="H1993:H1994" si="34">((E1993/1000)*(E1993/1000)*3.14*0.25)*7850</f>
        <v>0.61622500000000013</v>
      </c>
      <c r="I1993" s="17">
        <f t="shared" ref="I1993:I1994" si="35">H1977</f>
        <v>12</v>
      </c>
      <c r="J1993" s="89"/>
      <c r="K1993" s="70">
        <f t="shared" ref="K1993:K1994" si="36">G1993*H1993*F1993*I1993</f>
        <v>46.438716000000014</v>
      </c>
      <c r="L1993" s="57"/>
      <c r="M1993" s="93"/>
      <c r="N1993" s="68"/>
      <c r="O1993" s="115"/>
      <c r="Q1993" s="127"/>
    </row>
    <row r="1994" spans="2:17">
      <c r="B1994" s="150" t="str">
        <f t="shared" si="32"/>
        <v xml:space="preserve">PILAR DE 1,72 CM DE ALTURA  </v>
      </c>
      <c r="C1994" s="16"/>
      <c r="D1994" s="16"/>
      <c r="E1994" s="111">
        <v>10</v>
      </c>
      <c r="F1994" s="17">
        <f t="shared" si="33"/>
        <v>2.02</v>
      </c>
      <c r="G1994" s="17">
        <v>4</v>
      </c>
      <c r="H1994" s="17">
        <f t="shared" si="34"/>
        <v>0.61622500000000013</v>
      </c>
      <c r="I1994" s="17">
        <f t="shared" si="35"/>
        <v>12</v>
      </c>
      <c r="J1994" s="89"/>
      <c r="K1994" s="70">
        <f t="shared" si="36"/>
        <v>59.74917600000002</v>
      </c>
      <c r="L1994" s="57"/>
      <c r="M1994" s="93"/>
      <c r="N1994" s="68"/>
      <c r="O1994" s="115"/>
      <c r="Q1994" s="127"/>
    </row>
    <row r="1995" spans="2:17">
      <c r="B1995" s="150"/>
      <c r="C1995" s="16"/>
      <c r="D1995" s="16"/>
      <c r="E1995" s="112"/>
      <c r="F1995" s="17"/>
      <c r="G1995" s="17"/>
      <c r="H1995" s="17"/>
      <c r="I1995" s="17"/>
      <c r="J1995" s="89"/>
      <c r="K1995" s="70"/>
      <c r="L1995" s="57"/>
      <c r="M1995" s="93"/>
      <c r="N1995" s="109"/>
      <c r="O1995" s="115"/>
      <c r="Q1995" s="127"/>
    </row>
    <row r="1996" spans="2:17" ht="45.75" customHeight="1">
      <c r="B1996" s="150"/>
      <c r="C1996" s="16">
        <v>92412</v>
      </c>
      <c r="D1996" s="16" t="s">
        <v>8</v>
      </c>
      <c r="E1996" s="447" t="str">
        <f>IFERROR(VLOOKUP($C1996,'SINAPI JULHO 2018'!$1:$1048576,2,0),IFERROR(VLOOKUP($C1996,'5-COMP. PROPRIA'!$B$13:$I$518,4,0),""))</f>
        <v>MONTAGEM E DESMONTAGEM DE FÔRMA DE PILARES RETANGULARES E ESTRUTURAS SIMILARES COM ÁREA MÉDIA DAS SEÇÕES MENOR OU IGUAL A 0,25 M², PÉ-DIREITO SIMPLES, EM MADEIRA SERRADA, 4 UTILIZAÇÕES. AF_12/2015</v>
      </c>
      <c r="F1996" s="448"/>
      <c r="G1996" s="448"/>
      <c r="H1996" s="448"/>
      <c r="I1996" s="448"/>
      <c r="J1996" s="449"/>
      <c r="K1996" s="184">
        <f>SUM(K1998:K2000)</f>
        <v>48.384</v>
      </c>
      <c r="L1996" s="57" t="s">
        <v>25</v>
      </c>
      <c r="N1996" s="109"/>
      <c r="O1996" s="115"/>
      <c r="Q1996" s="127"/>
    </row>
    <row r="1997" spans="2:17" ht="25.5">
      <c r="B1997" s="150"/>
      <c r="C1997" s="16"/>
      <c r="D1997" s="16"/>
      <c r="E1997" s="76" t="s">
        <v>68</v>
      </c>
      <c r="F1997" s="17" t="s">
        <v>107</v>
      </c>
      <c r="G1997" s="17" t="s">
        <v>108</v>
      </c>
      <c r="H1997" s="67" t="s">
        <v>47</v>
      </c>
      <c r="I1997" s="67" t="s">
        <v>304</v>
      </c>
      <c r="J1997" s="121"/>
      <c r="K1997" s="186"/>
      <c r="L1997" s="57"/>
      <c r="N1997" s="109"/>
      <c r="O1997" s="115"/>
      <c r="Q1997" s="127"/>
    </row>
    <row r="1998" spans="2:17">
      <c r="B1998" s="150" t="str">
        <f>B1992</f>
        <v xml:space="preserve">PILAR DE 0,37 CM DE ALTURA  </v>
      </c>
      <c r="C1998" s="16"/>
      <c r="D1998" s="16"/>
      <c r="E1998" s="111">
        <f t="shared" ref="E1998:G1998" si="37">E1976</f>
        <v>0.15</v>
      </c>
      <c r="F1998" s="111">
        <f t="shared" si="37"/>
        <v>0.15</v>
      </c>
      <c r="G1998" s="57">
        <f t="shared" si="37"/>
        <v>0.37</v>
      </c>
      <c r="H1998" s="57">
        <f>I1992</f>
        <v>12</v>
      </c>
      <c r="I1998" s="57">
        <v>2</v>
      </c>
      <c r="J1998" s="89"/>
      <c r="K1998" s="70">
        <f>(E1998*2+F1998*2)*G1998*H1998*I1998</f>
        <v>5.3280000000000003</v>
      </c>
      <c r="L1998" s="57"/>
      <c r="N1998" s="109"/>
      <c r="O1998" s="115"/>
      <c r="Q1998" s="127"/>
    </row>
    <row r="1999" spans="2:17">
      <c r="B1999" s="150" t="str">
        <f t="shared" ref="B1999:B2000" si="38">B1993</f>
        <v xml:space="preserve">PILAR DE 1,27 CM DE ALTURA  </v>
      </c>
      <c r="C1999" s="16"/>
      <c r="D1999" s="16"/>
      <c r="E1999" s="111">
        <f t="shared" ref="E1999:G1999" si="39">E1977</f>
        <v>0.15</v>
      </c>
      <c r="F1999" s="111">
        <f t="shared" si="39"/>
        <v>0.15</v>
      </c>
      <c r="G1999" s="57">
        <f t="shared" si="39"/>
        <v>1.27</v>
      </c>
      <c r="H1999" s="57">
        <f t="shared" ref="H1999:H2000" si="40">I1993</f>
        <v>12</v>
      </c>
      <c r="I1999" s="57">
        <v>2</v>
      </c>
      <c r="J1999" s="89"/>
      <c r="K1999" s="70">
        <f t="shared" ref="K1999:K2000" si="41">(E1999*2+F1999*2)*G1999*H1999*I1999</f>
        <v>18.288</v>
      </c>
      <c r="L1999" s="57"/>
      <c r="N1999" s="109"/>
      <c r="O1999" s="115"/>
      <c r="Q1999" s="127"/>
    </row>
    <row r="2000" spans="2:17">
      <c r="B2000" s="150" t="str">
        <f t="shared" si="38"/>
        <v xml:space="preserve">PILAR DE 1,72 CM DE ALTURA  </v>
      </c>
      <c r="C2000" s="16"/>
      <c r="D2000" s="16"/>
      <c r="E2000" s="111">
        <f t="shared" ref="E2000:G2000" si="42">E1978</f>
        <v>0.15</v>
      </c>
      <c r="F2000" s="111">
        <f t="shared" si="42"/>
        <v>0.15</v>
      </c>
      <c r="G2000" s="57">
        <f t="shared" si="42"/>
        <v>1.72</v>
      </c>
      <c r="H2000" s="57">
        <f t="shared" si="40"/>
        <v>12</v>
      </c>
      <c r="I2000" s="57">
        <v>2</v>
      </c>
      <c r="J2000" s="89"/>
      <c r="K2000" s="70">
        <f t="shared" si="41"/>
        <v>24.768000000000001</v>
      </c>
      <c r="L2000" s="57"/>
      <c r="N2000" s="109"/>
      <c r="O2000" s="115"/>
      <c r="Q2000" s="127"/>
    </row>
    <row r="2001" spans="2:17" ht="15">
      <c r="B2001" s="150"/>
      <c r="C2001" s="16"/>
      <c r="D2001" s="16"/>
      <c r="E2001" s="276"/>
      <c r="F2001" s="221"/>
      <c r="G2001" s="221"/>
      <c r="H2001" s="221"/>
      <c r="I2001" s="221"/>
      <c r="J2001" s="222"/>
      <c r="K2001" s="184"/>
      <c r="L2001" s="57"/>
      <c r="M2001" s="93"/>
      <c r="N2001" s="68"/>
      <c r="O2001" s="115"/>
      <c r="Q2001" s="127"/>
    </row>
    <row r="2002" spans="2:17" ht="15">
      <c r="B2002" s="157"/>
      <c r="C2002" s="188"/>
      <c r="D2002" s="188"/>
      <c r="E2002" s="453" t="s">
        <v>308</v>
      </c>
      <c r="F2002" s="454"/>
      <c r="G2002" s="454"/>
      <c r="H2002" s="454"/>
      <c r="I2002" s="454"/>
      <c r="J2002" s="455"/>
      <c r="K2002" s="264"/>
      <c r="L2002" s="263"/>
      <c r="M2002" s="93"/>
      <c r="N2002" s="68"/>
      <c r="O2002" s="115"/>
      <c r="Q2002" s="127"/>
    </row>
    <row r="2003" spans="2:17" ht="15">
      <c r="B2003" s="150"/>
      <c r="E2003" s="276"/>
      <c r="F2003" s="221"/>
      <c r="G2003" s="221"/>
      <c r="H2003" s="221"/>
      <c r="I2003" s="221"/>
      <c r="J2003" s="222"/>
      <c r="K2003" s="184"/>
      <c r="M2003" s="93"/>
      <c r="N2003" s="68"/>
      <c r="O2003" s="115"/>
      <c r="Q2003" s="127"/>
    </row>
    <row r="2004" spans="2:17" ht="59.25" customHeight="1">
      <c r="B2004" s="150" t="s">
        <v>309</v>
      </c>
      <c r="C2004" s="26">
        <v>87507</v>
      </c>
      <c r="D2004" s="26" t="s">
        <v>8</v>
      </c>
      <c r="E2004" s="447" t="str">
        <f>IFERROR(VLOOKUP($C2004,'SINAPI JULHO 2018'!$1:$1048576,2,0),IFERROR(VLOOKUP($C2004,'5-COMP. PROPRIA'!$B$13:$I$518,4,0),""))</f>
        <v>ALVENARIA DE VEDAÇÃO DE BLOCOS CERÂMICOS FURADOS NA HORIZONTAL DE 9X14X19CM (ESPESSURA 9CM) DE PAREDES COM ÁREA LÍQUIDA MAIOR OU IGUAL A 6M² SEM VÃOS E ARGAMASSA DE ASSENTAMENTO COM PREPARO EM BETONEIRA. AF_06/2014</v>
      </c>
      <c r="F2004" s="448"/>
      <c r="G2004" s="448"/>
      <c r="H2004" s="448"/>
      <c r="I2004" s="448"/>
      <c r="J2004" s="449"/>
      <c r="K2004" s="184">
        <f>((((35-1.8)*1.72)+(35*1.72)+((35-1.8)*1.27)+(35*0.82)+((35-1.8)*0.37))+(3*12))*2</f>
        <v>472.904</v>
      </c>
      <c r="L2004" s="57" t="s">
        <v>145</v>
      </c>
      <c r="M2004" s="93"/>
      <c r="N2004" s="68"/>
      <c r="O2004" s="115"/>
      <c r="Q2004" s="127"/>
    </row>
    <row r="2005" spans="2:17" ht="15">
      <c r="B2005" s="150"/>
      <c r="E2005" s="276"/>
      <c r="F2005" s="221"/>
      <c r="G2005" s="221"/>
      <c r="H2005" s="221"/>
      <c r="I2005" s="221"/>
      <c r="J2005" s="222"/>
      <c r="K2005" s="184"/>
      <c r="M2005" s="93"/>
      <c r="N2005" s="68"/>
      <c r="O2005" s="115"/>
      <c r="Q2005" s="127"/>
    </row>
    <row r="2006" spans="2:17" ht="43.5" customHeight="1">
      <c r="B2006" s="150" t="s">
        <v>310</v>
      </c>
      <c r="C2006" s="26">
        <v>87894</v>
      </c>
      <c r="D2006" s="26" t="s">
        <v>8</v>
      </c>
      <c r="E2006" s="447" t="str">
        <f>IFERROR(VLOOKUP($C2006,'SINAPI JULHO 2018'!$1:$1048576,2,0),IFERROR(VLOOKUP($C2006,'5-COMP. PROPRIA'!$B$13:$I$518,4,0),""))</f>
        <v>CHAPISCO APLICADO EM ALVENARIA (SEM PRESENÇA DE VÃOS) E ESTRUTURAS DE CONCRETO DE FACHADA, COM COLHER DE PEDREIRO.  ARGAMASSA TRAÇO 1:3 COM PREPARO EM BETONEIRA 400L. AF_06/2014</v>
      </c>
      <c r="F2006" s="448"/>
      <c r="G2006" s="448"/>
      <c r="H2006" s="448"/>
      <c r="I2006" s="448"/>
      <c r="J2006" s="449"/>
      <c r="K2006" s="184">
        <f>K2004*2</f>
        <v>945.80799999999999</v>
      </c>
      <c r="L2006" s="57" t="s">
        <v>145</v>
      </c>
      <c r="M2006" s="93"/>
      <c r="N2006" s="68"/>
      <c r="O2006" s="115"/>
      <c r="Q2006" s="127"/>
    </row>
    <row r="2007" spans="2:17" ht="15">
      <c r="B2007" s="150"/>
      <c r="E2007" s="276"/>
      <c r="F2007" s="221"/>
      <c r="G2007" s="221"/>
      <c r="H2007" s="221"/>
      <c r="I2007" s="221"/>
      <c r="J2007" s="222"/>
      <c r="K2007" s="184"/>
      <c r="M2007" s="93"/>
      <c r="N2007" s="68"/>
      <c r="O2007" s="115"/>
      <c r="Q2007" s="127"/>
    </row>
    <row r="2008" spans="2:17" ht="30.75" customHeight="1">
      <c r="B2008" s="150" t="s">
        <v>311</v>
      </c>
      <c r="C2008" s="26" t="s">
        <v>117</v>
      </c>
      <c r="D2008" s="26" t="s">
        <v>8</v>
      </c>
      <c r="E2008" s="447" t="str">
        <f>IFERROR(VLOOKUP($C2008,'SINAPI JULHO 2018'!$1:$1048576,2,0),IFERROR(VLOOKUP($C2008,'5-COMP. PROPRIA'!$B$13:$I$518,4,0),""))</f>
        <v>IMPERMEABILIZACAO DE ESTRUTURAS ENTERRADAS, COM TINTA ASFALTICA, DUAS DEMAOS.</v>
      </c>
      <c r="F2008" s="448"/>
      <c r="G2008" s="448"/>
      <c r="H2008" s="448"/>
      <c r="I2008" s="448"/>
      <c r="J2008" s="449"/>
      <c r="K2008" s="184">
        <f>K2006-K2010</f>
        <v>787.50800000000004</v>
      </c>
      <c r="L2008" s="57" t="s">
        <v>145</v>
      </c>
      <c r="M2008" s="93"/>
      <c r="N2008" s="68"/>
      <c r="O2008" s="115"/>
      <c r="Q2008" s="127"/>
    </row>
    <row r="2009" spans="2:17" ht="15">
      <c r="B2009" s="150"/>
      <c r="E2009" s="276"/>
      <c r="F2009" s="221"/>
      <c r="G2009" s="221"/>
      <c r="H2009" s="221"/>
      <c r="I2009" s="221"/>
      <c r="J2009" s="222"/>
      <c r="K2009" s="184"/>
      <c r="M2009" s="93"/>
      <c r="N2009" s="68"/>
      <c r="O2009" s="115"/>
      <c r="Q2009" s="127"/>
    </row>
    <row r="2010" spans="2:17" ht="48.75" customHeight="1">
      <c r="B2010" s="150" t="s">
        <v>312</v>
      </c>
      <c r="C2010" s="26">
        <v>87529</v>
      </c>
      <c r="D2010" s="26" t="s">
        <v>8</v>
      </c>
      <c r="E2010" s="447" t="str">
        <f>IFERROR(VLOOKUP($C2010,'SINAPI JULHO 2018'!$1:$1048576,2,0),IFERROR(VLOOKUP($C2010,'5-COMP. PROPRIA'!$B$13:$I$518,4,0),""))</f>
        <v>MASSA ÚNICA, PARA RECEBIMENTO DE PINTURA, EM ARGAMASSA TRAÇO 1:2:8, PREPARO MECÂNICO COM BETONEIRA 400L, APLICADA MANUALMENTE EM FACES INTERNAS DE PAREDES, ESPESSURA DE 20MM, COM EXECUÇÃO DE TALISCAS. AF_06/2014</v>
      </c>
      <c r="F2010" s="448"/>
      <c r="G2010" s="448"/>
      <c r="H2010" s="448"/>
      <c r="I2010" s="448"/>
      <c r="J2010" s="449"/>
      <c r="K2010" s="184">
        <f>((35*1.72)+(35*0.37)+6)*2</f>
        <v>158.29999999999998</v>
      </c>
      <c r="L2010" s="57" t="s">
        <v>145</v>
      </c>
      <c r="M2010" s="93"/>
      <c r="N2010" s="68"/>
      <c r="O2010" s="115"/>
      <c r="Q2010" s="127"/>
    </row>
    <row r="2011" spans="2:17" ht="15">
      <c r="B2011" s="150"/>
      <c r="E2011" s="276"/>
      <c r="F2011" s="221"/>
      <c r="G2011" s="221"/>
      <c r="H2011" s="221"/>
      <c r="I2011" s="221"/>
      <c r="J2011" s="222"/>
      <c r="K2011" s="184"/>
      <c r="M2011" s="93"/>
      <c r="N2011" s="68"/>
      <c r="O2011" s="115"/>
      <c r="Q2011" s="127"/>
    </row>
    <row r="2012" spans="2:17" ht="15">
      <c r="B2012" s="150" t="str">
        <f>B2010</f>
        <v>AREA EXTERNA DA ARQUIBANCADA</v>
      </c>
      <c r="C2012" s="26">
        <v>88485</v>
      </c>
      <c r="D2012" s="26" t="s">
        <v>8</v>
      </c>
      <c r="E2012" s="447" t="str">
        <f>IFERROR(VLOOKUP($C2012,'SINAPI JULHO 2018'!$1:$1048576,2,0),IFERROR(VLOOKUP($C2012,'5-COMP. PROPRIA'!$B$13:$I$518,4,0),""))</f>
        <v>APLICAÇÃO DE FUNDO SELADOR ACRÍLICO EM PAREDES, UMA DEMÃO. AF_06/2014</v>
      </c>
      <c r="F2012" s="448"/>
      <c r="G2012" s="448"/>
      <c r="H2012" s="448"/>
      <c r="I2012" s="448"/>
      <c r="J2012" s="449"/>
      <c r="K2012" s="184">
        <f>K2010</f>
        <v>158.29999999999998</v>
      </c>
      <c r="L2012" s="57" t="s">
        <v>145</v>
      </c>
      <c r="M2012" s="93"/>
      <c r="N2012" s="68"/>
      <c r="O2012" s="115"/>
      <c r="Q2012" s="127"/>
    </row>
    <row r="2013" spans="2:17" ht="15">
      <c r="B2013" s="150"/>
      <c r="E2013" s="276"/>
      <c r="F2013" s="221"/>
      <c r="G2013" s="221"/>
      <c r="H2013" s="221"/>
      <c r="I2013" s="221"/>
      <c r="J2013" s="222"/>
      <c r="K2013" s="184"/>
      <c r="M2013" s="93"/>
      <c r="N2013" s="68"/>
      <c r="O2013" s="115"/>
      <c r="Q2013" s="127"/>
    </row>
    <row r="2014" spans="2:17" ht="15">
      <c r="B2014" s="150" t="str">
        <f>B2012</f>
        <v>AREA EXTERNA DA ARQUIBANCADA</v>
      </c>
      <c r="C2014" s="26">
        <v>88489</v>
      </c>
      <c r="D2014" s="26" t="s">
        <v>8</v>
      </c>
      <c r="E2014" s="447" t="str">
        <f>IFERROR(VLOOKUP($C2014,'SINAPI JULHO 2018'!$1:$1048576,2,0),IFERROR(VLOOKUP($C2014,'5-COMP. PROPRIA'!$B$13:$I$518,4,0),""))</f>
        <v>APLICAÇÃO MANUAL DE PINTURA COM TINTA LÁTEX ACRÍLICA EM PAREDES, DUAS DEMÃOS. AF_06/2014</v>
      </c>
      <c r="F2014" s="448"/>
      <c r="G2014" s="448"/>
      <c r="H2014" s="448"/>
      <c r="I2014" s="448"/>
      <c r="J2014" s="449"/>
      <c r="K2014" s="184">
        <f>K2012</f>
        <v>158.29999999999998</v>
      </c>
      <c r="L2014" s="57" t="s">
        <v>145</v>
      </c>
      <c r="M2014" s="93"/>
      <c r="N2014" s="68"/>
      <c r="O2014" s="115"/>
      <c r="Q2014" s="127"/>
    </row>
    <row r="2015" spans="2:17" ht="15">
      <c r="B2015" s="150"/>
      <c r="C2015" s="16"/>
      <c r="D2015" s="16"/>
      <c r="E2015" s="276"/>
      <c r="F2015" s="221"/>
      <c r="G2015" s="221"/>
      <c r="H2015" s="221"/>
      <c r="I2015" s="221"/>
      <c r="J2015" s="222"/>
      <c r="K2015" s="184"/>
      <c r="L2015" s="57"/>
      <c r="M2015" s="93"/>
      <c r="N2015" s="68"/>
      <c r="O2015" s="115"/>
      <c r="Q2015" s="127"/>
    </row>
    <row r="2016" spans="2:17" ht="15">
      <c r="B2016" s="150"/>
      <c r="C2016" s="16"/>
      <c r="D2016" s="16"/>
      <c r="E2016" s="453" t="s">
        <v>313</v>
      </c>
      <c r="F2016" s="454"/>
      <c r="G2016" s="454"/>
      <c r="H2016" s="454"/>
      <c r="I2016" s="454"/>
      <c r="J2016" s="455"/>
      <c r="K2016" s="184"/>
      <c r="L2016" s="57"/>
      <c r="M2016" s="93"/>
      <c r="N2016" s="68"/>
      <c r="O2016" s="115"/>
      <c r="Q2016" s="127"/>
    </row>
    <row r="2017" spans="2:17" ht="15">
      <c r="B2017" s="150"/>
      <c r="C2017" s="16"/>
      <c r="D2017" s="16"/>
      <c r="E2017" s="266"/>
      <c r="F2017" s="99"/>
      <c r="G2017" s="99"/>
      <c r="H2017" s="99"/>
      <c r="I2017" s="99"/>
      <c r="J2017" s="267"/>
      <c r="K2017" s="184"/>
      <c r="L2017" s="57"/>
      <c r="M2017" s="93"/>
      <c r="N2017" s="68"/>
      <c r="O2017" s="115"/>
      <c r="Q2017" s="127"/>
    </row>
    <row r="2018" spans="2:17" ht="15">
      <c r="B2018" s="150"/>
      <c r="C2018" s="136" t="s">
        <v>189</v>
      </c>
      <c r="D2018" s="94" t="s">
        <v>35</v>
      </c>
      <c r="E2018" s="447" t="str">
        <f>IFERROR(VLOOKUP($C2018,'SINAPI JULHO 2018'!$1:$1048576,2,0),IFERROR(VLOOKUP($C2018,'5-COMP. PROPRIA'!$B$13:$I$518,4,0),""))</f>
        <v>AQUISIÇÃO DE CARGA E TRANSPORTE DE SOLO PARA ATERRO</v>
      </c>
      <c r="F2018" s="448"/>
      <c r="G2018" s="448"/>
      <c r="H2018" s="448"/>
      <c r="I2018" s="448"/>
      <c r="J2018" s="449"/>
      <c r="K2018" s="184">
        <f>K2020</f>
        <v>157.5</v>
      </c>
      <c r="L2018" s="57" t="s">
        <v>178</v>
      </c>
      <c r="M2018" s="93"/>
      <c r="N2018" s="68"/>
      <c r="O2018" s="115"/>
      <c r="Q2018" s="127"/>
    </row>
    <row r="2019" spans="2:17" ht="15">
      <c r="B2019" s="150"/>
      <c r="C2019" s="136"/>
      <c r="D2019" s="94"/>
      <c r="E2019" s="384" t="s">
        <v>314</v>
      </c>
      <c r="F2019" s="54" t="s">
        <v>315</v>
      </c>
      <c r="G2019" s="506" t="s">
        <v>316</v>
      </c>
      <c r="H2019" s="506"/>
      <c r="I2019" s="221"/>
      <c r="J2019" s="222"/>
      <c r="K2019" s="184"/>
      <c r="L2019" s="57"/>
      <c r="M2019" s="93"/>
      <c r="N2019" s="68"/>
      <c r="O2019" s="115"/>
      <c r="Q2019" s="127"/>
    </row>
    <row r="2020" spans="2:17" ht="15">
      <c r="B2020" s="150"/>
      <c r="C2020" s="136"/>
      <c r="D2020" s="94"/>
      <c r="E2020" s="276">
        <v>2.25</v>
      </c>
      <c r="F2020" s="221">
        <v>35</v>
      </c>
      <c r="G2020" s="506">
        <v>2</v>
      </c>
      <c r="H2020" s="506"/>
      <c r="I2020" s="221"/>
      <c r="J2020" s="222"/>
      <c r="K2020" s="184">
        <f>E2020*F2020*G2020</f>
        <v>157.5</v>
      </c>
      <c r="L2020" s="57"/>
      <c r="M2020" s="93"/>
      <c r="N2020" s="68"/>
      <c r="O2020" s="115"/>
      <c r="Q2020" s="127"/>
    </row>
    <row r="2021" spans="2:17" ht="15">
      <c r="B2021" s="150"/>
      <c r="C2021" s="136"/>
      <c r="D2021" s="136"/>
      <c r="E2021" s="276"/>
      <c r="F2021" s="221"/>
      <c r="G2021" s="221"/>
      <c r="H2021" s="221"/>
      <c r="I2021" s="221"/>
      <c r="J2021" s="222"/>
      <c r="K2021" s="184"/>
      <c r="L2021" s="57"/>
      <c r="M2021" s="93"/>
      <c r="N2021" s="68"/>
      <c r="O2021" s="115"/>
      <c r="Q2021" s="127"/>
    </row>
    <row r="2022" spans="2:17" ht="39" customHeight="1">
      <c r="B2022" s="150"/>
      <c r="C2022" s="136">
        <v>96385</v>
      </c>
      <c r="D2022" s="26" t="s">
        <v>8</v>
      </c>
      <c r="E2022" s="447" t="str">
        <f>IFERROR(VLOOKUP($C2022,'SINAPI JULHO 2018'!$1:$1048576,2,0),IFERROR(VLOOKUP($C2022,'5-COMP. PROPRIA'!$B$13:$I$518,4,0),""))</f>
        <v>EXECUÇÃO E COMPACTAÇÃO DE ATERRO COM SOLO PREDOMINANTEMENTE ARGILOSO - EXCLUSIVE ESCAVAÇÃO, CARGA E TRANSPORTE E SOLO. AF_09/2017</v>
      </c>
      <c r="F2022" s="448"/>
      <c r="G2022" s="448"/>
      <c r="H2022" s="448"/>
      <c r="I2022" s="448"/>
      <c r="J2022" s="449"/>
      <c r="K2022" s="184">
        <f>K2018</f>
        <v>157.5</v>
      </c>
      <c r="L2022" s="57" t="s">
        <v>178</v>
      </c>
      <c r="M2022" s="93"/>
      <c r="N2022" s="68"/>
      <c r="O2022" s="115"/>
      <c r="Q2022" s="127"/>
    </row>
    <row r="2023" spans="2:17" ht="15">
      <c r="B2023" s="150"/>
      <c r="C2023" s="16"/>
      <c r="D2023" s="16"/>
      <c r="E2023" s="276"/>
      <c r="F2023" s="221"/>
      <c r="G2023" s="221"/>
      <c r="H2023" s="221"/>
      <c r="I2023" s="221"/>
      <c r="J2023" s="222"/>
      <c r="K2023" s="184"/>
      <c r="L2023" s="57"/>
      <c r="M2023" s="93"/>
      <c r="N2023" s="68"/>
      <c r="O2023" s="115"/>
      <c r="Q2023" s="127"/>
    </row>
    <row r="2024" spans="2:17" ht="15">
      <c r="B2024" s="150"/>
      <c r="C2024" s="188"/>
      <c r="D2024" s="188"/>
      <c r="E2024" s="453" t="s">
        <v>317</v>
      </c>
      <c r="F2024" s="454"/>
      <c r="G2024" s="454"/>
      <c r="H2024" s="454"/>
      <c r="I2024" s="454"/>
      <c r="J2024" s="455"/>
      <c r="K2024" s="264"/>
      <c r="L2024" s="263"/>
      <c r="M2024" s="93"/>
      <c r="N2024" s="68"/>
      <c r="O2024" s="115"/>
      <c r="Q2024" s="127"/>
    </row>
    <row r="2025" spans="2:17" ht="15">
      <c r="B2025" s="150"/>
      <c r="E2025" s="276"/>
      <c r="F2025" s="221"/>
      <c r="G2025" s="221"/>
      <c r="H2025" s="221"/>
      <c r="I2025" s="221"/>
      <c r="J2025" s="222"/>
      <c r="K2025" s="184"/>
      <c r="M2025" s="93"/>
      <c r="N2025" s="68"/>
      <c r="O2025" s="115"/>
      <c r="Q2025" s="127"/>
    </row>
    <row r="2026" spans="2:17" ht="31.5" customHeight="1">
      <c r="B2026" s="150"/>
      <c r="C2026" s="26">
        <v>94964</v>
      </c>
      <c r="D2026" s="26" t="s">
        <v>8</v>
      </c>
      <c r="E2026" s="447" t="str">
        <f>IFERROR(VLOOKUP($C2026,'SINAPI JULHO 2018'!$1:$1048576,2,0),IFERROR(VLOOKUP($C2026,'5-COMP. PROPRIA'!$B$13:$I$518,4,0),""))</f>
        <v>CONCRETO FCK = 20MPA, TRAÇO 1:2,7:3 (CIMENTO/ AREIA MÉDIA/ BRITA 1)  - PREPARO MECÂNICO COM BETONEIRA 400 L. AF_07/2016</v>
      </c>
      <c r="F2026" s="448"/>
      <c r="G2026" s="448"/>
      <c r="H2026" s="448"/>
      <c r="I2026" s="448"/>
      <c r="J2026" s="449"/>
      <c r="K2026" s="184">
        <f>(35*0.75*4*0.08)*2</f>
        <v>16.8</v>
      </c>
      <c r="L2026" s="57" t="s">
        <v>178</v>
      </c>
      <c r="M2026" s="93"/>
      <c r="N2026" s="68"/>
      <c r="O2026" s="115"/>
      <c r="Q2026" s="127"/>
    </row>
    <row r="2027" spans="2:17" ht="15">
      <c r="B2027" s="150"/>
      <c r="E2027" s="276"/>
      <c r="F2027" s="221"/>
      <c r="G2027" s="221"/>
      <c r="H2027" s="221"/>
      <c r="I2027" s="221"/>
      <c r="J2027" s="222"/>
      <c r="K2027" s="184"/>
      <c r="M2027" s="93"/>
      <c r="N2027" s="68"/>
      <c r="O2027" s="115"/>
      <c r="Q2027" s="127"/>
    </row>
    <row r="2028" spans="2:17" ht="15">
      <c r="B2028" s="150"/>
      <c r="C2028" s="16" t="s">
        <v>111</v>
      </c>
      <c r="D2028" s="26" t="s">
        <v>8</v>
      </c>
      <c r="E2028" s="447" t="str">
        <f>IFERROR(VLOOKUP($C2028,'SINAPI JULHO 2018'!$1:$1048576,2,0),IFERROR(VLOOKUP($C2028,'5-COMP. PROPRIA'!$B$13:$I$518,4,0),""))</f>
        <v>LANCAMENTO/APLICACAO MANUAL DE CONCRETO EM FUNDACOES</v>
      </c>
      <c r="F2028" s="448"/>
      <c r="G2028" s="448"/>
      <c r="H2028" s="448"/>
      <c r="I2028" s="448"/>
      <c r="J2028" s="449"/>
      <c r="K2028" s="184">
        <f>K2026</f>
        <v>16.8</v>
      </c>
      <c r="L2028" s="57" t="s">
        <v>178</v>
      </c>
      <c r="M2028" s="93"/>
      <c r="N2028" s="68"/>
      <c r="O2028" s="115"/>
      <c r="Q2028" s="127"/>
    </row>
    <row r="2029" spans="2:17" ht="15">
      <c r="B2029" s="150"/>
      <c r="E2029" s="276"/>
      <c r="F2029" s="221"/>
      <c r="G2029" s="221"/>
      <c r="H2029" s="221"/>
      <c r="I2029" s="221"/>
      <c r="J2029" s="222"/>
      <c r="K2029" s="184"/>
      <c r="M2029" s="93"/>
      <c r="N2029" s="68"/>
      <c r="O2029" s="115"/>
      <c r="Q2029" s="127"/>
    </row>
    <row r="2030" spans="2:17" ht="15">
      <c r="B2030" s="150"/>
      <c r="C2030" s="26">
        <v>85662</v>
      </c>
      <c r="D2030" s="26" t="s">
        <v>8</v>
      </c>
      <c r="E2030" s="447" t="str">
        <f>IFERROR(VLOOKUP($C2030,'SINAPI JULHO 2018'!$1:$1048576,2,0),IFERROR(VLOOKUP($C2030,'5-COMP. PROPRIA'!$B$13:$I$518,4,0),""))</f>
        <v>ARMACAO EM TELA DE ACO SOLDADA NERVURADA Q-92, ACO CA-60, 4,2MM, MALHA 15X15CM</v>
      </c>
      <c r="F2030" s="448"/>
      <c r="G2030" s="448"/>
      <c r="H2030" s="448"/>
      <c r="I2030" s="448"/>
      <c r="J2030" s="449"/>
      <c r="K2030" s="184">
        <f>(35*0.75*4)*2</f>
        <v>210</v>
      </c>
      <c r="L2030" s="57" t="s">
        <v>145</v>
      </c>
      <c r="M2030" s="93"/>
      <c r="N2030" s="68"/>
      <c r="O2030" s="115"/>
      <c r="Q2030" s="127"/>
    </row>
    <row r="2031" spans="2:17" ht="15">
      <c r="B2031" s="150"/>
      <c r="E2031" s="276"/>
      <c r="F2031" s="221"/>
      <c r="G2031" s="221"/>
      <c r="H2031" s="221"/>
      <c r="I2031" s="221"/>
      <c r="J2031" s="222"/>
      <c r="K2031" s="184"/>
      <c r="M2031" s="93"/>
      <c r="N2031" s="68"/>
      <c r="O2031" s="115"/>
      <c r="Q2031" s="127"/>
    </row>
    <row r="2032" spans="2:17" ht="38.25" customHeight="1">
      <c r="B2032" s="150"/>
      <c r="C2032" s="26">
        <v>92486</v>
      </c>
      <c r="D2032" s="26" t="s">
        <v>8</v>
      </c>
      <c r="E2032" s="447" t="str">
        <f>IFERROR(VLOOKUP($C2032,'SINAPI JULHO 2018'!$1:$1048576,2,0),IFERROR(VLOOKUP($C2032,'5-COMP. PROPRIA'!$B$13:$I$518,4,0),""))</f>
        <v>MONTAGEM E DESMONTAGEM DE FÔRMA DE LAJE MACIÇA COM ÁREA MÉDIA MAIOR QUE 20 M², PÉ-DIREITO SIMPLES, EM MADEIRA SERRADA, 4 UTILIZAÇÕES. AF_12/2015</v>
      </c>
      <c r="F2032" s="448"/>
      <c r="G2032" s="448"/>
      <c r="H2032" s="448"/>
      <c r="I2032" s="448"/>
      <c r="J2032" s="449"/>
      <c r="K2032" s="184">
        <f>(35*0.75*4)*2*1.5</f>
        <v>315</v>
      </c>
      <c r="L2032" s="57" t="s">
        <v>145</v>
      </c>
      <c r="M2032" s="93"/>
      <c r="N2032" s="68"/>
      <c r="O2032" s="115"/>
      <c r="Q2032" s="127"/>
    </row>
    <row r="2033" spans="2:17" ht="15">
      <c r="B2033" s="150"/>
      <c r="E2033" s="276"/>
      <c r="F2033" s="221"/>
      <c r="G2033" s="221"/>
      <c r="H2033" s="221"/>
      <c r="I2033" s="221"/>
      <c r="J2033" s="222"/>
      <c r="K2033" s="184"/>
      <c r="M2033" s="93"/>
      <c r="N2033" s="68"/>
      <c r="O2033" s="115"/>
      <c r="Q2033" s="127"/>
    </row>
    <row r="2034" spans="2:17" ht="23.25" customHeight="1">
      <c r="B2034" s="150"/>
      <c r="C2034" s="26">
        <v>40780</v>
      </c>
      <c r="D2034" s="26" t="s">
        <v>8</v>
      </c>
      <c r="E2034" s="447" t="str">
        <f>IFERROR(VLOOKUP($C2034,'SINAPI JULHO 2018'!$1:$1048576,2,0),IFERROR(VLOOKUP($C2034,'5-COMP. PROPRIA'!$B$13:$I$518,4,0),""))</f>
        <v>REGULARIZAÇÃO DE SUPERFICIE DE CONCRETO APARENTE</v>
      </c>
      <c r="F2034" s="448"/>
      <c r="G2034" s="448"/>
      <c r="H2034" s="448"/>
      <c r="I2034" s="448"/>
      <c r="J2034" s="449"/>
      <c r="K2034" s="184">
        <f>K2030</f>
        <v>210</v>
      </c>
      <c r="L2034" s="57" t="s">
        <v>145</v>
      </c>
      <c r="M2034" s="93"/>
      <c r="N2034" s="68"/>
      <c r="O2034" s="115"/>
      <c r="Q2034" s="127"/>
    </row>
    <row r="2035" spans="2:17" ht="15">
      <c r="B2035" s="150"/>
      <c r="E2035" s="276"/>
      <c r="F2035" s="221"/>
      <c r="G2035" s="221"/>
      <c r="H2035" s="221"/>
      <c r="I2035" s="221"/>
      <c r="J2035" s="222"/>
      <c r="K2035" s="184"/>
      <c r="M2035" s="93"/>
      <c r="N2035" s="68"/>
      <c r="O2035" s="115"/>
      <c r="Q2035" s="127"/>
    </row>
    <row r="2036" spans="2:17" ht="15">
      <c r="B2036" s="150"/>
      <c r="C2036" s="94" t="s">
        <v>210</v>
      </c>
      <c r="D2036" s="26" t="s">
        <v>8</v>
      </c>
      <c r="E2036" s="447" t="str">
        <f>IFERROR(VLOOKUP($C2036,'SINAPI JULHO 2018'!$1:$1048576,2,0),IFERROR(VLOOKUP($C2036,'5-COMP. PROPRIA'!$B$13:$I$518,4,0),""))</f>
        <v>PINTURA ACRILICA EM PISO CIMENTADO, TRES DEMAOS</v>
      </c>
      <c r="F2036" s="448"/>
      <c r="G2036" s="448"/>
      <c r="H2036" s="448"/>
      <c r="I2036" s="448"/>
      <c r="J2036" s="449"/>
      <c r="K2036" s="184">
        <f>K2030</f>
        <v>210</v>
      </c>
      <c r="L2036" s="57" t="s">
        <v>145</v>
      </c>
      <c r="M2036" s="93"/>
      <c r="N2036" s="68"/>
      <c r="O2036" s="115"/>
      <c r="Q2036" s="127"/>
    </row>
    <row r="2037" spans="2:17" ht="15">
      <c r="B2037" s="150"/>
      <c r="E2037" s="276"/>
      <c r="F2037" s="221"/>
      <c r="G2037" s="221"/>
      <c r="H2037" s="221"/>
      <c r="I2037" s="221"/>
      <c r="J2037" s="222"/>
      <c r="K2037" s="184"/>
      <c r="M2037" s="93"/>
      <c r="N2037" s="68"/>
      <c r="O2037" s="115"/>
      <c r="Q2037" s="127"/>
    </row>
    <row r="2038" spans="2:17" ht="15">
      <c r="B2038" s="150"/>
      <c r="C2038" s="188"/>
      <c r="D2038" s="188"/>
      <c r="E2038" s="453" t="s">
        <v>182</v>
      </c>
      <c r="F2038" s="454"/>
      <c r="G2038" s="454"/>
      <c r="H2038" s="454"/>
      <c r="I2038" s="454"/>
      <c r="J2038" s="455"/>
      <c r="K2038" s="264"/>
      <c r="L2038" s="263"/>
      <c r="M2038" s="93"/>
      <c r="N2038" s="68"/>
      <c r="O2038" s="115"/>
      <c r="Q2038" s="127"/>
    </row>
    <row r="2039" spans="2:17" ht="15">
      <c r="B2039" s="150"/>
      <c r="E2039" s="276"/>
      <c r="F2039" s="221"/>
      <c r="G2039" s="221"/>
      <c r="H2039" s="221"/>
      <c r="I2039" s="221"/>
      <c r="J2039" s="222"/>
      <c r="K2039" s="184"/>
      <c r="M2039" s="93"/>
      <c r="N2039" s="68"/>
      <c r="O2039" s="115"/>
      <c r="Q2039" s="127"/>
    </row>
    <row r="2040" spans="2:17" ht="15">
      <c r="B2040" s="150"/>
      <c r="C2040" s="94" t="s">
        <v>183</v>
      </c>
      <c r="D2040" s="26" t="s">
        <v>8</v>
      </c>
      <c r="E2040" s="447" t="str">
        <f>IFERROR(VLOOKUP($C2040,'SINAPI JULHO 2018'!$1:$1048576,2,0),IFERROR(VLOOKUP($C2040,'5-COMP. PROPRIA'!$B$13:$I$518,4,0),""))</f>
        <v>GUARDA-CORPO  COM CORRIMAO EM FERRO BARRA CHATA 3/16"</v>
      </c>
      <c r="F2040" s="448"/>
      <c r="G2040" s="448"/>
      <c r="H2040" s="448"/>
      <c r="I2040" s="448"/>
      <c r="J2040" s="449"/>
      <c r="K2040" s="184">
        <f>(3.5*2)*2</f>
        <v>14</v>
      </c>
      <c r="L2040" s="57" t="s">
        <v>172</v>
      </c>
      <c r="M2040" s="93"/>
      <c r="N2040" s="68"/>
      <c r="O2040" s="115"/>
      <c r="Q2040" s="127"/>
    </row>
    <row r="2041" spans="2:17" ht="15">
      <c r="B2041" s="150"/>
      <c r="E2041" s="276"/>
      <c r="F2041" s="221"/>
      <c r="G2041" s="221"/>
      <c r="H2041" s="221"/>
      <c r="I2041" s="221"/>
      <c r="J2041" s="222"/>
      <c r="K2041" s="184"/>
      <c r="M2041" s="93"/>
      <c r="N2041" s="68"/>
      <c r="O2041" s="115"/>
      <c r="Q2041" s="127"/>
    </row>
    <row r="2042" spans="2:17" ht="15">
      <c r="B2042" s="150"/>
      <c r="C2042" s="94" t="s">
        <v>141</v>
      </c>
      <c r="D2042" s="16" t="s">
        <v>35</v>
      </c>
      <c r="E2042" s="447" t="str">
        <f>IFERROR(VLOOKUP($C2042,'SINAPI JULHO 2018'!$1:$1048576,2,0),IFERROR(VLOOKUP($C2042,'5-COMP. PROPRIA'!$B$13:$I$518,4,0),""))</f>
        <v xml:space="preserve">LIXAMENTO DE SUPERFICIE METÁLICA </v>
      </c>
      <c r="F2042" s="448"/>
      <c r="G2042" s="448"/>
      <c r="H2042" s="448"/>
      <c r="I2042" s="448"/>
      <c r="J2042" s="449"/>
      <c r="K2042" s="184">
        <f>K2040*2*1.2</f>
        <v>33.6</v>
      </c>
      <c r="L2042" s="57" t="s">
        <v>145</v>
      </c>
      <c r="M2042" s="93"/>
      <c r="N2042" s="68"/>
      <c r="O2042" s="115"/>
      <c r="Q2042" s="127"/>
    </row>
    <row r="2043" spans="2:17" ht="15">
      <c r="B2043" s="150"/>
      <c r="E2043" s="276"/>
      <c r="F2043" s="221"/>
      <c r="G2043" s="221"/>
      <c r="H2043" s="221"/>
      <c r="I2043" s="221"/>
      <c r="J2043" s="222"/>
      <c r="K2043" s="184"/>
      <c r="L2043" s="57"/>
      <c r="M2043" s="93"/>
      <c r="N2043" s="68"/>
      <c r="O2043" s="115"/>
      <c r="Q2043" s="127"/>
    </row>
    <row r="2044" spans="2:17" ht="15">
      <c r="B2044" s="150"/>
      <c r="C2044" s="94" t="s">
        <v>142</v>
      </c>
      <c r="D2044" s="26" t="s">
        <v>8</v>
      </c>
      <c r="E2044" s="447" t="str">
        <f>IFERROR(VLOOKUP($C2044,'SINAPI JULHO 2018'!$1:$1048576,2,0),IFERROR(VLOOKUP($C2044,'5-COMP. PROPRIA'!$B$13:$I$518,4,0),""))</f>
        <v>PINTURA ESMALTE ALTO BRILHO, DUAS DEMAOS, SOBRE SUPERFICIE METALICA</v>
      </c>
      <c r="F2044" s="448"/>
      <c r="G2044" s="448"/>
      <c r="H2044" s="448"/>
      <c r="I2044" s="448"/>
      <c r="J2044" s="449"/>
      <c r="K2044" s="184">
        <f>K2042</f>
        <v>33.6</v>
      </c>
      <c r="L2044" s="57" t="s">
        <v>145</v>
      </c>
      <c r="M2044" s="93"/>
      <c r="N2044" s="68"/>
      <c r="O2044" s="115"/>
      <c r="Q2044" s="127"/>
    </row>
    <row r="2045" spans="2:17" ht="15">
      <c r="B2045" s="150"/>
      <c r="E2045" s="276"/>
      <c r="F2045" s="221"/>
      <c r="G2045" s="221"/>
      <c r="H2045" s="221"/>
      <c r="I2045" s="221"/>
      <c r="J2045" s="222"/>
      <c r="K2045" s="184"/>
      <c r="M2045" s="93"/>
      <c r="N2045" s="68"/>
      <c r="O2045" s="115"/>
      <c r="Q2045" s="127"/>
    </row>
    <row r="2046" spans="2:17" ht="15">
      <c r="B2046" s="150"/>
      <c r="C2046" s="188"/>
      <c r="D2046" s="188"/>
      <c r="E2046" s="453" t="s">
        <v>318</v>
      </c>
      <c r="F2046" s="454"/>
      <c r="G2046" s="454"/>
      <c r="H2046" s="454"/>
      <c r="I2046" s="454"/>
      <c r="J2046" s="455"/>
      <c r="K2046" s="264"/>
      <c r="L2046" s="263"/>
      <c r="M2046" s="93"/>
      <c r="N2046" s="68"/>
      <c r="O2046" s="115"/>
      <c r="Q2046" s="127"/>
    </row>
    <row r="2047" spans="2:17" ht="15">
      <c r="B2047" s="150"/>
      <c r="E2047" s="276"/>
      <c r="F2047" s="221"/>
      <c r="G2047" s="221"/>
      <c r="H2047" s="221"/>
      <c r="I2047" s="221"/>
      <c r="J2047" s="222"/>
      <c r="K2047" s="184"/>
      <c r="M2047" s="93"/>
      <c r="N2047" s="68"/>
      <c r="O2047" s="115"/>
      <c r="Q2047" s="127"/>
    </row>
    <row r="2048" spans="2:17" ht="15">
      <c r="B2048" s="150"/>
      <c r="C2048" s="136" t="s">
        <v>253</v>
      </c>
      <c r="D2048" s="26" t="s">
        <v>8</v>
      </c>
      <c r="E2048" s="447" t="str">
        <f>IFERROR(VLOOKUP($C2048,'SINAPI JULHO 2018'!$1:$1048576,2,0),IFERROR(VLOOKUP($C2048,'5-COMP. PROPRIA'!$B$13:$I$518,4,0),""))</f>
        <v>CAPINA E LIMPEZA MANUAL DE TERRENO</v>
      </c>
      <c r="F2048" s="448"/>
      <c r="G2048" s="448"/>
      <c r="H2048" s="448"/>
      <c r="I2048" s="448"/>
      <c r="J2048" s="449"/>
      <c r="K2048" s="184">
        <v>298</v>
      </c>
      <c r="L2048" s="57" t="s">
        <v>145</v>
      </c>
      <c r="M2048" s="93"/>
      <c r="N2048" s="68"/>
      <c r="O2048" s="115"/>
      <c r="Q2048" s="127"/>
    </row>
    <row r="2049" spans="2:17" ht="15">
      <c r="B2049" s="150"/>
      <c r="E2049" s="276"/>
      <c r="F2049" s="221"/>
      <c r="G2049" s="221"/>
      <c r="H2049" s="221"/>
      <c r="I2049" s="221"/>
      <c r="J2049" s="222"/>
      <c r="K2049" s="184"/>
      <c r="M2049" s="93"/>
      <c r="N2049" s="68"/>
      <c r="O2049" s="115"/>
      <c r="Q2049" s="127"/>
    </row>
    <row r="2050" spans="2:17" ht="30.75" customHeight="1">
      <c r="B2050" s="150"/>
      <c r="C2050" s="94">
        <v>95241</v>
      </c>
      <c r="D2050" s="26" t="s">
        <v>8</v>
      </c>
      <c r="E2050" s="447" t="str">
        <f>IFERROR(VLOOKUP($C2050,'SINAPI JULHO 2018'!$1:$1048576,2,0),IFERROR(VLOOKUP($C2050,'5-COMP. PROPRIA'!$B$13:$I$518,4,0),""))</f>
        <v>LASTRO DE CONCRETO MAGRO, APLICADO EM PISOS OU RADIERS, ESPESSURA DE 5 CM. AF_07/2016</v>
      </c>
      <c r="F2050" s="448"/>
      <c r="G2050" s="448"/>
      <c r="H2050" s="448"/>
      <c r="I2050" s="448"/>
      <c r="J2050" s="449"/>
      <c r="K2050" s="184">
        <f>K2048</f>
        <v>298</v>
      </c>
      <c r="L2050" s="57" t="s">
        <v>145</v>
      </c>
      <c r="M2050" s="93"/>
      <c r="N2050" s="68"/>
      <c r="O2050" s="115"/>
      <c r="Q2050" s="127"/>
    </row>
    <row r="2051" spans="2:17" ht="15">
      <c r="B2051" s="150"/>
      <c r="E2051" s="276"/>
      <c r="F2051" s="221"/>
      <c r="G2051" s="221"/>
      <c r="H2051" s="221"/>
      <c r="I2051" s="221"/>
      <c r="J2051" s="222"/>
      <c r="K2051" s="184"/>
      <c r="L2051" s="57"/>
      <c r="M2051" s="93"/>
      <c r="N2051" s="68"/>
      <c r="O2051" s="115"/>
      <c r="Q2051" s="127"/>
    </row>
    <row r="2052" spans="2:17" ht="38.25" customHeight="1">
      <c r="B2052" s="150"/>
      <c r="C2052" s="94">
        <v>94992</v>
      </c>
      <c r="D2052" s="26" t="s">
        <v>8</v>
      </c>
      <c r="E2052" s="447" t="str">
        <f>IFERROR(VLOOKUP($C2052,'SINAPI JULHO 2018'!$1:$1048576,2,0),IFERROR(VLOOKUP($C2052,'5-COMP. PROPRIA'!$B$13:$I$518,4,0),""))</f>
        <v>EXECUÇÃO DE PASSEIO (CALÇADA) OU PISO DE CONCRETO COM CONCRETO MOLDADO IN LOCO, FEITO EM OBRA, ACABAMENTO CONVENCIONAL, ESPESSURA 6 CM, ARMADO. AF_07/2016</v>
      </c>
      <c r="F2052" s="448"/>
      <c r="G2052" s="448"/>
      <c r="H2052" s="448"/>
      <c r="I2052" s="448"/>
      <c r="J2052" s="449"/>
      <c r="K2052" s="184">
        <f>K2050</f>
        <v>298</v>
      </c>
      <c r="L2052" s="57" t="s">
        <v>145</v>
      </c>
      <c r="M2052" s="93"/>
      <c r="N2052" s="68"/>
      <c r="O2052" s="115"/>
      <c r="Q2052" s="127"/>
    </row>
    <row r="2053" spans="2:17" ht="15">
      <c r="B2053" s="150"/>
      <c r="E2053" s="276"/>
      <c r="F2053" s="221"/>
      <c r="G2053" s="221"/>
      <c r="H2053" s="221"/>
      <c r="I2053" s="221"/>
      <c r="J2053" s="222"/>
      <c r="K2053" s="184"/>
      <c r="M2053" s="93"/>
      <c r="N2053" s="68"/>
      <c r="O2053" s="115"/>
      <c r="Q2053" s="127"/>
    </row>
    <row r="2054" spans="2:17" ht="15">
      <c r="B2054" s="150"/>
      <c r="C2054" s="136" t="s">
        <v>210</v>
      </c>
      <c r="D2054" s="26" t="s">
        <v>8</v>
      </c>
      <c r="E2054" s="447" t="str">
        <f>IFERROR(VLOOKUP($C2054,'SINAPI JULHO 2018'!$1:$1048576,2,0),IFERROR(VLOOKUP($C2054,'5-COMP. PROPRIA'!$B$13:$I$518,4,0),""))</f>
        <v>PINTURA ACRILICA EM PISO CIMENTADO, TRES DEMAOS</v>
      </c>
      <c r="F2054" s="448"/>
      <c r="G2054" s="448"/>
      <c r="H2054" s="448"/>
      <c r="I2054" s="448"/>
      <c r="J2054" s="449"/>
      <c r="K2054" s="184">
        <f>K2052</f>
        <v>298</v>
      </c>
      <c r="L2054" s="57" t="s">
        <v>145</v>
      </c>
      <c r="M2054" s="93"/>
      <c r="N2054" s="68"/>
      <c r="O2054" s="115"/>
      <c r="Q2054" s="127"/>
    </row>
    <row r="2055" spans="2:17" ht="15.75" thickBot="1">
      <c r="B2055" s="150"/>
      <c r="E2055" s="276"/>
      <c r="F2055" s="221"/>
      <c r="G2055" s="221"/>
      <c r="H2055" s="221"/>
      <c r="I2055" s="221"/>
      <c r="J2055" s="222"/>
      <c r="K2055" s="184"/>
      <c r="M2055" s="93"/>
      <c r="N2055" s="68"/>
      <c r="O2055" s="115"/>
      <c r="Q2055" s="127"/>
    </row>
    <row r="2056" spans="2:17" s="320" customFormat="1" ht="15.75" thickBot="1">
      <c r="B2056" s="322"/>
      <c r="C2056" s="323"/>
      <c r="D2056" s="379"/>
      <c r="E2056" s="459" t="s">
        <v>319</v>
      </c>
      <c r="F2056" s="460"/>
      <c r="G2056" s="460"/>
      <c r="H2056" s="460"/>
      <c r="I2056" s="460"/>
      <c r="J2056" s="461"/>
      <c r="K2056" s="350"/>
      <c r="L2056" s="325"/>
      <c r="M2056" s="352"/>
      <c r="N2056" s="318"/>
      <c r="O2056" s="319"/>
      <c r="Q2056" s="321"/>
    </row>
    <row r="2057" spans="2:17" ht="15.75" thickBot="1">
      <c r="B2057" s="150"/>
      <c r="E2057" s="276"/>
      <c r="F2057" s="221"/>
      <c r="G2057" s="221"/>
      <c r="H2057" s="221"/>
      <c r="I2057" s="221"/>
      <c r="J2057" s="222"/>
      <c r="K2057" s="184"/>
      <c r="M2057" s="93"/>
      <c r="N2057" s="68"/>
      <c r="O2057" s="115"/>
      <c r="Q2057" s="127"/>
    </row>
    <row r="2058" spans="2:17" s="320" customFormat="1" ht="15.75" thickBot="1">
      <c r="B2058" s="322"/>
      <c r="C2058" s="323"/>
      <c r="D2058" s="379"/>
      <c r="E2058" s="459" t="s">
        <v>320</v>
      </c>
      <c r="F2058" s="460"/>
      <c r="G2058" s="460"/>
      <c r="H2058" s="460"/>
      <c r="I2058" s="460"/>
      <c r="J2058" s="461"/>
      <c r="K2058" s="350"/>
      <c r="L2058" s="325"/>
      <c r="M2058" s="352"/>
      <c r="N2058" s="318"/>
      <c r="O2058" s="319"/>
      <c r="Q2058" s="321"/>
    </row>
    <row r="2059" spans="2:17" ht="15">
      <c r="B2059" s="150"/>
      <c r="E2059" s="276"/>
      <c r="F2059" s="221"/>
      <c r="G2059" s="221"/>
      <c r="H2059" s="221"/>
      <c r="I2059" s="221"/>
      <c r="J2059" s="222"/>
      <c r="K2059" s="184"/>
      <c r="M2059" s="93"/>
      <c r="N2059" s="68"/>
      <c r="O2059" s="115"/>
      <c r="Q2059" s="127"/>
    </row>
    <row r="2060" spans="2:17" ht="15">
      <c r="B2060" s="150"/>
      <c r="C2060" s="94"/>
      <c r="D2060" s="16"/>
      <c r="E2060" s="453" t="s">
        <v>321</v>
      </c>
      <c r="F2060" s="454"/>
      <c r="G2060" s="454"/>
      <c r="H2060" s="454"/>
      <c r="I2060" s="454"/>
      <c r="J2060" s="455"/>
      <c r="K2060" s="183"/>
      <c r="L2060" s="57"/>
      <c r="M2060" s="93"/>
      <c r="N2060" s="68"/>
      <c r="O2060" s="115"/>
      <c r="Q2060" s="127"/>
    </row>
    <row r="2061" spans="2:17">
      <c r="B2061" s="150"/>
      <c r="C2061" s="94"/>
      <c r="D2061" s="16"/>
      <c r="E2061" s="113"/>
      <c r="J2061" s="102"/>
      <c r="K2061" s="183"/>
      <c r="L2061" s="57"/>
      <c r="M2061" s="93"/>
      <c r="N2061" s="68"/>
      <c r="O2061" s="115"/>
      <c r="Q2061" s="127"/>
    </row>
    <row r="2062" spans="2:17" ht="33.75" customHeight="1">
      <c r="B2062" s="76" t="s">
        <v>322</v>
      </c>
      <c r="C2062" s="94">
        <v>89711</v>
      </c>
      <c r="D2062" s="16" t="s">
        <v>8</v>
      </c>
      <c r="E2062" s="447" t="str">
        <f>IFERROR(VLOOKUP($C2062,'SINAPI JULHO 2018'!$1:$1048576,2,0),IFERROR(VLOOKUP($C2062,'5-COMP. PROPRIA'!$B$13:$I$518,4,0),""))</f>
        <v>TUBO PVC, SERIE NORMAL, ESGOTO PREDIAL, DN 40 MM, FORNECIDO E INSTALADO EM RAMAL DE DESCARGA OU RAMAL DE ESGOTO SANITÁRIO. AF_12/2014</v>
      </c>
      <c r="F2062" s="448"/>
      <c r="G2062" s="448"/>
      <c r="H2062" s="448"/>
      <c r="I2062" s="448"/>
      <c r="J2062" s="449"/>
      <c r="K2062" s="183">
        <v>40.4</v>
      </c>
      <c r="L2062" s="58" t="s">
        <v>172</v>
      </c>
      <c r="M2062" s="93"/>
      <c r="N2062" s="68"/>
      <c r="O2062" s="115"/>
      <c r="Q2062" s="127"/>
    </row>
    <row r="2063" spans="2:17" ht="28.5" customHeight="1">
      <c r="B2063" s="76" t="s">
        <v>323</v>
      </c>
      <c r="C2063" s="94">
        <v>89712</v>
      </c>
      <c r="D2063" s="16" t="s">
        <v>8</v>
      </c>
      <c r="E2063" s="447" t="str">
        <f>IFERROR(VLOOKUP($C2063,'SINAPI JULHO 2018'!$1:$1048576,2,0),IFERROR(VLOOKUP($C2063,'5-COMP. PROPRIA'!$B$13:$I$518,4,0),""))</f>
        <v>TUBO PVC, SERIE NORMAL, ESGOTO PREDIAL, DN 50 MM, FORNECIDO E INSTALADO EM RAMAL DE DESCARGA OU RAMAL DE ESGOTO SANITÁRIO. AF_12/2014</v>
      </c>
      <c r="F2063" s="448"/>
      <c r="G2063" s="448"/>
      <c r="H2063" s="448"/>
      <c r="I2063" s="448"/>
      <c r="J2063" s="449"/>
      <c r="K2063" s="183">
        <v>25.55</v>
      </c>
      <c r="L2063" s="58" t="s">
        <v>172</v>
      </c>
      <c r="M2063" s="93"/>
      <c r="N2063" s="68"/>
      <c r="O2063" s="115"/>
      <c r="Q2063" s="127"/>
    </row>
    <row r="2064" spans="2:17" ht="28.5" customHeight="1">
      <c r="B2064" s="76" t="s">
        <v>324</v>
      </c>
      <c r="C2064" s="94">
        <v>89714</v>
      </c>
      <c r="D2064" s="16" t="s">
        <v>8</v>
      </c>
      <c r="E2064" s="447" t="str">
        <f>IFERROR(VLOOKUP($C2064,'SINAPI JULHO 2018'!$1:$1048576,2,0),IFERROR(VLOOKUP($C2064,'5-COMP. PROPRIA'!$B$13:$I$518,4,0),""))</f>
        <v>TUBO PVC, SERIE NORMAL, ESGOTO PREDIAL, DN 100 MM, FORNECIDO E INSTALADO EM RAMAL DE DESCARGA OU RAMAL DE ESGOTO SANITÁRIO. AF_12/2014</v>
      </c>
      <c r="F2064" s="448"/>
      <c r="G2064" s="448"/>
      <c r="H2064" s="448"/>
      <c r="I2064" s="448"/>
      <c r="J2064" s="449"/>
      <c r="K2064" s="183">
        <v>246.95</v>
      </c>
      <c r="L2064" s="58" t="s">
        <v>172</v>
      </c>
      <c r="M2064" s="93"/>
      <c r="N2064" s="68"/>
      <c r="O2064" s="115"/>
      <c r="Q2064" s="127"/>
    </row>
    <row r="2065" spans="2:17">
      <c r="B2065" s="150"/>
      <c r="C2065" s="94"/>
      <c r="D2065" s="16"/>
      <c r="E2065" s="113"/>
      <c r="J2065" s="102"/>
      <c r="K2065" s="183"/>
      <c r="L2065" s="57"/>
      <c r="M2065" s="93"/>
      <c r="N2065" s="68"/>
      <c r="O2065" s="115"/>
      <c r="Q2065" s="127"/>
    </row>
    <row r="2066" spans="2:17" ht="15">
      <c r="B2066" s="150"/>
      <c r="C2066" s="94"/>
      <c r="D2066" s="16"/>
      <c r="E2066" s="453" t="s">
        <v>325</v>
      </c>
      <c r="F2066" s="454"/>
      <c r="G2066" s="454"/>
      <c r="H2066" s="454"/>
      <c r="I2066" s="454"/>
      <c r="J2066" s="455"/>
      <c r="K2066" s="183"/>
      <c r="L2066" s="57"/>
      <c r="M2066" s="93"/>
      <c r="N2066" s="68"/>
      <c r="O2066" s="115"/>
      <c r="Q2066" s="127"/>
    </row>
    <row r="2067" spans="2:17">
      <c r="B2067" s="150"/>
      <c r="C2067" s="94"/>
      <c r="D2067" s="16"/>
      <c r="E2067" s="113"/>
      <c r="J2067" s="102"/>
      <c r="K2067" s="183"/>
      <c r="L2067" s="57"/>
      <c r="M2067" s="93"/>
      <c r="N2067" s="68"/>
      <c r="O2067" s="115"/>
      <c r="Q2067" s="127"/>
    </row>
    <row r="2068" spans="2:17">
      <c r="B2068" s="150"/>
      <c r="C2068" s="94" t="str">
        <f>'5-COMP. PROPRIA'!B302</f>
        <v>CP-SAN-01</v>
      </c>
      <c r="D2068" s="16" t="s">
        <v>326</v>
      </c>
      <c r="E2068" s="447" t="str">
        <f>IFERROR(VLOOKUP($C2068,'SINAPI JULHO 2018'!$1:$1048576,2,0),IFERROR(VLOOKUP($C2068,'5-COMP. PROPRIA'!$B$13:$I$518,4,0),""))</f>
        <v>CAIXA DE INSPEÇÃO 60X60X60CM EM ALVENARIA DE TIJOLO CERAMICO MACIÇO, COM BASE DE CONCRETO - FORNECIMENTO E EXECUÇÃO</v>
      </c>
      <c r="F2068" s="448"/>
      <c r="G2068" s="448"/>
      <c r="H2068" s="448"/>
      <c r="I2068" s="448"/>
      <c r="J2068" s="449"/>
      <c r="K2068" s="183">
        <f>7+8</f>
        <v>15</v>
      </c>
      <c r="L2068" s="58" t="s">
        <v>327</v>
      </c>
      <c r="M2068" s="93"/>
      <c r="N2068" s="68"/>
      <c r="O2068" s="115"/>
      <c r="Q2068" s="127"/>
    </row>
    <row r="2069" spans="2:17">
      <c r="B2069" s="150"/>
      <c r="C2069" s="94"/>
      <c r="D2069" s="16"/>
      <c r="E2069" s="276"/>
      <c r="F2069" s="221"/>
      <c r="G2069" s="221"/>
      <c r="H2069" s="221"/>
      <c r="I2069" s="221"/>
      <c r="J2069" s="222"/>
      <c r="K2069" s="183"/>
      <c r="M2069" s="93"/>
      <c r="N2069" s="68"/>
      <c r="O2069" s="115"/>
      <c r="Q2069" s="127"/>
    </row>
    <row r="2070" spans="2:17" ht="12.75" customHeight="1">
      <c r="B2070" s="150"/>
      <c r="C2070" s="94"/>
      <c r="D2070" s="16"/>
      <c r="E2070" s="453" t="s">
        <v>328</v>
      </c>
      <c r="F2070" s="454"/>
      <c r="G2070" s="454"/>
      <c r="H2070" s="454"/>
      <c r="I2070" s="454"/>
      <c r="J2070" s="455"/>
      <c r="K2070" s="183"/>
      <c r="L2070" s="57"/>
      <c r="M2070" s="93"/>
      <c r="N2070" s="68"/>
      <c r="O2070" s="115"/>
      <c r="Q2070" s="127"/>
    </row>
    <row r="2071" spans="2:17">
      <c r="B2071" s="150"/>
      <c r="C2071" s="94"/>
      <c r="D2071" s="16"/>
      <c r="E2071" s="112"/>
      <c r="J2071" s="102"/>
      <c r="K2071" s="183"/>
      <c r="L2071" s="57"/>
      <c r="M2071" s="93"/>
      <c r="N2071" s="68"/>
      <c r="O2071" s="115"/>
      <c r="Q2071" s="127"/>
    </row>
    <row r="2072" spans="2:17" ht="41.25" customHeight="1">
      <c r="B2072" s="76" t="s">
        <v>322</v>
      </c>
      <c r="C2072" s="94">
        <v>89726</v>
      </c>
      <c r="D2072" s="16" t="s">
        <v>8</v>
      </c>
      <c r="E2072" s="447" t="str">
        <f>IFERROR(VLOOKUP($C2072,'SINAPI JULHO 2018'!$1:$1048576,2,0),IFERROR(VLOOKUP($C2072,'5-COMP. PROPRIA'!$B$13:$I$518,4,0),""))</f>
        <v>JOELHO 45 GRAUS, PVC, SERIE NORMAL, ESGOTO PREDIAL, DN 40 MM, JUNTA SOLDÁVEL, FORNECIDO E INSTALADO EM RAMAL DE DESCARGA OU RAMAL DE ESGOTO SANITÁRIO. AF_12/2014</v>
      </c>
      <c r="F2072" s="448"/>
      <c r="G2072" s="448"/>
      <c r="H2072" s="448"/>
      <c r="I2072" s="448"/>
      <c r="J2072" s="449"/>
      <c r="K2072" s="183">
        <v>4</v>
      </c>
      <c r="L2072" s="58" t="s">
        <v>327</v>
      </c>
      <c r="M2072" s="93"/>
      <c r="N2072" s="68"/>
      <c r="O2072" s="115"/>
      <c r="Q2072" s="127"/>
    </row>
    <row r="2073" spans="2:17" ht="42.75" customHeight="1">
      <c r="B2073" s="76" t="s">
        <v>323</v>
      </c>
      <c r="C2073" s="94">
        <v>89732</v>
      </c>
      <c r="D2073" s="16" t="s">
        <v>8</v>
      </c>
      <c r="E2073" s="447" t="str">
        <f>IFERROR(VLOOKUP($C2073,'SINAPI JULHO 2018'!$1:$1048576,2,0),IFERROR(VLOOKUP($C2073,'5-COMP. PROPRIA'!$B$13:$I$518,4,0),""))</f>
        <v>JOELHO 45 GRAUS, PVC, SERIE NORMAL, ESGOTO PREDIAL, DN 50 MM, JUNTA ELÁSTICA, FORNECIDO E INSTALADO EM RAMAL DE DESCARGA OU RAMAL DE ESGOTO SANITÁRIO. AF_12/2014</v>
      </c>
      <c r="F2073" s="448"/>
      <c r="G2073" s="448"/>
      <c r="H2073" s="448"/>
      <c r="I2073" s="448"/>
      <c r="J2073" s="449"/>
      <c r="K2073" s="183">
        <v>2</v>
      </c>
      <c r="L2073" s="58" t="s">
        <v>327</v>
      </c>
      <c r="M2073" s="93"/>
      <c r="N2073" s="68"/>
      <c r="O2073" s="115"/>
      <c r="Q2073" s="127"/>
    </row>
    <row r="2074" spans="2:17" ht="42.75" customHeight="1">
      <c r="B2074" s="76" t="s">
        <v>324</v>
      </c>
      <c r="C2074" s="94">
        <v>89746</v>
      </c>
      <c r="D2074" s="16" t="s">
        <v>8</v>
      </c>
      <c r="E2074" s="447" t="str">
        <f>IFERROR(VLOOKUP($C2074,'SINAPI JULHO 2018'!$1:$1048576,2,0),IFERROR(VLOOKUP($C2074,'5-COMP. PROPRIA'!$B$13:$I$518,4,0),""))</f>
        <v>JOELHO 45 GRAUS, PVC, SERIE NORMAL, ESGOTO PREDIAL, DN 100 MM, JUNTA ELÁSTICA, FORNECIDO E INSTALADO EM RAMAL DE DESCARGA OU RAMAL DE ESGOTO SANITÁRIO. AF_12/2014</v>
      </c>
      <c r="F2074" s="448"/>
      <c r="G2074" s="448"/>
      <c r="H2074" s="448"/>
      <c r="I2074" s="448"/>
      <c r="J2074" s="449"/>
      <c r="K2074" s="183">
        <v>12</v>
      </c>
      <c r="L2074" s="58" t="s">
        <v>327</v>
      </c>
      <c r="M2074" s="93"/>
      <c r="N2074" s="68"/>
      <c r="O2074" s="115"/>
      <c r="Q2074" s="127"/>
    </row>
    <row r="2075" spans="2:17">
      <c r="B2075" s="76"/>
      <c r="C2075" s="94"/>
      <c r="D2075" s="16"/>
      <c r="E2075" s="276"/>
      <c r="F2075" s="221"/>
      <c r="G2075" s="221"/>
      <c r="H2075" s="221"/>
      <c r="I2075" s="221"/>
      <c r="J2075" s="222"/>
      <c r="K2075" s="183"/>
      <c r="M2075" s="93"/>
      <c r="N2075" s="68"/>
      <c r="O2075" s="115"/>
      <c r="Q2075" s="127"/>
    </row>
    <row r="2076" spans="2:17" ht="12.75" customHeight="1">
      <c r="B2076" s="76"/>
      <c r="C2076" s="94"/>
      <c r="D2076" s="16"/>
      <c r="E2076" s="453" t="s">
        <v>329</v>
      </c>
      <c r="F2076" s="454"/>
      <c r="G2076" s="454"/>
      <c r="H2076" s="454"/>
      <c r="I2076" s="454"/>
      <c r="J2076" s="455"/>
      <c r="K2076" s="183"/>
      <c r="M2076" s="93"/>
      <c r="N2076" s="68"/>
      <c r="O2076" s="115"/>
      <c r="Q2076" s="127"/>
    </row>
    <row r="2077" spans="2:17">
      <c r="B2077" s="76"/>
      <c r="C2077" s="94"/>
      <c r="D2077" s="16"/>
      <c r="E2077" s="276"/>
      <c r="F2077" s="221"/>
      <c r="G2077" s="221"/>
      <c r="H2077" s="221"/>
      <c r="I2077" s="221"/>
      <c r="J2077" s="222"/>
      <c r="K2077" s="183"/>
      <c r="M2077" s="93"/>
      <c r="N2077" s="68"/>
      <c r="O2077" s="115"/>
      <c r="Q2077" s="127"/>
    </row>
    <row r="2078" spans="2:17" ht="42.75" customHeight="1">
      <c r="B2078" s="76" t="s">
        <v>322</v>
      </c>
      <c r="C2078" s="94">
        <v>89724</v>
      </c>
      <c r="D2078" s="16" t="s">
        <v>8</v>
      </c>
      <c r="E2078" s="447" t="str">
        <f>IFERROR(VLOOKUP($C2078,'SINAPI JULHO 2018'!$1:$1048576,2,0),IFERROR(VLOOKUP($C2078,'5-COMP. PROPRIA'!$B$13:$I$518,4,0),""))</f>
        <v>JOELHO 90 GRAUS, PVC, SERIE NORMAL, ESGOTO PREDIAL, DN 40 MM, JUNTA SOLDÁVEL, FORNECIDO E INSTALADO EM RAMAL DE DESCARGA OU RAMAL DE ESGOTO SANITÁRIO. AF_12/2014</v>
      </c>
      <c r="F2078" s="448"/>
      <c r="G2078" s="448"/>
      <c r="H2078" s="448"/>
      <c r="I2078" s="448"/>
      <c r="J2078" s="449"/>
      <c r="K2078" s="183">
        <v>58</v>
      </c>
      <c r="L2078" s="58" t="s">
        <v>327</v>
      </c>
      <c r="M2078" s="93"/>
      <c r="N2078" s="68"/>
      <c r="O2078" s="115"/>
      <c r="Q2078" s="127"/>
    </row>
    <row r="2079" spans="2:17" ht="44.25" customHeight="1">
      <c r="B2079" s="76" t="s">
        <v>323</v>
      </c>
      <c r="C2079" s="94">
        <v>89731</v>
      </c>
      <c r="D2079" s="16" t="s">
        <v>8</v>
      </c>
      <c r="E2079" s="447" t="str">
        <f>IFERROR(VLOOKUP($C2079,'SINAPI JULHO 2018'!$1:$1048576,2,0),IFERROR(VLOOKUP($C2079,'5-COMP. PROPRIA'!$B$13:$I$518,4,0),""))</f>
        <v>JOELHO 90 GRAUS, PVC, SERIE NORMAL, ESGOTO PREDIAL, DN 50 MM, JUNTA ELÁSTICA, FORNECIDO E INSTALADO EM RAMAL DE DESCARGA OU RAMAL DE ESGOTO SANITÁRIO. AF_12/2014</v>
      </c>
      <c r="F2079" s="448"/>
      <c r="G2079" s="448"/>
      <c r="H2079" s="448"/>
      <c r="I2079" s="448"/>
      <c r="J2079" s="449"/>
      <c r="K2079" s="183">
        <v>3</v>
      </c>
      <c r="L2079" s="58" t="s">
        <v>327</v>
      </c>
      <c r="M2079" s="93"/>
      <c r="N2079" s="68"/>
      <c r="O2079" s="115"/>
      <c r="Q2079" s="127"/>
    </row>
    <row r="2080" spans="2:17" ht="40.5" customHeight="1">
      <c r="B2080" s="76" t="s">
        <v>324</v>
      </c>
      <c r="C2080" s="94">
        <v>89744</v>
      </c>
      <c r="D2080" s="16" t="s">
        <v>8</v>
      </c>
      <c r="E2080" s="447" t="str">
        <f>IFERROR(VLOOKUP($C2080,'SINAPI JULHO 2018'!$1:$1048576,2,0),IFERROR(VLOOKUP($C2080,'5-COMP. PROPRIA'!$B$13:$I$518,4,0),""))</f>
        <v>JOELHO 90 GRAUS, PVC, SERIE NORMAL, ESGOTO PREDIAL, DN 100 MM, JUNTA ELÁSTICA, FORNECIDO E INSTALADO EM RAMAL DE DESCARGA OU RAMAL DE ESGOTO SANITÁRIO. AF_12/2014</v>
      </c>
      <c r="F2080" s="448"/>
      <c r="G2080" s="448"/>
      <c r="H2080" s="448"/>
      <c r="I2080" s="448"/>
      <c r="J2080" s="449"/>
      <c r="K2080" s="183">
        <v>20</v>
      </c>
      <c r="L2080" s="58" t="s">
        <v>327</v>
      </c>
      <c r="M2080" s="93"/>
      <c r="N2080" s="68"/>
      <c r="O2080" s="115"/>
      <c r="Q2080" s="127"/>
    </row>
    <row r="2081" spans="2:17">
      <c r="B2081" s="150"/>
      <c r="C2081" s="94"/>
      <c r="D2081" s="16"/>
      <c r="E2081" s="276"/>
      <c r="F2081" s="221"/>
      <c r="G2081" s="221"/>
      <c r="H2081" s="221"/>
      <c r="I2081" s="221"/>
      <c r="J2081" s="222"/>
      <c r="K2081" s="183"/>
      <c r="M2081" s="93"/>
      <c r="N2081" s="68"/>
      <c r="O2081" s="115"/>
      <c r="Q2081" s="127"/>
    </row>
    <row r="2082" spans="2:17" ht="12.75" customHeight="1">
      <c r="B2082" s="150"/>
      <c r="C2082" s="94"/>
      <c r="D2082" s="16"/>
      <c r="E2082" s="453" t="s">
        <v>330</v>
      </c>
      <c r="F2082" s="454"/>
      <c r="G2082" s="454"/>
      <c r="H2082" s="454"/>
      <c r="I2082" s="454"/>
      <c r="J2082" s="455"/>
      <c r="K2082" s="183"/>
      <c r="L2082" s="57"/>
      <c r="M2082" s="93"/>
      <c r="N2082" s="68"/>
      <c r="O2082" s="115"/>
      <c r="Q2082" s="127"/>
    </row>
    <row r="2083" spans="2:17">
      <c r="B2083" s="150"/>
      <c r="C2083" s="94"/>
      <c r="D2083" s="16"/>
      <c r="E2083" s="112"/>
      <c r="J2083" s="102"/>
      <c r="K2083" s="183"/>
      <c r="L2083" s="57"/>
      <c r="M2083" s="93"/>
      <c r="N2083" s="68"/>
      <c r="O2083" s="115"/>
      <c r="Q2083" s="127"/>
    </row>
    <row r="2084" spans="2:17">
      <c r="B2084" s="76" t="s">
        <v>331</v>
      </c>
      <c r="C2084" s="94" t="s">
        <v>332</v>
      </c>
      <c r="D2084" s="16" t="s">
        <v>326</v>
      </c>
      <c r="E2084" s="447" t="str">
        <f>IFERROR(VLOOKUP($C2084,'SINAPI JULHO 2018'!$1:$1048576,2,0),IFERROR(VLOOKUP($C2084,'5-COMP. PROPRIA'!$B$13:$I$518,4,0),""))</f>
        <v>FORNECIMENTO E INSTALAÇÃO DE JUNÇÃO SIMPLES PVC ESGOTO 100X50MM</v>
      </c>
      <c r="F2084" s="448"/>
      <c r="G2084" s="448"/>
      <c r="H2084" s="448"/>
      <c r="I2084" s="448"/>
      <c r="J2084" s="449"/>
      <c r="K2084" s="183">
        <v>18</v>
      </c>
      <c r="L2084" s="58" t="s">
        <v>327</v>
      </c>
      <c r="M2084" s="93"/>
      <c r="N2084" s="68"/>
      <c r="O2084" s="115"/>
      <c r="Q2084" s="127"/>
    </row>
    <row r="2085" spans="2:17" ht="45" customHeight="1">
      <c r="B2085" s="76" t="s">
        <v>333</v>
      </c>
      <c r="C2085" s="94">
        <v>89797</v>
      </c>
      <c r="D2085" s="16" t="s">
        <v>8</v>
      </c>
      <c r="E2085" s="447" t="str">
        <f>IFERROR(VLOOKUP($C2085,'SINAPI JULHO 2018'!$1:$1048576,2,0),IFERROR(VLOOKUP($C2085,'5-COMP. PROPRIA'!$B$13:$I$518,4,0),""))</f>
        <v>JUNÇÃO SIMPLES, PVC, SERIE NORMAL, ESGOTO PREDIAL, DN 100 X 100 MM, JUNTA ELÁSTICA, FORNECIDO E INSTALADO EM RAMAL DE DESCARGA OU RAMAL DE ESGOTO SANITÁRIO. AF_12/2014</v>
      </c>
      <c r="F2085" s="448"/>
      <c r="G2085" s="448"/>
      <c r="H2085" s="448"/>
      <c r="I2085" s="448"/>
      <c r="J2085" s="449"/>
      <c r="K2085" s="183">
        <v>2</v>
      </c>
      <c r="L2085" s="58" t="s">
        <v>327</v>
      </c>
      <c r="M2085" s="93"/>
      <c r="N2085" s="68"/>
      <c r="O2085" s="115"/>
      <c r="Q2085" s="127"/>
    </row>
    <row r="2086" spans="2:17">
      <c r="B2086" s="150"/>
      <c r="C2086" s="94"/>
      <c r="D2086" s="16"/>
      <c r="E2086" s="112"/>
      <c r="J2086" s="102"/>
      <c r="K2086" s="183"/>
      <c r="M2086" s="93"/>
      <c r="N2086" s="68"/>
      <c r="O2086" s="115"/>
      <c r="Q2086" s="127"/>
    </row>
    <row r="2087" spans="2:17" ht="12.75" customHeight="1">
      <c r="B2087" s="150"/>
      <c r="C2087" s="94"/>
      <c r="D2087" s="16"/>
      <c r="E2087" s="453" t="s">
        <v>334</v>
      </c>
      <c r="F2087" s="454"/>
      <c r="G2087" s="454"/>
      <c r="H2087" s="454"/>
      <c r="I2087" s="454"/>
      <c r="J2087" s="455"/>
      <c r="K2087" s="183"/>
      <c r="M2087" s="93"/>
      <c r="N2087" s="68"/>
      <c r="O2087" s="115"/>
      <c r="Q2087" s="127"/>
    </row>
    <row r="2088" spans="2:17">
      <c r="B2088" s="150"/>
      <c r="C2088" s="94"/>
      <c r="D2088" s="16"/>
      <c r="E2088" s="112"/>
      <c r="J2088" s="102"/>
      <c r="K2088" s="183"/>
      <c r="M2088" s="93"/>
      <c r="N2088" s="68"/>
      <c r="O2088" s="115"/>
      <c r="Q2088" s="127"/>
    </row>
    <row r="2089" spans="2:17" ht="30.75" customHeight="1">
      <c r="B2089" s="76" t="s">
        <v>335</v>
      </c>
      <c r="C2089" s="26">
        <v>89782</v>
      </c>
      <c r="D2089" s="16" t="s">
        <v>8</v>
      </c>
      <c r="E2089" s="447" t="str">
        <f>IFERROR(VLOOKUP($C2089,'SINAPI JULHO 2018'!$1:$1048576,2,0),IFERROR(VLOOKUP($C2089,'5-COMP. PROPRIA'!$B$13:$I$518,4,0),""))</f>
        <v>TE, PVC, SERIE NORMAL, ESGOTO PREDIAL, DN 40 X 40 MM, JUNTA SOLDÁVEL, FORNECIDO E INSTALADO EM RAMAL DE DESCARGA OU RAMAL DE ESGOTO SANITÁRIO. AF_12/2014</v>
      </c>
      <c r="F2089" s="448"/>
      <c r="G2089" s="448"/>
      <c r="H2089" s="448"/>
      <c r="I2089" s="448"/>
      <c r="J2089" s="449"/>
      <c r="K2089" s="183">
        <v>8</v>
      </c>
      <c r="L2089" s="58" t="s">
        <v>327</v>
      </c>
      <c r="M2089" s="93"/>
      <c r="N2089" s="68"/>
      <c r="O2089" s="115"/>
      <c r="Q2089" s="127"/>
    </row>
    <row r="2090" spans="2:17">
      <c r="B2090" s="150"/>
      <c r="C2090" s="94"/>
      <c r="D2090" s="16"/>
      <c r="E2090" s="112"/>
      <c r="J2090" s="102"/>
      <c r="K2090" s="183"/>
      <c r="M2090" s="93"/>
      <c r="N2090" s="68"/>
      <c r="O2090" s="115"/>
      <c r="Q2090" s="127"/>
    </row>
    <row r="2091" spans="2:17" ht="36.75" customHeight="1">
      <c r="B2091" s="76" t="s">
        <v>331</v>
      </c>
      <c r="C2091" s="94" t="s">
        <v>336</v>
      </c>
      <c r="D2091" s="16" t="s">
        <v>326</v>
      </c>
      <c r="E2091" s="447" t="str">
        <f>IFERROR(VLOOKUP($C2091,'SINAPI JULHO 2018'!$1:$1048576,2,0),IFERROR(VLOOKUP($C2091,'5-COMP. PROPRIA'!$B$13:$I$89178,4,0),""))</f>
        <v>TE, PVC, SERIE NORMAL, ESGOTO PREDIAL, DN 100 X 50 MM, JUNTA ELÁSTICA, FORNECIDO E INSTALADO EM PRUMADA DE ESGOTO SANITÁRIO.</v>
      </c>
      <c r="F2091" s="448"/>
      <c r="G2091" s="448"/>
      <c r="H2091" s="448"/>
      <c r="I2091" s="448"/>
      <c r="J2091" s="449"/>
      <c r="K2091" s="183">
        <v>1</v>
      </c>
      <c r="L2091" s="58" t="s">
        <v>327</v>
      </c>
      <c r="M2091" s="93"/>
      <c r="N2091" s="68"/>
      <c r="O2091" s="115"/>
      <c r="Q2091" s="127"/>
    </row>
    <row r="2092" spans="2:17" ht="15">
      <c r="B2092" s="150"/>
      <c r="E2092" s="276"/>
      <c r="F2092" s="221"/>
      <c r="G2092" s="221"/>
      <c r="H2092" s="221"/>
      <c r="I2092" s="221"/>
      <c r="J2092" s="222"/>
      <c r="K2092" s="184"/>
      <c r="M2092" s="93"/>
      <c r="N2092" s="68"/>
      <c r="O2092" s="115"/>
      <c r="Q2092" s="127"/>
    </row>
    <row r="2093" spans="2:17" ht="15">
      <c r="B2093" s="150"/>
      <c r="E2093" s="453" t="s">
        <v>337</v>
      </c>
      <c r="F2093" s="454"/>
      <c r="G2093" s="454"/>
      <c r="H2093" s="454"/>
      <c r="I2093" s="454"/>
      <c r="J2093" s="455"/>
      <c r="K2093" s="184"/>
      <c r="M2093" s="93"/>
      <c r="N2093" s="68"/>
      <c r="O2093" s="115"/>
      <c r="Q2093" s="127"/>
    </row>
    <row r="2094" spans="2:17" ht="15">
      <c r="B2094" s="150"/>
      <c r="E2094" s="276"/>
      <c r="F2094" s="221"/>
      <c r="G2094" s="221"/>
      <c r="H2094" s="221"/>
      <c r="I2094" s="221"/>
      <c r="J2094" s="222"/>
      <c r="K2094" s="184"/>
      <c r="M2094" s="93"/>
      <c r="N2094" s="68"/>
      <c r="O2094" s="115"/>
      <c r="Q2094" s="127"/>
    </row>
    <row r="2095" spans="2:17" ht="36" customHeight="1">
      <c r="B2095" s="76" t="s">
        <v>322</v>
      </c>
      <c r="C2095" s="26">
        <v>89710</v>
      </c>
      <c r="D2095" s="16" t="s">
        <v>8</v>
      </c>
      <c r="E2095" s="447" t="str">
        <f>IFERROR(VLOOKUP($C2095,'SINAPI JULHO 2018'!$1:$1048576,2,0),IFERROR(VLOOKUP($C2095,'5-COMP. PROPRIA'!$B$13:$I$518,4,0),""))</f>
        <v>RALO SECO, PVC, DN 100 X 40 MM, JUNTA SOLDÁVEL, FORNECIDO E INSTALADO EM RAMAL DE DESCARGA OU EM RAMAL DE ESGOTO SANITÁRIO. AF_12/2014</v>
      </c>
      <c r="F2095" s="448"/>
      <c r="G2095" s="448"/>
      <c r="H2095" s="448"/>
      <c r="I2095" s="448"/>
      <c r="J2095" s="449"/>
      <c r="K2095" s="183">
        <v>11</v>
      </c>
      <c r="L2095" s="58" t="s">
        <v>327</v>
      </c>
      <c r="M2095" s="93"/>
      <c r="N2095" s="68"/>
      <c r="O2095" s="115"/>
      <c r="Q2095" s="127"/>
    </row>
    <row r="2096" spans="2:17" ht="15">
      <c r="B2096" s="150"/>
      <c r="E2096" s="276"/>
      <c r="F2096" s="221"/>
      <c r="G2096" s="221"/>
      <c r="H2096" s="221"/>
      <c r="I2096" s="221"/>
      <c r="J2096" s="222"/>
      <c r="K2096" s="184"/>
      <c r="M2096" s="93"/>
      <c r="N2096" s="68"/>
      <c r="O2096" s="115"/>
      <c r="Q2096" s="127"/>
    </row>
    <row r="2097" spans="2:17" ht="15">
      <c r="B2097" s="150"/>
      <c r="E2097" s="453" t="s">
        <v>338</v>
      </c>
      <c r="F2097" s="454"/>
      <c r="G2097" s="454"/>
      <c r="H2097" s="454"/>
      <c r="I2097" s="454"/>
      <c r="J2097" s="455"/>
      <c r="K2097" s="184"/>
      <c r="M2097" s="93"/>
      <c r="N2097" s="68"/>
      <c r="O2097" s="115"/>
      <c r="Q2097" s="127"/>
    </row>
    <row r="2098" spans="2:17" ht="15">
      <c r="B2098" s="150"/>
      <c r="E2098" s="276"/>
      <c r="F2098" s="221"/>
      <c r="G2098" s="221"/>
      <c r="H2098" s="221"/>
      <c r="I2098" s="221"/>
      <c r="J2098" s="222"/>
      <c r="K2098" s="184"/>
      <c r="M2098" s="93"/>
      <c r="N2098" s="68"/>
      <c r="O2098" s="115"/>
      <c r="Q2098" s="127"/>
    </row>
    <row r="2099" spans="2:17" ht="34.5" customHeight="1">
      <c r="B2099" s="150"/>
      <c r="C2099" s="26">
        <v>89707</v>
      </c>
      <c r="D2099" s="16" t="s">
        <v>8</v>
      </c>
      <c r="E2099" s="447" t="str">
        <f>IFERROR(VLOOKUP($C2099,'SINAPI JULHO 2018'!$1:$1048576,2,0),IFERROR(VLOOKUP($C2099,'5-COMP. PROPRIA'!$B$13:$I$518,4,0),""))</f>
        <v>CAIXA SIFONADA, PVC, DN 100 X 100 X 50 MM, JUNTA ELÁSTICA, FORNECIDA E INSTALADA EM RAMAL DE DESCARGA OU EM RAMAL DE ESGOTO SANITÁRIO. AF_12/2014</v>
      </c>
      <c r="F2099" s="448"/>
      <c r="G2099" s="448"/>
      <c r="H2099" s="448"/>
      <c r="I2099" s="448"/>
      <c r="J2099" s="449"/>
      <c r="K2099" s="183">
        <v>12</v>
      </c>
      <c r="L2099" s="58" t="s">
        <v>327</v>
      </c>
      <c r="M2099" s="93"/>
      <c r="N2099" s="68"/>
      <c r="O2099" s="115"/>
      <c r="Q2099" s="127"/>
    </row>
    <row r="2100" spans="2:17">
      <c r="B2100" s="150"/>
      <c r="D2100" s="16"/>
      <c r="E2100" s="276"/>
      <c r="F2100" s="221"/>
      <c r="G2100" s="221"/>
      <c r="H2100" s="221"/>
      <c r="I2100" s="221"/>
      <c r="J2100" s="222"/>
      <c r="K2100" s="183"/>
      <c r="M2100" s="93"/>
      <c r="N2100" s="68"/>
      <c r="O2100" s="115"/>
      <c r="Q2100" s="127"/>
    </row>
    <row r="2101" spans="2:17" ht="15">
      <c r="B2101" s="150"/>
      <c r="E2101" s="453" t="s">
        <v>339</v>
      </c>
      <c r="F2101" s="454"/>
      <c r="G2101" s="454"/>
      <c r="H2101" s="454"/>
      <c r="I2101" s="454"/>
      <c r="J2101" s="455"/>
      <c r="K2101" s="184"/>
      <c r="M2101" s="93"/>
      <c r="N2101" s="68"/>
      <c r="O2101" s="115"/>
      <c r="Q2101" s="127"/>
    </row>
    <row r="2102" spans="2:17" ht="15">
      <c r="B2102" s="150"/>
      <c r="E2102" s="276"/>
      <c r="F2102" s="221"/>
      <c r="G2102" s="221"/>
      <c r="H2102" s="221"/>
      <c r="I2102" s="221"/>
      <c r="J2102" s="222"/>
      <c r="K2102" s="184"/>
      <c r="M2102" s="93"/>
      <c r="N2102" s="68"/>
      <c r="O2102" s="115"/>
      <c r="Q2102" s="127"/>
    </row>
    <row r="2103" spans="2:17">
      <c r="B2103" s="150"/>
      <c r="C2103" s="94" t="str">
        <f>'5-COMP. PROPRIA'!B325</f>
        <v>CP-SAN-04</v>
      </c>
      <c r="D2103" s="16" t="s">
        <v>326</v>
      </c>
      <c r="E2103" s="447" t="str">
        <f>IFERROR(VLOOKUP($C2103,'SINAPI JULHO 2018'!$1:$1048576,2,0),IFERROR(VLOOKUP($C2103,'5-COMP. PROPRIA'!$B$13:$I$518,4,0),""))</f>
        <v xml:space="preserve">LIGAÇÃO DE TUBULAÇÃO DE ESGOTO A REDE DE ESGOTO </v>
      </c>
      <c r="F2103" s="448"/>
      <c r="G2103" s="448"/>
      <c r="H2103" s="448"/>
      <c r="I2103" s="448"/>
      <c r="J2103" s="449"/>
      <c r="K2103" s="183">
        <v>2</v>
      </c>
      <c r="L2103" s="58" t="s">
        <v>327</v>
      </c>
      <c r="M2103" s="93"/>
      <c r="N2103" s="68"/>
      <c r="O2103" s="115"/>
      <c r="Q2103" s="127"/>
    </row>
    <row r="2104" spans="2:17">
      <c r="B2104" s="150"/>
      <c r="D2104" s="16"/>
      <c r="E2104" s="276"/>
      <c r="F2104" s="221"/>
      <c r="G2104" s="221"/>
      <c r="H2104" s="221"/>
      <c r="I2104" s="221"/>
      <c r="J2104" s="222"/>
      <c r="K2104" s="183"/>
      <c r="M2104" s="93"/>
      <c r="N2104" s="68"/>
      <c r="O2104" s="115"/>
      <c r="Q2104" s="127"/>
    </row>
    <row r="2105" spans="2:17">
      <c r="B2105" s="150"/>
      <c r="D2105" s="16"/>
      <c r="E2105" s="276"/>
      <c r="F2105" s="221"/>
      <c r="G2105" s="221"/>
      <c r="H2105" s="221"/>
      <c r="I2105" s="221"/>
      <c r="J2105" s="222"/>
      <c r="K2105" s="183"/>
      <c r="M2105" s="93"/>
      <c r="N2105" s="68"/>
      <c r="O2105" s="115"/>
      <c r="Q2105" s="127"/>
    </row>
    <row r="2106" spans="2:17">
      <c r="B2106" s="150"/>
      <c r="D2106" s="16"/>
      <c r="E2106" s="276"/>
      <c r="F2106" s="221"/>
      <c r="G2106" s="221"/>
      <c r="H2106" s="221"/>
      <c r="I2106" s="221"/>
      <c r="J2106" s="222"/>
      <c r="K2106" s="183"/>
      <c r="M2106" s="93"/>
      <c r="N2106" s="68"/>
      <c r="O2106" s="115"/>
      <c r="Q2106" s="127"/>
    </row>
    <row r="2107" spans="2:17" ht="13.5" thickBot="1">
      <c r="B2107" s="150"/>
      <c r="D2107" s="16"/>
      <c r="E2107" s="276"/>
      <c r="F2107" s="221"/>
      <c r="G2107" s="221"/>
      <c r="H2107" s="221"/>
      <c r="I2107" s="221"/>
      <c r="J2107" s="222"/>
      <c r="K2107" s="183"/>
      <c r="M2107" s="93"/>
      <c r="N2107" s="68"/>
      <c r="O2107" s="115"/>
      <c r="Q2107" s="127"/>
    </row>
    <row r="2108" spans="2:17" s="320" customFormat="1" ht="15.75" thickBot="1">
      <c r="B2108" s="322"/>
      <c r="C2108" s="323"/>
      <c r="D2108" s="379"/>
      <c r="E2108" s="459" t="s">
        <v>340</v>
      </c>
      <c r="F2108" s="460"/>
      <c r="G2108" s="460"/>
      <c r="H2108" s="460"/>
      <c r="I2108" s="460"/>
      <c r="J2108" s="461"/>
      <c r="K2108" s="350"/>
      <c r="L2108" s="325"/>
      <c r="M2108" s="352"/>
      <c r="N2108" s="318"/>
      <c r="O2108" s="319"/>
      <c r="Q2108" s="321"/>
    </row>
    <row r="2109" spans="2:17">
      <c r="B2109" s="150"/>
      <c r="D2109" s="16"/>
      <c r="E2109" s="276"/>
      <c r="F2109" s="221"/>
      <c r="G2109" s="221"/>
      <c r="H2109" s="221"/>
      <c r="I2109" s="221"/>
      <c r="J2109" s="222"/>
      <c r="K2109" s="183"/>
      <c r="M2109" s="93"/>
      <c r="N2109" s="68"/>
      <c r="O2109" s="115"/>
      <c r="Q2109" s="127"/>
    </row>
    <row r="2110" spans="2:17">
      <c r="B2110" s="150"/>
      <c r="D2110" s="16"/>
      <c r="E2110" s="276"/>
      <c r="F2110" s="221"/>
      <c r="G2110" s="221"/>
      <c r="H2110" s="221"/>
      <c r="I2110" s="221"/>
      <c r="J2110" s="222"/>
      <c r="K2110" s="183"/>
      <c r="M2110" s="93"/>
      <c r="N2110" s="68"/>
      <c r="O2110" s="115"/>
      <c r="Q2110" s="127"/>
    </row>
    <row r="2111" spans="2:17" ht="30.75" customHeight="1">
      <c r="B2111" s="150"/>
      <c r="C2111" s="26">
        <v>89356</v>
      </c>
      <c r="D2111" s="16" t="s">
        <v>8</v>
      </c>
      <c r="E2111" s="447" t="str">
        <f>IFERROR(VLOOKUP($C2111,'SINAPI JULHO 2018'!$1:$1048576,2,0),IFERROR(VLOOKUP($C2111,'5-COMP. PROPRIA'!$B$13:$I$518,4,0),""))</f>
        <v>TUBO, PVC, SOLDÁVEL, DN 25MM, INSTALADO EM RAMAL OU SUB-RAMAL DE ÁGUA - FORNECIMENTO E INSTALAÇÃO. AF_12/2014</v>
      </c>
      <c r="F2111" s="448"/>
      <c r="G2111" s="448"/>
      <c r="H2111" s="448"/>
      <c r="I2111" s="448"/>
      <c r="J2111" s="449"/>
      <c r="K2111" s="183">
        <v>139.1</v>
      </c>
      <c r="L2111" s="58" t="s">
        <v>128</v>
      </c>
      <c r="M2111" s="93"/>
      <c r="N2111" s="68"/>
      <c r="O2111" s="115"/>
      <c r="Q2111" s="127"/>
    </row>
    <row r="2112" spans="2:17">
      <c r="B2112" s="150"/>
      <c r="D2112" s="16"/>
      <c r="E2112" s="276"/>
      <c r="F2112" s="221"/>
      <c r="G2112" s="221"/>
      <c r="H2112" s="221"/>
      <c r="I2112" s="221"/>
      <c r="J2112" s="222"/>
      <c r="K2112" s="183"/>
      <c r="M2112" s="93"/>
      <c r="N2112" s="68"/>
      <c r="O2112" s="115"/>
      <c r="Q2112" s="127"/>
    </row>
    <row r="2113" spans="2:17" ht="37.5" customHeight="1">
      <c r="B2113" s="150"/>
      <c r="C2113" s="26">
        <v>89362</v>
      </c>
      <c r="D2113" s="16" t="s">
        <v>8</v>
      </c>
      <c r="E2113" s="447" t="str">
        <f>IFERROR(VLOOKUP($C2113,'SINAPI JULHO 2018'!$1:$1048576,2,0),IFERROR(VLOOKUP($C2113,'5-COMP. PROPRIA'!$B$13:$I$518,4,0),""))</f>
        <v>JOELHO 90 GRAUS, PVC, SOLDÁVEL, DN 25MM, INSTALADO EM RAMAL OU SUB-RAMAL DE ÁGUA - FORNECIMENTO E INSTALAÇÃO. AF_12/2014</v>
      </c>
      <c r="F2113" s="448"/>
      <c r="G2113" s="448"/>
      <c r="H2113" s="448"/>
      <c r="I2113" s="448"/>
      <c r="J2113" s="449"/>
      <c r="K2113" s="183">
        <v>70</v>
      </c>
      <c r="L2113" s="58" t="s">
        <v>327</v>
      </c>
      <c r="M2113" s="93"/>
      <c r="N2113" s="68"/>
      <c r="O2113" s="115"/>
      <c r="Q2113" s="127"/>
    </row>
    <row r="2114" spans="2:17">
      <c r="B2114" s="150"/>
      <c r="D2114" s="16"/>
      <c r="E2114" s="276"/>
      <c r="F2114" s="221"/>
      <c r="G2114" s="221"/>
      <c r="H2114" s="221"/>
      <c r="I2114" s="221"/>
      <c r="J2114" s="222"/>
      <c r="K2114" s="183"/>
      <c r="M2114" s="93"/>
      <c r="N2114" s="68"/>
      <c r="O2114" s="115"/>
      <c r="Q2114" s="127"/>
    </row>
    <row r="2115" spans="2:17" ht="28.5" customHeight="1">
      <c r="B2115" s="150"/>
      <c r="C2115" s="26">
        <v>90373</v>
      </c>
      <c r="D2115" s="16" t="s">
        <v>8</v>
      </c>
      <c r="E2115" s="447" t="str">
        <f>IFERROR(VLOOKUP($C2115,'SINAPI JULHO 2018'!$1:$1048576,2,0),IFERROR(VLOOKUP($C2115,'5-COMP. PROPRIA'!$B$13:$I$518,4,0),""))</f>
        <v>JOELHO 90 GRAUS COM BUCHA DE LATÃO, PVC, SOLDÁVEL, DN 25MM, X 1/2 INSTALADO EM RAMAL OU SUB-RAMAL DE ÁGUA - FORNECIMENTO E INSTALAÇÃO. AF_12/2014</v>
      </c>
      <c r="F2115" s="448"/>
      <c r="G2115" s="448"/>
      <c r="H2115" s="448"/>
      <c r="I2115" s="448"/>
      <c r="J2115" s="449"/>
      <c r="K2115" s="183">
        <v>50</v>
      </c>
      <c r="L2115" s="58" t="s">
        <v>327</v>
      </c>
      <c r="M2115" s="93"/>
      <c r="N2115" s="68"/>
      <c r="O2115" s="115"/>
      <c r="Q2115" s="127"/>
    </row>
    <row r="2116" spans="2:17">
      <c r="B2116" s="150"/>
      <c r="D2116" s="16"/>
      <c r="E2116" s="276"/>
      <c r="F2116" s="221"/>
      <c r="G2116" s="221"/>
      <c r="H2116" s="221"/>
      <c r="I2116" s="221"/>
      <c r="J2116" s="222"/>
      <c r="K2116" s="183"/>
      <c r="M2116" s="93"/>
      <c r="N2116" s="68"/>
      <c r="O2116" s="115"/>
      <c r="Q2116" s="127"/>
    </row>
    <row r="2117" spans="2:17" ht="27" customHeight="1">
      <c r="B2117" s="150"/>
      <c r="C2117" s="26">
        <v>89395</v>
      </c>
      <c r="D2117" s="16" t="s">
        <v>8</v>
      </c>
      <c r="E2117" s="447" t="str">
        <f>IFERROR(VLOOKUP($C2117,'SINAPI JULHO 2018'!$1:$1048576,2,0),IFERROR(VLOOKUP($C2117,'5-COMP. PROPRIA'!$B$13:$I$518,4,0),""))</f>
        <v>TE, PVC, SOLDÁVEL, DN 25MM, INSTALADO EM RAMAL OU SUB-RAMAL DE ÁGUA - FORNECIMENTO E INSTALAÇÃO. AF_12/2014</v>
      </c>
      <c r="F2117" s="448"/>
      <c r="G2117" s="448"/>
      <c r="H2117" s="448"/>
      <c r="I2117" s="448"/>
      <c r="J2117" s="449"/>
      <c r="K2117" s="183">
        <v>30</v>
      </c>
      <c r="L2117" s="58" t="s">
        <v>327</v>
      </c>
      <c r="M2117" s="93"/>
      <c r="N2117" s="68"/>
      <c r="O2117" s="115"/>
      <c r="Q2117" s="127"/>
    </row>
    <row r="2118" spans="2:17">
      <c r="B2118" s="150"/>
      <c r="D2118" s="16"/>
      <c r="E2118" s="276"/>
      <c r="F2118" s="221"/>
      <c r="G2118" s="221"/>
      <c r="H2118" s="221"/>
      <c r="I2118" s="221"/>
      <c r="J2118" s="222"/>
      <c r="K2118" s="183"/>
      <c r="M2118" s="93"/>
      <c r="N2118" s="68"/>
      <c r="O2118" s="115"/>
      <c r="Q2118" s="127"/>
    </row>
    <row r="2119" spans="2:17" ht="33.75" customHeight="1">
      <c r="B2119" s="150"/>
      <c r="C2119" s="26">
        <v>89969</v>
      </c>
      <c r="D2119" s="16" t="s">
        <v>8</v>
      </c>
      <c r="E2119" s="447" t="str">
        <f>IFERROR(VLOOKUP($C2119,'SINAPI JULHO 2018'!$1:$1048576,2,0),IFERROR(VLOOKUP($C2119,'5-COMP. PROPRIA'!$B$13:$I$518,4,0),""))</f>
        <v>KIT DE REGISTRO DE PRESSÃO BRUTO DE LATÃO ½", INCLUSIVE CONEXÕES,  ROSCÁVEL, INSTALADO EM RAMAL DE ÁGUA FRIA - FORNECIMENTO E INSTALAÇÃO. AF_12/2014</v>
      </c>
      <c r="F2119" s="448"/>
      <c r="G2119" s="448"/>
      <c r="H2119" s="448"/>
      <c r="I2119" s="448"/>
      <c r="J2119" s="449"/>
      <c r="K2119" s="183">
        <v>8</v>
      </c>
      <c r="L2119" s="58" t="s">
        <v>327</v>
      </c>
      <c r="M2119" s="93"/>
      <c r="N2119" s="68"/>
      <c r="O2119" s="115"/>
      <c r="Q2119" s="127"/>
    </row>
    <row r="2120" spans="2:17">
      <c r="B2120" s="150"/>
      <c r="D2120" s="16"/>
      <c r="E2120" s="276"/>
      <c r="F2120" s="221"/>
      <c r="G2120" s="221"/>
      <c r="H2120" s="221"/>
      <c r="I2120" s="221"/>
      <c r="J2120" s="222"/>
      <c r="K2120" s="183"/>
      <c r="M2120" s="93"/>
      <c r="N2120" s="68"/>
      <c r="O2120" s="115"/>
      <c r="Q2120" s="127"/>
    </row>
    <row r="2121" spans="2:17" ht="42.75" customHeight="1">
      <c r="B2121" s="150"/>
      <c r="C2121" s="26">
        <v>94703</v>
      </c>
      <c r="D2121" s="16" t="s">
        <v>8</v>
      </c>
      <c r="E2121" s="447" t="str">
        <f>IFERROR(VLOOKUP($C2121,'SINAPI JULHO 2018'!$1:$1048576,2,0),IFERROR(VLOOKUP($C2121,'5-COMP. PROPRIA'!$B$13:$I$518,4,0),""))</f>
        <v>ADAPTADOR COM FLANGE E ANEL DE VEDAÇÃO, PVC, SOLDÁVEL, DN  25 MM X 3/4 , INSTALADO EM RESERVAÇÃO DE ÁGUA DE EDIFICAÇÃO QUE POSSUA RESERVATÓRIO DE FIBRA/FIBROCIMENTO   FORNECIMENTO E INSTALAÇÃO. AF_06/2016</v>
      </c>
      <c r="F2121" s="448"/>
      <c r="G2121" s="448"/>
      <c r="H2121" s="448"/>
      <c r="I2121" s="448"/>
      <c r="J2121" s="449"/>
      <c r="K2121" s="183">
        <v>14</v>
      </c>
      <c r="L2121" s="58" t="s">
        <v>327</v>
      </c>
      <c r="M2121" s="93"/>
      <c r="N2121" s="68"/>
      <c r="O2121" s="115"/>
      <c r="Q2121" s="127"/>
    </row>
    <row r="2122" spans="2:17">
      <c r="B2122" s="150"/>
      <c r="D2122" s="16"/>
      <c r="E2122" s="276"/>
      <c r="F2122" s="221"/>
      <c r="G2122" s="221"/>
      <c r="H2122" s="221"/>
      <c r="I2122" s="221"/>
      <c r="J2122" s="222"/>
      <c r="K2122" s="183"/>
      <c r="M2122" s="93"/>
      <c r="N2122" s="68"/>
      <c r="O2122" s="115"/>
      <c r="Q2122" s="127"/>
    </row>
    <row r="2123" spans="2:17" ht="33" customHeight="1">
      <c r="B2123" s="150"/>
      <c r="C2123" s="26">
        <v>40729</v>
      </c>
      <c r="D2123" s="16" t="s">
        <v>8</v>
      </c>
      <c r="E2123" s="447" t="str">
        <f>IFERROR(VLOOKUP($C2123,'SINAPI JULHO 2018'!$1:$1048576,2,0),IFERROR(VLOOKUP($C2123,'5-COMP. PROPRIA'!$B$13:$I$518,4,0),""))</f>
        <v>VALVULA DESCARGA 1.1/2" COM REGISTRO, ACABAMENTO EM METAL CROMADO - FORNECIMENTO E INSTALACAO</v>
      </c>
      <c r="F2123" s="448"/>
      <c r="G2123" s="448"/>
      <c r="H2123" s="448"/>
      <c r="I2123" s="448"/>
      <c r="J2123" s="449"/>
      <c r="K2123" s="183">
        <v>19</v>
      </c>
      <c r="L2123" s="58" t="s">
        <v>327</v>
      </c>
      <c r="M2123" s="93"/>
      <c r="N2123" s="68"/>
      <c r="O2123" s="115"/>
      <c r="Q2123" s="127"/>
    </row>
    <row r="2124" spans="2:17">
      <c r="B2124" s="150"/>
      <c r="D2124" s="16"/>
      <c r="E2124" s="276"/>
      <c r="F2124" s="221"/>
      <c r="G2124" s="221"/>
      <c r="H2124" s="221"/>
      <c r="I2124" s="221"/>
      <c r="J2124" s="222"/>
      <c r="K2124" s="183"/>
      <c r="M2124" s="93"/>
      <c r="N2124" s="68"/>
      <c r="O2124" s="115"/>
      <c r="Q2124" s="127"/>
    </row>
    <row r="2125" spans="2:17" ht="34.5" customHeight="1">
      <c r="B2125" s="150"/>
      <c r="C2125" s="26">
        <v>89971</v>
      </c>
      <c r="D2125" s="16" t="s">
        <v>8</v>
      </c>
      <c r="E2125" s="447" t="str">
        <f>IFERROR(VLOOKUP($C2125,'SINAPI JULHO 2018'!$1:$1048576,2,0),IFERROR(VLOOKUP($C2125,'5-COMP. PROPRIA'!$B$13:$I$518,4,0),""))</f>
        <v>KIT DE REGISTRO DE GAVETA BRUTO DE LATÃO ½", INCLUSIVE CONEXÕES, ROSCÁVEL, INSTALADO EM RAMAL DE ÁGUA FRIA - FORNECIMENTO E INSTALAÇÃO. AF_12/2014</v>
      </c>
      <c r="F2125" s="448"/>
      <c r="G2125" s="448"/>
      <c r="H2125" s="448"/>
      <c r="I2125" s="448"/>
      <c r="J2125" s="449"/>
      <c r="K2125" s="183">
        <v>34</v>
      </c>
      <c r="L2125" s="58" t="s">
        <v>327</v>
      </c>
      <c r="M2125" s="93"/>
      <c r="N2125" s="68"/>
      <c r="O2125" s="115"/>
      <c r="Q2125" s="127"/>
    </row>
    <row r="2126" spans="2:17">
      <c r="B2126" s="150"/>
      <c r="D2126" s="16"/>
      <c r="E2126" s="276"/>
      <c r="F2126" s="221"/>
      <c r="G2126" s="221"/>
      <c r="H2126" s="221"/>
      <c r="I2126" s="221"/>
      <c r="J2126" s="222"/>
      <c r="K2126" s="183"/>
      <c r="M2126" s="93"/>
      <c r="N2126" s="68"/>
      <c r="O2126" s="115"/>
      <c r="Q2126" s="127"/>
    </row>
    <row r="2127" spans="2:17">
      <c r="B2127" s="150"/>
      <c r="C2127" s="94" t="str">
        <f>'5-COMP. PROPRIA'!B159</f>
        <v>CP-HID-01</v>
      </c>
      <c r="D2127" s="16" t="s">
        <v>326</v>
      </c>
      <c r="E2127" s="447" t="str">
        <f>IFERROR(VLOOKUP($C2127,'SINAPI JULHO 2018'!$1:$1048576,2,0),IFERROR(VLOOKUP($C2127,'5-COMP. PROPRIA'!$B$13:$I$518,4,0),""))</f>
        <v>BOIA MECANICA DE 1.1/4 - FORNECIMENTO E INSTALAÇÃO</v>
      </c>
      <c r="F2127" s="448"/>
      <c r="G2127" s="448"/>
      <c r="H2127" s="448"/>
      <c r="I2127" s="448"/>
      <c r="J2127" s="449"/>
      <c r="K2127" s="183">
        <v>5</v>
      </c>
      <c r="L2127" s="58" t="s">
        <v>327</v>
      </c>
      <c r="M2127" s="93"/>
      <c r="N2127" s="68"/>
      <c r="O2127" s="115"/>
      <c r="Q2127" s="127"/>
    </row>
    <row r="2128" spans="2:17">
      <c r="B2128" s="150"/>
      <c r="D2128" s="16"/>
      <c r="E2128" s="276"/>
      <c r="F2128" s="221"/>
      <c r="G2128" s="221"/>
      <c r="H2128" s="221"/>
      <c r="I2128" s="221"/>
      <c r="J2128" s="222"/>
      <c r="K2128" s="183"/>
      <c r="M2128" s="93"/>
      <c r="N2128" s="68"/>
      <c r="O2128" s="115"/>
      <c r="Q2128" s="127"/>
    </row>
    <row r="2129" spans="2:17">
      <c r="B2129" s="150"/>
      <c r="C2129" s="26">
        <v>88503</v>
      </c>
      <c r="D2129" s="16" t="s">
        <v>8</v>
      </c>
      <c r="E2129" s="447" t="str">
        <f>IFERROR(VLOOKUP($C2129,'SINAPI JULHO 2018'!$1:$1048576,2,0),IFERROR(VLOOKUP($C2129,'5-COMP. PROPRIA'!$B$13:$I$518,4,0),""))</f>
        <v>CAIXA D´ÁGUA EM POLIETILENO, 1000 LITROS, COM ACESSÓRIOS</v>
      </c>
      <c r="F2129" s="448"/>
      <c r="G2129" s="448"/>
      <c r="H2129" s="448"/>
      <c r="I2129" s="448"/>
      <c r="J2129" s="449"/>
      <c r="K2129" s="183">
        <v>5</v>
      </c>
      <c r="L2129" s="58" t="s">
        <v>327</v>
      </c>
      <c r="M2129" s="93"/>
      <c r="N2129" s="68"/>
      <c r="O2129" s="115"/>
      <c r="Q2129" s="127"/>
    </row>
    <row r="2130" spans="2:17">
      <c r="B2130" s="150"/>
      <c r="D2130" s="16"/>
      <c r="E2130" s="276"/>
      <c r="F2130" s="221"/>
      <c r="G2130" s="221"/>
      <c r="H2130" s="221"/>
      <c r="I2130" s="221"/>
      <c r="J2130" s="222"/>
      <c r="K2130" s="183"/>
      <c r="M2130" s="93"/>
      <c r="N2130" s="68"/>
      <c r="O2130" s="115"/>
      <c r="Q2130" s="127"/>
    </row>
    <row r="2131" spans="2:17">
      <c r="B2131" s="150"/>
      <c r="C2131" s="94" t="str">
        <f>'5-COMP. PROPRIA'!B165</f>
        <v>CP-HID-02</v>
      </c>
      <c r="D2131" s="16" t="s">
        <v>326</v>
      </c>
      <c r="E2131" s="447" t="str">
        <f>IFERROR(VLOOKUP($C2131,'SINAPI JULHO 2018'!$1:$1048576,2,0),IFERROR(VLOOKUP($C2131,'5-COMP. PROPRIA'!$B$13:$I$518,4,0),""))</f>
        <v>BASE PARA APOIO DE CAIXA D'ÁGUA 1000L EM VIGAS DE MADEIRA</v>
      </c>
      <c r="F2131" s="448"/>
      <c r="G2131" s="448"/>
      <c r="H2131" s="448"/>
      <c r="I2131" s="448"/>
      <c r="J2131" s="449"/>
      <c r="K2131" s="183">
        <v>5</v>
      </c>
      <c r="L2131" s="58" t="s">
        <v>327</v>
      </c>
      <c r="M2131" s="93"/>
      <c r="N2131" s="68"/>
      <c r="O2131" s="115"/>
      <c r="Q2131" s="127"/>
    </row>
    <row r="2132" spans="2:17">
      <c r="B2132" s="150"/>
      <c r="D2132" s="16"/>
      <c r="E2132" s="276"/>
      <c r="F2132" s="221"/>
      <c r="G2132" s="221"/>
      <c r="H2132" s="221"/>
      <c r="I2132" s="221"/>
      <c r="J2132" s="222"/>
      <c r="K2132" s="183"/>
      <c r="M2132" s="93"/>
      <c r="N2132" s="68"/>
      <c r="O2132" s="115"/>
      <c r="Q2132" s="127"/>
    </row>
    <row r="2133" spans="2:17" ht="31.5" customHeight="1">
      <c r="B2133" s="150"/>
      <c r="C2133" s="26">
        <v>89449</v>
      </c>
      <c r="D2133" s="16" t="s">
        <v>8</v>
      </c>
      <c r="E2133" s="447" t="str">
        <f>IFERROR(VLOOKUP($C2133,'SINAPI JULHO 2018'!$1:$1048576,2,0),IFERROR(VLOOKUP($C2133,'5-COMP. PROPRIA'!$B$13:$I$518,4,0),""))</f>
        <v>TUBO, PVC, SOLDÁVEL, DN 50MM, INSTALADO EM PRUMADA DE ÁGUA - FORNECIMENTO E INSTALAÇÃO. AF_12/2014</v>
      </c>
      <c r="F2133" s="448"/>
      <c r="G2133" s="448"/>
      <c r="H2133" s="448"/>
      <c r="I2133" s="448"/>
      <c r="J2133" s="449"/>
      <c r="K2133" s="183">
        <f>80+195+120+19</f>
        <v>414</v>
      </c>
      <c r="L2133" s="58" t="s">
        <v>172</v>
      </c>
      <c r="M2133" s="93"/>
      <c r="N2133" s="68"/>
      <c r="O2133" s="115"/>
      <c r="Q2133" s="127"/>
    </row>
    <row r="2134" spans="2:17">
      <c r="B2134" s="150"/>
      <c r="D2134" s="16"/>
      <c r="E2134" s="276"/>
      <c r="F2134" s="221"/>
      <c r="G2134" s="221"/>
      <c r="H2134" s="221"/>
      <c r="I2134" s="221"/>
      <c r="J2134" s="222"/>
      <c r="K2134" s="183"/>
      <c r="M2134" s="93"/>
      <c r="N2134" s="68"/>
      <c r="O2134" s="115"/>
      <c r="Q2134" s="127"/>
    </row>
    <row r="2135" spans="2:17" ht="42" customHeight="1">
      <c r="B2135" s="150"/>
      <c r="C2135" s="26">
        <v>94483</v>
      </c>
      <c r="D2135" s="16" t="s">
        <v>8</v>
      </c>
      <c r="E2135" s="447" t="str">
        <f>IFERROR(VLOOKUP($C2135,'SINAPI JULHO 2018'!$1:$1048576,2,0),IFERROR(VLOOKUP($C2135,'5-COMP. PROPRIA'!$B$13:$I$518,4,0),""))</f>
        <v>CONJUNTO HIDRÁULICO PARA INSTALAÇÃO DE BOMBA EM AÇO ROSCÁVEL, DN SUCÇÃO 32 (1 1/4) E DN RECALQUE 25 (1), PARA EDIFICAÇÃO ATÉ 4 PAVIMENTOS  FORNECIMENTO E INSTALAÇÃO. AF_06/2016</v>
      </c>
      <c r="F2135" s="448"/>
      <c r="G2135" s="448"/>
      <c r="H2135" s="448"/>
      <c r="I2135" s="448"/>
      <c r="J2135" s="449"/>
      <c r="K2135" s="183">
        <v>4</v>
      </c>
      <c r="L2135" s="58" t="s">
        <v>5</v>
      </c>
      <c r="M2135" s="93"/>
      <c r="N2135" s="68"/>
      <c r="O2135" s="115"/>
      <c r="Q2135" s="127"/>
    </row>
    <row r="2136" spans="2:17">
      <c r="B2136" s="150"/>
      <c r="D2136" s="16"/>
      <c r="E2136" s="276"/>
      <c r="F2136" s="221"/>
      <c r="G2136" s="221"/>
      <c r="H2136" s="221"/>
      <c r="I2136" s="221"/>
      <c r="J2136" s="222"/>
      <c r="K2136" s="183"/>
      <c r="M2136" s="93"/>
      <c r="N2136" s="68"/>
      <c r="O2136" s="115"/>
      <c r="Q2136" s="127"/>
    </row>
    <row r="2137" spans="2:17">
      <c r="B2137" s="150"/>
      <c r="C2137" s="26">
        <v>83647</v>
      </c>
      <c r="D2137" s="16" t="s">
        <v>8</v>
      </c>
      <c r="E2137" s="447" t="str">
        <f>IFERROR(VLOOKUP($C2137,'SINAPI JULHO 2018'!$1:$1048576,2,0),IFERROR(VLOOKUP($C2137,'5-COMP. PROPRIA'!$B$13:$I$518,4,0),""))</f>
        <v>BOMBA RECALQUE D'AGUA TRIFASICA 1,5HP</v>
      </c>
      <c r="F2137" s="448"/>
      <c r="G2137" s="448"/>
      <c r="H2137" s="448"/>
      <c r="I2137" s="448"/>
      <c r="J2137" s="449"/>
      <c r="K2137" s="183">
        <v>4</v>
      </c>
      <c r="L2137" s="58" t="s">
        <v>5</v>
      </c>
      <c r="M2137" s="93"/>
      <c r="N2137" s="68"/>
      <c r="O2137" s="115"/>
      <c r="Q2137" s="127"/>
    </row>
    <row r="2138" spans="2:17">
      <c r="B2138" s="150"/>
      <c r="D2138" s="16"/>
      <c r="E2138" s="276"/>
      <c r="F2138" s="221"/>
      <c r="G2138" s="221"/>
      <c r="H2138" s="221"/>
      <c r="I2138" s="221"/>
      <c r="J2138" s="222"/>
      <c r="K2138" s="183"/>
      <c r="M2138" s="93"/>
      <c r="N2138" s="68"/>
      <c r="O2138" s="115"/>
      <c r="Q2138" s="127"/>
    </row>
    <row r="2139" spans="2:17">
      <c r="B2139" s="150"/>
      <c r="C2139" s="94" t="str">
        <f>'5-COMP. PROPRIA'!B177</f>
        <v>CP-HID-03</v>
      </c>
      <c r="D2139" s="16" t="s">
        <v>326</v>
      </c>
      <c r="E2139" s="447" t="str">
        <f>IFERROR(VLOOKUP($C2139,'SINAPI JULHO 2018'!$1:$1048576,2,0),IFERROR(VLOOKUP($C2139,'5-COMP. PROPRIA'!$B$13:$I$518,4,0),""))</f>
        <v>INSTALAÇÃO DE CAIXA D'ÁGUA DE 20.000 L PARA RESERVATÓRIO</v>
      </c>
      <c r="F2139" s="448"/>
      <c r="G2139" s="448"/>
      <c r="H2139" s="448"/>
      <c r="I2139" s="448"/>
      <c r="J2139" s="449"/>
      <c r="K2139" s="183">
        <v>1</v>
      </c>
      <c r="L2139" s="58" t="s">
        <v>327</v>
      </c>
      <c r="M2139" s="93"/>
      <c r="N2139" s="68"/>
      <c r="O2139" s="115"/>
      <c r="Q2139" s="127"/>
    </row>
    <row r="2140" spans="2:17" ht="13.5" thickBot="1">
      <c r="B2140" s="150"/>
      <c r="D2140" s="16"/>
      <c r="E2140" s="276"/>
      <c r="F2140" s="221"/>
      <c r="G2140" s="221"/>
      <c r="H2140" s="221"/>
      <c r="I2140" s="221"/>
      <c r="J2140" s="222"/>
      <c r="K2140" s="183"/>
      <c r="M2140" s="93"/>
      <c r="N2140" s="68"/>
      <c r="O2140" s="115"/>
      <c r="Q2140" s="127"/>
    </row>
    <row r="2141" spans="2:17" s="320" customFormat="1" ht="15.75" thickBot="1">
      <c r="B2141" s="322"/>
      <c r="C2141" s="323"/>
      <c r="D2141" s="379"/>
      <c r="E2141" s="459" t="s">
        <v>341</v>
      </c>
      <c r="F2141" s="460"/>
      <c r="G2141" s="460"/>
      <c r="H2141" s="460"/>
      <c r="I2141" s="460"/>
      <c r="J2141" s="461"/>
      <c r="K2141" s="350"/>
      <c r="L2141" s="325"/>
      <c r="M2141" s="352"/>
      <c r="N2141" s="318"/>
      <c r="O2141" s="319"/>
      <c r="Q2141" s="321"/>
    </row>
    <row r="2142" spans="2:17" ht="15">
      <c r="B2142" s="150"/>
      <c r="E2142" s="276"/>
      <c r="F2142" s="221"/>
      <c r="G2142" s="221"/>
      <c r="H2142" s="221"/>
      <c r="I2142" s="221"/>
      <c r="J2142" s="222"/>
      <c r="K2142" s="184"/>
      <c r="M2142" s="93"/>
      <c r="N2142" s="68"/>
      <c r="O2142" s="115"/>
      <c r="Q2142" s="127"/>
    </row>
    <row r="2143" spans="2:17" ht="15" customHeight="1">
      <c r="B2143" s="150"/>
      <c r="C2143" s="94" t="s">
        <v>342</v>
      </c>
      <c r="D2143" s="26" t="s">
        <v>326</v>
      </c>
      <c r="E2143" s="447" t="str">
        <f>IFERROR(VLOOKUP($C2143,'SINAPI JULHO 2018'!$1:$1048576,2,0),IFERROR(VLOOKUP($C2143,'5-COMP. PROPRIA'!$B$1:$I$143628,4,0),""))</f>
        <v>ENTRADA DE ENERGIA ELÉTRICA AÉREA TRIFÁSICA 150A COM POSTE DE CONCRETO 7M, CABEAMENTO, CAIXA DE PROTEÇÃO PARA MEDIDOR E ATERRAMENTO - FORNECIMENTO E INSTALAÇÃO</v>
      </c>
      <c r="F2143" s="448"/>
      <c r="G2143" s="448"/>
      <c r="H2143" s="448"/>
      <c r="I2143" s="448"/>
      <c r="J2143" s="449"/>
      <c r="K2143" s="184">
        <v>1</v>
      </c>
      <c r="L2143" s="58" t="s">
        <v>343</v>
      </c>
      <c r="M2143" s="93"/>
      <c r="N2143" s="68"/>
      <c r="O2143" s="115"/>
      <c r="Q2143" s="127"/>
    </row>
    <row r="2144" spans="2:17" ht="15" customHeight="1">
      <c r="B2144" s="150"/>
      <c r="C2144" s="94"/>
      <c r="E2144" s="276"/>
      <c r="F2144" s="221"/>
      <c r="G2144" s="221"/>
      <c r="H2144" s="221"/>
      <c r="I2144" s="221"/>
      <c r="J2144" s="222"/>
      <c r="K2144" s="184"/>
      <c r="M2144" s="93"/>
      <c r="N2144" s="68"/>
      <c r="O2144" s="115"/>
      <c r="Q2144" s="127"/>
    </row>
    <row r="2145" spans="2:17" ht="15">
      <c r="B2145" s="150"/>
      <c r="E2145" s="453" t="s">
        <v>344</v>
      </c>
      <c r="F2145" s="454"/>
      <c r="G2145" s="454"/>
      <c r="H2145" s="454"/>
      <c r="I2145" s="454"/>
      <c r="J2145" s="455"/>
      <c r="K2145" s="184"/>
      <c r="M2145" s="93"/>
      <c r="N2145" s="68"/>
      <c r="O2145" s="115"/>
      <c r="Q2145" s="127"/>
    </row>
    <row r="2146" spans="2:17" ht="15">
      <c r="B2146" s="150"/>
      <c r="E2146" s="276"/>
      <c r="F2146" s="221"/>
      <c r="G2146" s="221"/>
      <c r="H2146" s="221"/>
      <c r="I2146" s="221"/>
      <c r="J2146" s="222"/>
      <c r="K2146" s="184"/>
      <c r="M2146" s="93"/>
      <c r="N2146" s="68"/>
      <c r="O2146" s="115"/>
      <c r="Q2146" s="127"/>
    </row>
    <row r="2147" spans="2:17" ht="15">
      <c r="B2147" s="150"/>
      <c r="C2147" s="26">
        <v>92868</v>
      </c>
      <c r="D2147" s="26" t="s">
        <v>8</v>
      </c>
      <c r="E2147" s="447" t="str">
        <f>IFERROR(VLOOKUP($C2147,'SINAPI JULHO 2018'!$1:$1048576,2,0),IFERROR(VLOOKUP($C2147,'5-COMP. PROPRIA'!$B$13:$I$518,4,0),""))</f>
        <v>CAIXA RETANGULAR 4" X 2" MÉDIA (1,30 M DO PISO), METÁLICA, INSTALADA EM PAREDE - FORNECIMENTO E INSTALAÇÃO. AF_12/2015</v>
      </c>
      <c r="F2147" s="448"/>
      <c r="G2147" s="448"/>
      <c r="H2147" s="448"/>
      <c r="I2147" s="448"/>
      <c r="J2147" s="449"/>
      <c r="K2147" s="184">
        <v>113</v>
      </c>
      <c r="L2147" s="58" t="s">
        <v>343</v>
      </c>
      <c r="M2147" s="93"/>
      <c r="N2147" s="68"/>
      <c r="O2147" s="115"/>
      <c r="Q2147" s="127"/>
    </row>
    <row r="2148" spans="2:17" ht="15" customHeight="1">
      <c r="B2148" s="150"/>
      <c r="C2148" s="26">
        <v>90456</v>
      </c>
      <c r="D2148" s="26" t="s">
        <v>8</v>
      </c>
      <c r="E2148" s="447" t="str">
        <f>IFERROR(VLOOKUP($C2148,'SINAPI JULHO 2018'!$1:$1048576,2,0),IFERROR(VLOOKUP($C2148,'5-COMP. PROPRIA'!$B$13:$I$518,4,0),""))</f>
        <v>QUEBRA EM ALVENARIA PARA INSTALAÇÃO DE CAIXA DE TOMADA (4X4 OU 4X2). AF_05/2015</v>
      </c>
      <c r="F2148" s="448"/>
      <c r="G2148" s="448"/>
      <c r="H2148" s="448"/>
      <c r="I2148" s="448"/>
      <c r="J2148" s="449"/>
      <c r="K2148" s="184">
        <v>113</v>
      </c>
      <c r="L2148" s="58" t="s">
        <v>343</v>
      </c>
      <c r="M2148" s="93"/>
      <c r="N2148" s="68"/>
      <c r="O2148" s="115"/>
      <c r="Q2148" s="127"/>
    </row>
    <row r="2149" spans="2:17" ht="15" customHeight="1">
      <c r="B2149" s="150"/>
      <c r="E2149" s="276"/>
      <c r="F2149" s="221"/>
      <c r="G2149" s="221"/>
      <c r="H2149" s="221"/>
      <c r="I2149" s="221"/>
      <c r="J2149" s="222"/>
      <c r="K2149" s="184"/>
      <c r="M2149" s="93"/>
      <c r="N2149" s="68"/>
      <c r="O2149" s="115"/>
      <c r="Q2149" s="127"/>
    </row>
    <row r="2150" spans="2:17" ht="25.5" customHeight="1">
      <c r="B2150" s="150"/>
      <c r="E2150" s="453" t="s">
        <v>345</v>
      </c>
      <c r="F2150" s="454"/>
      <c r="G2150" s="454"/>
      <c r="H2150" s="454"/>
      <c r="I2150" s="454"/>
      <c r="J2150" s="455"/>
      <c r="K2150" s="184"/>
      <c r="M2150" s="93"/>
      <c r="N2150" s="68"/>
      <c r="O2150" s="115"/>
      <c r="Q2150" s="127"/>
    </row>
    <row r="2151" spans="2:17" ht="15">
      <c r="B2151" s="150"/>
      <c r="E2151" s="276"/>
      <c r="F2151" s="221"/>
      <c r="G2151" s="221"/>
      <c r="H2151" s="221"/>
      <c r="I2151" s="221"/>
      <c r="J2151" s="222"/>
      <c r="K2151" s="184"/>
      <c r="M2151" s="93"/>
      <c r="N2151" s="68"/>
      <c r="O2151" s="115"/>
      <c r="Q2151" s="127"/>
    </row>
    <row r="2152" spans="2:17" ht="15">
      <c r="B2152" s="150"/>
      <c r="C2152" s="26">
        <v>91937</v>
      </c>
      <c r="D2152" s="26" t="s">
        <v>8</v>
      </c>
      <c r="E2152" s="447" t="str">
        <f>IFERROR(VLOOKUP($C2152,'SINAPI JULHO 2018'!$1:$1048576,2,0),IFERROR(VLOOKUP($C2152,'5-COMP. PROPRIA'!$B$13:$I$518,4,0),""))</f>
        <v>CAIXA OCTOGONAL 3" X 3", PVC, INSTALADA EM LAJE - FORNECIMENTO E INSTALAÇÃO. AF_12/2015</v>
      </c>
      <c r="F2152" s="448"/>
      <c r="G2152" s="448"/>
      <c r="H2152" s="448"/>
      <c r="I2152" s="448"/>
      <c r="J2152" s="449"/>
      <c r="K2152" s="184">
        <v>197</v>
      </c>
      <c r="L2152" s="58" t="s">
        <v>343</v>
      </c>
      <c r="M2152" s="93"/>
      <c r="N2152" s="68"/>
      <c r="O2152" s="115"/>
      <c r="Q2152" s="127"/>
    </row>
    <row r="2153" spans="2:17" ht="15">
      <c r="B2153" s="150"/>
      <c r="E2153" s="276"/>
      <c r="F2153" s="221"/>
      <c r="G2153" s="221"/>
      <c r="H2153" s="221"/>
      <c r="I2153" s="221"/>
      <c r="J2153" s="222"/>
      <c r="K2153" s="184"/>
      <c r="M2153" s="93"/>
      <c r="N2153" s="68"/>
      <c r="O2153" s="115"/>
      <c r="Q2153" s="127"/>
    </row>
    <row r="2154" spans="2:17" ht="15" customHeight="1">
      <c r="B2154" s="150"/>
      <c r="E2154" s="453" t="s">
        <v>346</v>
      </c>
      <c r="F2154" s="454"/>
      <c r="G2154" s="454"/>
      <c r="H2154" s="454"/>
      <c r="I2154" s="454"/>
      <c r="J2154" s="455"/>
      <c r="K2154" s="184"/>
      <c r="M2154" s="93"/>
      <c r="N2154" s="68"/>
      <c r="O2154" s="115"/>
      <c r="Q2154" s="127"/>
    </row>
    <row r="2155" spans="2:17" ht="15">
      <c r="B2155" s="150"/>
      <c r="E2155" s="276"/>
      <c r="F2155" s="221"/>
      <c r="G2155" s="221"/>
      <c r="H2155" s="221"/>
      <c r="I2155" s="221"/>
      <c r="J2155" s="222"/>
      <c r="K2155" s="184"/>
      <c r="M2155" s="93"/>
      <c r="N2155" s="68"/>
      <c r="O2155" s="115"/>
      <c r="Q2155" s="127"/>
    </row>
    <row r="2156" spans="2:17" ht="15">
      <c r="B2156" s="150"/>
      <c r="C2156" s="26">
        <v>93018</v>
      </c>
      <c r="D2156" s="26" t="s">
        <v>8</v>
      </c>
      <c r="E2156" s="447" t="str">
        <f>IFERROR(VLOOKUP($C2156,'SINAPI JULHO 2018'!$1:$1048576,2,0),IFERROR(VLOOKUP($C2156,'5-COMP. PROPRIA'!$B$13:$I$518,4,0),""))</f>
        <v>CURVA 90 GRAUS PARA ELETRODUTO, PVC, ROSCÁVEL, DN 50 MM (1 1/2") - FORNECIMENTO E INSTALAÇÃO. AF_12/2015</v>
      </c>
      <c r="F2156" s="448"/>
      <c r="G2156" s="448"/>
      <c r="H2156" s="448"/>
      <c r="I2156" s="448"/>
      <c r="J2156" s="449"/>
      <c r="K2156" s="184">
        <v>2</v>
      </c>
      <c r="L2156" s="58" t="s">
        <v>343</v>
      </c>
      <c r="M2156" s="93"/>
      <c r="N2156" s="68"/>
      <c r="O2156" s="115"/>
      <c r="Q2156" s="127"/>
    </row>
    <row r="2157" spans="2:17" ht="15">
      <c r="B2157" s="150"/>
      <c r="E2157" s="276"/>
      <c r="F2157" s="221"/>
      <c r="G2157" s="221"/>
      <c r="H2157" s="221"/>
      <c r="I2157" s="221"/>
      <c r="J2157" s="222"/>
      <c r="K2157" s="184"/>
      <c r="M2157" s="93"/>
      <c r="N2157" s="68"/>
      <c r="O2157" s="115"/>
      <c r="Q2157" s="127"/>
    </row>
    <row r="2158" spans="2:17" ht="15" customHeight="1">
      <c r="B2158" s="150"/>
      <c r="E2158" s="453" t="s">
        <v>347</v>
      </c>
      <c r="F2158" s="454"/>
      <c r="G2158" s="454"/>
      <c r="H2158" s="454"/>
      <c r="I2158" s="454"/>
      <c r="J2158" s="455"/>
      <c r="K2158" s="184"/>
      <c r="M2158" s="93"/>
      <c r="N2158" s="68"/>
      <c r="O2158" s="115"/>
      <c r="Q2158" s="127"/>
    </row>
    <row r="2159" spans="2:17" ht="15">
      <c r="B2159" s="150"/>
      <c r="E2159" s="276"/>
      <c r="F2159" s="221"/>
      <c r="G2159" s="221"/>
      <c r="H2159" s="221"/>
      <c r="I2159" s="221"/>
      <c r="J2159" s="222"/>
      <c r="K2159" s="184"/>
      <c r="M2159" s="93"/>
      <c r="N2159" s="68"/>
      <c r="O2159" s="115"/>
      <c r="Q2159" s="127"/>
    </row>
    <row r="2160" spans="2:17" ht="15">
      <c r="B2160" s="150"/>
      <c r="C2160" s="26">
        <v>93013</v>
      </c>
      <c r="D2160" s="26" t="s">
        <v>8</v>
      </c>
      <c r="E2160" s="447" t="str">
        <f>IFERROR(VLOOKUP($C2160,'SINAPI JULHO 2018'!$1:$1048576,2,0),IFERROR(VLOOKUP($C2160,'5-COMP. PROPRIA'!$B$13:$I$518,4,0),""))</f>
        <v>LUVA PARA ELETRODUTO, PVC, ROSCÁVEL, DN 50 MM (1 1/2") - FORNECIMENTO E INSTALAÇÃO. AF_12/2015</v>
      </c>
      <c r="F2160" s="448"/>
      <c r="G2160" s="448"/>
      <c r="H2160" s="448"/>
      <c r="I2160" s="448"/>
      <c r="J2160" s="449"/>
      <c r="K2160" s="184">
        <v>7</v>
      </c>
      <c r="L2160" s="58" t="s">
        <v>343</v>
      </c>
      <c r="M2160" s="93"/>
      <c r="N2160" s="68"/>
      <c r="O2160" s="115"/>
      <c r="Q2160" s="127"/>
    </row>
    <row r="2161" spans="2:17" ht="15">
      <c r="B2161" s="150"/>
      <c r="E2161" s="276"/>
      <c r="F2161" s="221"/>
      <c r="G2161" s="221"/>
      <c r="H2161" s="221"/>
      <c r="I2161" s="221"/>
      <c r="J2161" s="222"/>
      <c r="K2161" s="184"/>
      <c r="M2161" s="93"/>
      <c r="N2161" s="68"/>
      <c r="O2161" s="115"/>
      <c r="Q2161" s="127"/>
    </row>
    <row r="2162" spans="2:17" ht="15" customHeight="1">
      <c r="B2162" s="150"/>
      <c r="E2162" s="453" t="s">
        <v>348</v>
      </c>
      <c r="F2162" s="454"/>
      <c r="G2162" s="454"/>
      <c r="H2162" s="454"/>
      <c r="I2162" s="454"/>
      <c r="J2162" s="455"/>
      <c r="K2162" s="184"/>
      <c r="M2162" s="93"/>
      <c r="N2162" s="68"/>
      <c r="O2162" s="115"/>
      <c r="Q2162" s="127"/>
    </row>
    <row r="2163" spans="2:17" ht="15">
      <c r="B2163" s="150"/>
      <c r="E2163" s="276"/>
      <c r="F2163" s="221"/>
      <c r="G2163" s="221"/>
      <c r="H2163" s="221"/>
      <c r="I2163" s="221"/>
      <c r="J2163" s="222"/>
      <c r="K2163" s="184"/>
      <c r="M2163" s="93"/>
      <c r="N2163" s="68"/>
      <c r="O2163" s="115"/>
      <c r="Q2163" s="127"/>
    </row>
    <row r="2164" spans="2:17" ht="15">
      <c r="B2164" s="150"/>
      <c r="C2164" s="26">
        <v>93015</v>
      </c>
      <c r="D2164" s="26" t="s">
        <v>8</v>
      </c>
      <c r="E2164" s="447" t="str">
        <f>IFERROR(VLOOKUP($C2164,'SINAPI JULHO 2018'!$1:$1048576,2,0),IFERROR(VLOOKUP($C2164,'5-COMP. PROPRIA'!$B$13:$I$518,4,0),""))</f>
        <v>LUVA PARA ELETRODUTO, PVC, ROSCÁVEL, DN 75 MM (2 1/2") - FORNECIMENTO E INSTALAÇÃO. AF_12/2015</v>
      </c>
      <c r="F2164" s="448"/>
      <c r="G2164" s="448"/>
      <c r="H2164" s="448"/>
      <c r="I2164" s="448"/>
      <c r="J2164" s="449"/>
      <c r="K2164" s="184">
        <v>1</v>
      </c>
      <c r="L2164" s="58" t="s">
        <v>343</v>
      </c>
      <c r="M2164" s="93"/>
      <c r="N2164" s="68"/>
      <c r="O2164" s="115"/>
      <c r="Q2164" s="127"/>
    </row>
    <row r="2165" spans="2:17" ht="15">
      <c r="B2165" s="150"/>
      <c r="E2165" s="276"/>
      <c r="F2165" s="221"/>
      <c r="G2165" s="221"/>
      <c r="H2165" s="221"/>
      <c r="I2165" s="221"/>
      <c r="J2165" s="222"/>
      <c r="K2165" s="184"/>
      <c r="M2165" s="93"/>
      <c r="N2165" s="68"/>
      <c r="O2165" s="115"/>
      <c r="Q2165" s="127"/>
    </row>
    <row r="2166" spans="2:17" ht="15" customHeight="1">
      <c r="B2166" s="150"/>
      <c r="E2166" s="453" t="s">
        <v>349</v>
      </c>
      <c r="F2166" s="454"/>
      <c r="G2166" s="454"/>
      <c r="H2166" s="454"/>
      <c r="I2166" s="454"/>
      <c r="J2166" s="455"/>
      <c r="K2166" s="184"/>
      <c r="M2166" s="93"/>
      <c r="N2166" s="68"/>
      <c r="O2166" s="115"/>
      <c r="Q2166" s="127"/>
    </row>
    <row r="2167" spans="2:17" ht="15" customHeight="1">
      <c r="B2167" s="150"/>
      <c r="E2167" s="453" t="s">
        <v>350</v>
      </c>
      <c r="F2167" s="454"/>
      <c r="G2167" s="454"/>
      <c r="H2167" s="454"/>
      <c r="I2167" s="454"/>
      <c r="J2167" s="455"/>
      <c r="K2167" s="184"/>
      <c r="M2167" s="93"/>
      <c r="N2167" s="68"/>
      <c r="O2167" s="115"/>
      <c r="Q2167" s="127"/>
    </row>
    <row r="2168" spans="2:17" ht="15">
      <c r="B2168" s="150"/>
      <c r="E2168" s="276"/>
      <c r="F2168" s="221"/>
      <c r="G2168" s="221"/>
      <c r="H2168" s="221"/>
      <c r="I2168" s="221"/>
      <c r="J2168" s="222"/>
      <c r="K2168" s="184"/>
      <c r="M2168" s="93"/>
      <c r="N2168" s="68"/>
      <c r="O2168" s="115"/>
      <c r="Q2168" s="127"/>
    </row>
    <row r="2169" spans="2:17" ht="33.75" customHeight="1">
      <c r="B2169" s="150"/>
      <c r="C2169" s="26">
        <v>92980</v>
      </c>
      <c r="D2169" s="26" t="s">
        <v>8</v>
      </c>
      <c r="E2169" s="447" t="str">
        <f>IFERROR(VLOOKUP($C2169,'SINAPI JULHO 2018'!$1:$1048576,2,0),IFERROR(VLOOKUP($C2169,'5-COMP. PROPRIA'!$B$13:$I$518,4,0),""))</f>
        <v>CABO DE COBRE FLEXÍVEL ISOLADO, 10 MM², ANTI-CHAMA 0,6/1,0 KV, PARA DISTRIBUIÇÃO - FORNECIMENTO E INSTALAÇÃO. AF_12/2015</v>
      </c>
      <c r="F2169" s="448"/>
      <c r="G2169" s="448"/>
      <c r="H2169" s="448"/>
      <c r="I2169" s="448"/>
      <c r="J2169" s="449"/>
      <c r="K2169" s="184">
        <v>605.29999999999995</v>
      </c>
      <c r="L2169" s="58" t="s">
        <v>63</v>
      </c>
      <c r="M2169" s="93"/>
      <c r="N2169" s="68"/>
      <c r="O2169" s="115"/>
      <c r="Q2169" s="127"/>
    </row>
    <row r="2170" spans="2:17" ht="33.75" customHeight="1">
      <c r="B2170" s="150"/>
      <c r="C2170" s="26">
        <v>92982</v>
      </c>
      <c r="D2170" s="26" t="s">
        <v>8</v>
      </c>
      <c r="E2170" s="447" t="str">
        <f>IFERROR(VLOOKUP($C2170,'SINAPI JULHO 2018'!$1:$1048576,2,0),IFERROR(VLOOKUP($C2170,'5-COMP. PROPRIA'!$B$13:$I$518,4,0),""))</f>
        <v>CABO DE COBRE FLEXÍVEL ISOLADO, 16 MM², ANTI-CHAMA 0,6/1,0 KV, PARA DISTRIBUIÇÃO - FORNECIMENTO E INSTALAÇÃO. AF_12/2015</v>
      </c>
      <c r="F2170" s="448"/>
      <c r="G2170" s="448"/>
      <c r="H2170" s="448"/>
      <c r="I2170" s="448"/>
      <c r="J2170" s="449"/>
      <c r="K2170" s="184">
        <v>2973</v>
      </c>
      <c r="L2170" s="58" t="s">
        <v>63</v>
      </c>
      <c r="M2170" s="93"/>
      <c r="N2170" s="68"/>
      <c r="O2170" s="115"/>
      <c r="Q2170" s="127"/>
    </row>
    <row r="2171" spans="2:17" ht="33.75" customHeight="1">
      <c r="B2171" s="150"/>
      <c r="C2171" s="26">
        <v>92984</v>
      </c>
      <c r="D2171" s="26" t="s">
        <v>8</v>
      </c>
      <c r="E2171" s="447" t="str">
        <f>IFERROR(VLOOKUP($C2171,'SINAPI JULHO 2018'!$1:$1048576,2,0),IFERROR(VLOOKUP($C2171,'5-COMP. PROPRIA'!$B$13:$I$518,4,0),""))</f>
        <v>CABO DE COBRE FLEXÍVEL ISOLADO, 25 MM², ANTI-CHAMA 0,6/1,0 KV, PARA DISTRIBUIÇÃO - FORNECIMENTO E INSTALAÇÃO. AF_12/2015</v>
      </c>
      <c r="F2171" s="448"/>
      <c r="G2171" s="448"/>
      <c r="H2171" s="448"/>
      <c r="I2171" s="448"/>
      <c r="J2171" s="449"/>
      <c r="K2171" s="184">
        <v>415.8</v>
      </c>
      <c r="L2171" s="58" t="s">
        <v>63</v>
      </c>
      <c r="M2171" s="93"/>
      <c r="N2171" s="68"/>
      <c r="O2171" s="115"/>
      <c r="Q2171" s="127"/>
    </row>
    <row r="2172" spans="2:17" ht="33.75" customHeight="1">
      <c r="B2172" s="150"/>
      <c r="C2172" s="26">
        <v>92986</v>
      </c>
      <c r="D2172" s="26" t="s">
        <v>8</v>
      </c>
      <c r="E2172" s="447" t="str">
        <f>IFERROR(VLOOKUP($C2172,'SINAPI JULHO 2018'!$1:$1048576,2,0),IFERROR(VLOOKUP($C2172,'5-COMP. PROPRIA'!$B$13:$I$518,4,0),""))</f>
        <v>CABO DE COBRE FLEXÍVEL ISOLADO, 35 MM², ANTI-CHAMA 0,6/1,0 KV, PARA DISTRIBUIÇÃO - FORNECIMENTO E INSTALAÇÃO. AF_12/2015</v>
      </c>
      <c r="F2172" s="448"/>
      <c r="G2172" s="448"/>
      <c r="H2172" s="448"/>
      <c r="I2172" s="448"/>
      <c r="J2172" s="449"/>
      <c r="K2172" s="184">
        <v>8.1999999999999993</v>
      </c>
      <c r="L2172" s="58" t="s">
        <v>63</v>
      </c>
      <c r="M2172" s="93"/>
      <c r="N2172" s="68"/>
      <c r="O2172" s="115"/>
      <c r="Q2172" s="127"/>
    </row>
    <row r="2173" spans="2:17" ht="33.75" customHeight="1">
      <c r="B2173" s="150"/>
      <c r="C2173" s="26">
        <v>92988</v>
      </c>
      <c r="D2173" s="26" t="s">
        <v>8</v>
      </c>
      <c r="E2173" s="447" t="str">
        <f>IFERROR(VLOOKUP($C2173,'SINAPI JULHO 2018'!$1:$1048576,2,0),IFERROR(VLOOKUP($C2173,'5-COMP. PROPRIA'!$B$13:$I$518,4,0),""))</f>
        <v>CABO DE COBRE FLEXÍVEL ISOLADO, 50 MM², ANTI-CHAMA 0,6/1,0 KV, PARA DISTRIBUIÇÃO - FORNECIMENTO E INSTALAÇÃO. AF_12/2015</v>
      </c>
      <c r="F2173" s="448"/>
      <c r="G2173" s="448"/>
      <c r="H2173" s="448"/>
      <c r="I2173" s="448"/>
      <c r="J2173" s="449"/>
      <c r="K2173" s="184">
        <v>6.6</v>
      </c>
      <c r="L2173" s="58" t="s">
        <v>63</v>
      </c>
      <c r="M2173" s="93"/>
      <c r="N2173" s="68"/>
      <c r="O2173" s="115"/>
      <c r="Q2173" s="127"/>
    </row>
    <row r="2174" spans="2:17" ht="33.75" customHeight="1">
      <c r="B2174" s="150"/>
      <c r="C2174" s="26">
        <v>92990</v>
      </c>
      <c r="D2174" s="26" t="s">
        <v>8</v>
      </c>
      <c r="E2174" s="447" t="str">
        <f>IFERROR(VLOOKUP($C2174,'SINAPI JULHO 2018'!$1:$1048576,2,0),IFERROR(VLOOKUP($C2174,'5-COMP. PROPRIA'!$B$13:$I$518,4,0),""))</f>
        <v>CABO DE COBRE FLEXÍVEL ISOLADO, 70 MM², ANTI-CHAMA 0,6/1,0 KV, PARA DISTRIBUIÇÃO - FORNECIMENTO E INSTALAÇÃO. AF_12/2015</v>
      </c>
      <c r="F2174" s="448"/>
      <c r="G2174" s="448"/>
      <c r="H2174" s="448"/>
      <c r="I2174" s="448"/>
      <c r="J2174" s="449"/>
      <c r="K2174" s="184">
        <v>41.8</v>
      </c>
      <c r="L2174" s="58" t="s">
        <v>63</v>
      </c>
      <c r="M2174" s="93"/>
      <c r="N2174" s="68"/>
      <c r="O2174" s="115"/>
      <c r="Q2174" s="127"/>
    </row>
    <row r="2175" spans="2:17" ht="15">
      <c r="B2175" s="150"/>
      <c r="E2175" s="276"/>
      <c r="F2175" s="221"/>
      <c r="G2175" s="221"/>
      <c r="H2175" s="221"/>
      <c r="I2175" s="221"/>
      <c r="J2175" s="222"/>
      <c r="K2175" s="184"/>
      <c r="M2175" s="93"/>
      <c r="N2175" s="68"/>
      <c r="O2175" s="115"/>
      <c r="Q2175" s="127"/>
    </row>
    <row r="2176" spans="2:17" ht="15" customHeight="1">
      <c r="B2176" s="150"/>
      <c r="E2176" s="453" t="s">
        <v>351</v>
      </c>
      <c r="F2176" s="454"/>
      <c r="G2176" s="454"/>
      <c r="H2176" s="454"/>
      <c r="I2176" s="454"/>
      <c r="J2176" s="455"/>
      <c r="K2176" s="184"/>
      <c r="M2176" s="93"/>
      <c r="N2176" s="68"/>
      <c r="O2176" s="115"/>
      <c r="Q2176" s="127"/>
    </row>
    <row r="2177" spans="2:17" ht="15">
      <c r="B2177" s="150"/>
      <c r="E2177" s="276"/>
      <c r="F2177" s="221"/>
      <c r="G2177" s="221"/>
      <c r="H2177" s="221"/>
      <c r="I2177" s="221"/>
      <c r="J2177" s="222"/>
      <c r="K2177" s="184"/>
      <c r="M2177" s="93"/>
      <c r="N2177" s="68"/>
      <c r="O2177" s="115"/>
      <c r="Q2177" s="127"/>
    </row>
    <row r="2178" spans="2:17" ht="28.5" customHeight="1">
      <c r="B2178" s="150"/>
      <c r="C2178" s="26">
        <v>92979</v>
      </c>
      <c r="D2178" s="26" t="s">
        <v>8</v>
      </c>
      <c r="E2178" s="447" t="str">
        <f>IFERROR(VLOOKUP($C2178,'SINAPI JULHO 2018'!$1:$1048576,2,0),IFERROR(VLOOKUP($C2178,'5-COMP. PROPRIA'!$B$13:$I$518,4,0),""))</f>
        <v>CABO DE COBRE FLEXÍVEL ISOLADO, 10 MM², ANTI-CHAMA 450/750 V, PARA DISTRIBUIÇÃO - FORNECIMENTO E INSTALAÇÃO. AF_12/2015</v>
      </c>
      <c r="F2178" s="448"/>
      <c r="G2178" s="448"/>
      <c r="H2178" s="448"/>
      <c r="I2178" s="448"/>
      <c r="J2178" s="449"/>
      <c r="K2178" s="184">
        <v>20.8</v>
      </c>
      <c r="L2178" s="58" t="s">
        <v>63</v>
      </c>
      <c r="M2178" s="93"/>
      <c r="N2178" s="68"/>
      <c r="O2178" s="115"/>
      <c r="Q2178" s="127"/>
    </row>
    <row r="2179" spans="2:17" ht="28.5" customHeight="1">
      <c r="B2179" s="150"/>
      <c r="C2179" s="26">
        <v>91926</v>
      </c>
      <c r="D2179" s="26" t="s">
        <v>8</v>
      </c>
      <c r="E2179" s="447" t="str">
        <f>IFERROR(VLOOKUP($C2179,'SINAPI JULHO 2018'!$1:$1048576,2,0),IFERROR(VLOOKUP($C2179,'5-COMP. PROPRIA'!$B$13:$I$518,4,0),""))</f>
        <v>CABO DE COBRE FLEXÍVEL ISOLADO, 2,5 MM², ANTI-CHAMA 450/750 V, PARA CIRCUITOS TERMINAIS - FORNECIMENTO E INSTALAÇÃO. AF_12/2015</v>
      </c>
      <c r="F2179" s="448"/>
      <c r="G2179" s="448"/>
      <c r="H2179" s="448"/>
      <c r="I2179" s="448"/>
      <c r="J2179" s="449"/>
      <c r="K2179" s="184">
        <v>1774.3</v>
      </c>
      <c r="L2179" s="58" t="s">
        <v>63</v>
      </c>
      <c r="M2179" s="93"/>
      <c r="N2179" s="68"/>
      <c r="O2179" s="115"/>
      <c r="Q2179" s="127"/>
    </row>
    <row r="2180" spans="2:17" ht="28.5" customHeight="1">
      <c r="B2180" s="150"/>
      <c r="C2180" s="26">
        <v>91928</v>
      </c>
      <c r="D2180" s="26" t="s">
        <v>8</v>
      </c>
      <c r="E2180" s="447" t="str">
        <f>IFERROR(VLOOKUP($C2180,'SINAPI JULHO 2018'!$1:$1048576,2,0),IFERROR(VLOOKUP($C2180,'5-COMP. PROPRIA'!$B$13:$I$518,4,0),""))</f>
        <v>CABO DE COBRE FLEXÍVEL ISOLADO, 4 MM², ANTI-CHAMA 450/750 V, PARA CIRCUITOS TERMINAIS - FORNECIMENTO E INSTALAÇÃO. AF_12/2015</v>
      </c>
      <c r="F2180" s="448"/>
      <c r="G2180" s="448"/>
      <c r="H2180" s="448"/>
      <c r="I2180" s="448"/>
      <c r="J2180" s="449"/>
      <c r="K2180" s="184">
        <v>40.799999999999997</v>
      </c>
      <c r="L2180" s="58" t="s">
        <v>63</v>
      </c>
      <c r="M2180" s="93"/>
      <c r="N2180" s="68"/>
      <c r="O2180" s="115"/>
      <c r="Q2180" s="127"/>
    </row>
    <row r="2181" spans="2:17" ht="28.5" customHeight="1">
      <c r="B2181" s="150"/>
      <c r="C2181" s="26">
        <v>91930</v>
      </c>
      <c r="D2181" s="26" t="s">
        <v>8</v>
      </c>
      <c r="E2181" s="447" t="str">
        <f>IFERROR(VLOOKUP($C2181,'SINAPI JULHO 2018'!$1:$1048576,2,0),IFERROR(VLOOKUP($C2181,'5-COMP. PROPRIA'!$B$13:$I$518,4,0),""))</f>
        <v>CABO DE COBRE FLEXÍVEL ISOLADO, 6 MM², ANTI-CHAMA 450/750 V, PARA CIRCUITOS TERMINAIS - FORNECIMENTO E INSTALAÇÃO. AF_12/2015</v>
      </c>
      <c r="F2181" s="448"/>
      <c r="G2181" s="448"/>
      <c r="H2181" s="448"/>
      <c r="I2181" s="448"/>
      <c r="J2181" s="449"/>
      <c r="K2181" s="184">
        <v>6.4</v>
      </c>
      <c r="L2181" s="58" t="s">
        <v>63</v>
      </c>
      <c r="M2181" s="93"/>
      <c r="N2181" s="68"/>
      <c r="O2181" s="115"/>
      <c r="Q2181" s="127"/>
    </row>
    <row r="2182" spans="2:17" ht="15">
      <c r="B2182" s="150"/>
      <c r="E2182" s="276"/>
      <c r="F2182" s="221"/>
      <c r="G2182" s="221"/>
      <c r="H2182" s="221"/>
      <c r="I2182" s="221"/>
      <c r="J2182" s="222"/>
      <c r="K2182" s="184"/>
      <c r="M2182" s="93"/>
      <c r="N2182" s="68"/>
      <c r="O2182" s="115"/>
      <c r="Q2182" s="127"/>
    </row>
    <row r="2183" spans="2:17" ht="15" customHeight="1">
      <c r="B2183" s="150"/>
      <c r="E2183" s="453" t="s">
        <v>352</v>
      </c>
      <c r="F2183" s="454"/>
      <c r="G2183" s="454"/>
      <c r="H2183" s="454"/>
      <c r="I2183" s="454"/>
      <c r="J2183" s="455"/>
      <c r="K2183" s="184"/>
      <c r="M2183" s="93"/>
      <c r="N2183" s="68"/>
      <c r="O2183" s="115"/>
      <c r="Q2183" s="127"/>
    </row>
    <row r="2184" spans="2:17" ht="15" customHeight="1">
      <c r="B2184" s="150"/>
      <c r="E2184" s="453" t="s">
        <v>353</v>
      </c>
      <c r="F2184" s="454"/>
      <c r="G2184" s="454"/>
      <c r="H2184" s="454"/>
      <c r="I2184" s="454"/>
      <c r="J2184" s="455"/>
      <c r="K2184" s="184"/>
      <c r="M2184" s="93"/>
      <c r="N2184" s="68"/>
      <c r="O2184" s="115"/>
      <c r="Q2184" s="127"/>
    </row>
    <row r="2185" spans="2:17" ht="15">
      <c r="B2185" s="150"/>
      <c r="E2185" s="276"/>
      <c r="F2185" s="221"/>
      <c r="G2185" s="221"/>
      <c r="H2185" s="221"/>
      <c r="I2185" s="221"/>
      <c r="J2185" s="222"/>
      <c r="K2185" s="184"/>
      <c r="M2185" s="93"/>
      <c r="N2185" s="68"/>
      <c r="O2185" s="115"/>
      <c r="Q2185" s="127"/>
    </row>
    <row r="2186" spans="2:17" ht="15">
      <c r="B2186" s="150"/>
      <c r="C2186" s="26">
        <v>97887</v>
      </c>
      <c r="D2186" s="26" t="s">
        <v>8</v>
      </c>
      <c r="E2186" s="447" t="str">
        <f>IFERROR(VLOOKUP($C2186,'SINAPI JULHO 2018'!$1:$1048576,2,0),IFERROR(VLOOKUP($C2186,'5-COMP. PROPRIA'!$B$13:$I$518,4,0),""))</f>
        <v>CAIXA ENTERRADA ELÉTRICA RETANGULAR, EM ALVENARIA COM TIJOLOS CERÂMICOS MACIÇOS, FUNDO COM BRITA, DIMENSÕES INTERNAS: 0,4X0,4X0,4 M. AF_05/2018</v>
      </c>
      <c r="F2186" s="448"/>
      <c r="G2186" s="448"/>
      <c r="H2186" s="448"/>
      <c r="I2186" s="448"/>
      <c r="J2186" s="449"/>
      <c r="K2186" s="184">
        <v>14</v>
      </c>
      <c r="L2186" s="58" t="s">
        <v>343</v>
      </c>
      <c r="M2186" s="93"/>
      <c r="N2186" s="68"/>
      <c r="O2186" s="115"/>
      <c r="Q2186" s="127"/>
    </row>
    <row r="2187" spans="2:17" ht="15">
      <c r="B2187" s="150"/>
      <c r="E2187" s="276"/>
      <c r="F2187" s="221"/>
      <c r="G2187" s="221"/>
      <c r="H2187" s="221"/>
      <c r="I2187" s="221"/>
      <c r="J2187" s="222"/>
      <c r="K2187" s="184"/>
      <c r="M2187" s="93"/>
      <c r="N2187" s="68"/>
      <c r="O2187" s="115"/>
      <c r="Q2187" s="127"/>
    </row>
    <row r="2188" spans="2:17" ht="15" customHeight="1">
      <c r="B2188" s="150"/>
      <c r="E2188" s="453" t="s">
        <v>354</v>
      </c>
      <c r="F2188" s="454"/>
      <c r="G2188" s="454"/>
      <c r="H2188" s="454"/>
      <c r="I2188" s="454"/>
      <c r="J2188" s="455"/>
      <c r="K2188" s="184"/>
      <c r="M2188" s="93"/>
      <c r="N2188" s="68"/>
      <c r="O2188" s="115"/>
      <c r="Q2188" s="127"/>
    </row>
    <row r="2189" spans="2:17" ht="15" customHeight="1">
      <c r="B2189" s="150"/>
      <c r="E2189" s="453" t="s">
        <v>355</v>
      </c>
      <c r="F2189" s="454"/>
      <c r="G2189" s="454"/>
      <c r="H2189" s="454"/>
      <c r="I2189" s="454"/>
      <c r="J2189" s="455"/>
      <c r="K2189" s="184"/>
      <c r="M2189" s="93"/>
      <c r="N2189" s="68"/>
      <c r="O2189" s="115"/>
      <c r="Q2189" s="127"/>
    </row>
    <row r="2190" spans="2:17" ht="15">
      <c r="B2190" s="150"/>
      <c r="E2190" s="276"/>
      <c r="F2190" s="221"/>
      <c r="G2190" s="221"/>
      <c r="H2190" s="221"/>
      <c r="I2190" s="221"/>
      <c r="J2190" s="222"/>
      <c r="K2190" s="184"/>
      <c r="M2190" s="93"/>
      <c r="N2190" s="68"/>
      <c r="O2190" s="115"/>
      <c r="Q2190" s="127"/>
    </row>
    <row r="2191" spans="2:17" ht="15">
      <c r="B2191" s="150"/>
      <c r="C2191" s="94" t="s">
        <v>356</v>
      </c>
      <c r="D2191" s="26" t="s">
        <v>326</v>
      </c>
      <c r="E2191" s="447" t="str">
        <f>IFERROR(VLOOKUP($C2191,'SINAPI JULHO 2018'!$1:$1048576,2,0),IFERROR(VLOOKUP($C2191,'5-COMP. PROPRIA'!$B$13:$I$518,4,0),""))</f>
        <v xml:space="preserve">VARIADOR DE VELOCIDADE PARA VENTILADOR 127V, 150W + 2 INTERRUPTORES PARALELOS, PARA REVERSAO E LAMPADA, CONJUNTO MONTADO PARA EMBUTIR 4" X 2" (PLACA + SUPORTE + MODULOS) - FORNECIMENTO E INSTALAÇÃO </v>
      </c>
      <c r="F2191" s="448"/>
      <c r="G2191" s="448"/>
      <c r="H2191" s="448"/>
      <c r="I2191" s="448"/>
      <c r="J2191" s="449"/>
      <c r="K2191" s="184">
        <v>19</v>
      </c>
      <c r="L2191" s="58" t="s">
        <v>343</v>
      </c>
      <c r="M2191" s="93"/>
      <c r="N2191" s="68"/>
      <c r="O2191" s="115"/>
      <c r="Q2191" s="127"/>
    </row>
    <row r="2192" spans="2:17" ht="30" customHeight="1">
      <c r="B2192" s="150"/>
      <c r="C2192" s="26">
        <v>91953</v>
      </c>
      <c r="D2192" s="26" t="s">
        <v>8</v>
      </c>
      <c r="E2192" s="447" t="str">
        <f>IFERROR(VLOOKUP($C2192,'SINAPI JULHO 2018'!$1:$1048576,2,0),IFERROR(VLOOKUP($C2192,'5-COMP. PROPRIA'!$B$13:$I$518,4,0),""))</f>
        <v>INTERRUPTOR SIMPLES (1 MÓDULO), 10A/250V, INCLUINDO SUPORTE E PLACA - FORNECIMENTO E INSTALAÇÃO. AF_12/2015</v>
      </c>
      <c r="F2192" s="448"/>
      <c r="G2192" s="448"/>
      <c r="H2192" s="448"/>
      <c r="I2192" s="448"/>
      <c r="J2192" s="449"/>
      <c r="K2192" s="184">
        <v>23</v>
      </c>
      <c r="L2192" s="58" t="s">
        <v>343</v>
      </c>
      <c r="M2192" s="93"/>
      <c r="N2192" s="68"/>
      <c r="O2192" s="115"/>
      <c r="Q2192" s="127"/>
    </row>
    <row r="2193" spans="2:17" ht="30" customHeight="1">
      <c r="B2193" s="150"/>
      <c r="C2193" s="26">
        <v>91959</v>
      </c>
      <c r="D2193" s="26" t="s">
        <v>8</v>
      </c>
      <c r="E2193" s="447" t="str">
        <f>IFERROR(VLOOKUP($C2193,'SINAPI JULHO 2018'!$1:$1048576,2,0),IFERROR(VLOOKUP($C2193,'5-COMP. PROPRIA'!$B$13:$I$518,4,0),""))</f>
        <v>INTERRUPTOR SIMPLES (2 MÓDULOS), 10A/250V, INCLUINDO SUPORTE E PLACA - FORNECIMENTO E INSTALAÇÃO. AF_12/2015</v>
      </c>
      <c r="F2193" s="448"/>
      <c r="G2193" s="448"/>
      <c r="H2193" s="448"/>
      <c r="I2193" s="448"/>
      <c r="J2193" s="449"/>
      <c r="K2193" s="184">
        <v>1</v>
      </c>
      <c r="L2193" s="58" t="s">
        <v>343</v>
      </c>
      <c r="M2193" s="93"/>
      <c r="N2193" s="68"/>
      <c r="O2193" s="115"/>
      <c r="Q2193" s="127"/>
    </row>
    <row r="2194" spans="2:17" ht="30" customHeight="1">
      <c r="B2194" s="150"/>
      <c r="C2194" s="26">
        <v>91967</v>
      </c>
      <c r="D2194" s="26" t="s">
        <v>8</v>
      </c>
      <c r="E2194" s="447" t="str">
        <f>IFERROR(VLOOKUP($C2194,'SINAPI JULHO 2018'!$1:$1048576,2,0),IFERROR(VLOOKUP($C2194,'5-COMP. PROPRIA'!$B$13:$I$518,4,0),""))</f>
        <v>INTERRUPTOR SIMPLES (3 MÓDULOS), 10A/250V, INCLUINDO SUPORTE E PLACA - FORNECIMENTO E INSTALAÇÃO. AF_12/2015</v>
      </c>
      <c r="F2194" s="448"/>
      <c r="G2194" s="448"/>
      <c r="H2194" s="448"/>
      <c r="I2194" s="448"/>
      <c r="J2194" s="449"/>
      <c r="K2194" s="184">
        <v>1</v>
      </c>
      <c r="L2194" s="58" t="s">
        <v>343</v>
      </c>
      <c r="M2194" s="93"/>
      <c r="N2194" s="68"/>
      <c r="O2194" s="115"/>
      <c r="Q2194" s="127"/>
    </row>
    <row r="2195" spans="2:17" ht="30" customHeight="1">
      <c r="B2195" s="150"/>
      <c r="C2195" s="26">
        <v>92000</v>
      </c>
      <c r="D2195" s="26" t="s">
        <v>8</v>
      </c>
      <c r="E2195" s="447" t="str">
        <f>IFERROR(VLOOKUP($C2195,'SINAPI JULHO 2018'!$1:$1048576,2,0),IFERROR(VLOOKUP($C2195,'5-COMP. PROPRIA'!$B$13:$I$518,4,0),""))</f>
        <v>TOMADA BAIXA DE EMBUTIR (1 MÓDULO), 2P+T 10 A, INCLUINDO SUPORTE E PLACA - FORNECIMENTO E INSTALAÇÃO. AF_12/2015</v>
      </c>
      <c r="F2195" s="448"/>
      <c r="G2195" s="448"/>
      <c r="H2195" s="448"/>
      <c r="I2195" s="448"/>
      <c r="J2195" s="449"/>
      <c r="K2195" s="184">
        <v>58</v>
      </c>
      <c r="L2195" s="58" t="s">
        <v>343</v>
      </c>
      <c r="M2195" s="93"/>
      <c r="N2195" s="68"/>
      <c r="O2195" s="115"/>
      <c r="Q2195" s="127"/>
    </row>
    <row r="2196" spans="2:17" ht="30" customHeight="1">
      <c r="B2196" s="150"/>
      <c r="C2196" s="26">
        <v>91996</v>
      </c>
      <c r="D2196" s="26" t="s">
        <v>8</v>
      </c>
      <c r="E2196" s="447" t="str">
        <f>IFERROR(VLOOKUP($C2196,'SINAPI JULHO 2018'!$1:$1048576,2,0),IFERROR(VLOOKUP($C2196,'5-COMP. PROPRIA'!$B$13:$I$518,4,0),""))</f>
        <v>TOMADA MÉDIA DE EMBUTIR (1 MÓDULO), 2P+T 10 A, INCLUINDO SUPORTE E PLACA - FORNECIMENTO E INSTALAÇÃO. AF_12/2015</v>
      </c>
      <c r="F2196" s="448"/>
      <c r="G2196" s="448"/>
      <c r="H2196" s="448"/>
      <c r="I2196" s="448"/>
      <c r="J2196" s="449"/>
      <c r="K2196" s="184">
        <v>8</v>
      </c>
      <c r="L2196" s="58" t="s">
        <v>343</v>
      </c>
      <c r="M2196" s="93"/>
      <c r="N2196" s="68"/>
      <c r="O2196" s="115"/>
      <c r="Q2196" s="127"/>
    </row>
    <row r="2197" spans="2:17" ht="30" customHeight="1">
      <c r="B2197" s="150"/>
      <c r="C2197" s="26">
        <v>91993</v>
      </c>
      <c r="D2197" s="26" t="s">
        <v>8</v>
      </c>
      <c r="E2197" s="447" t="str">
        <f>IFERROR(VLOOKUP($C2197,'SINAPI JULHO 2018'!$1:$1048576,2,0),IFERROR(VLOOKUP($C2197,'5-COMP. PROPRIA'!$B$13:$I$518,4,0),""))</f>
        <v>TOMADA ALTA DE EMBUTIR (1 MÓDULO), 2P+T 20 A, INCLUINDO SUPORTE E PLACA - FORNECIMENTO E INSTALAÇÃO. AF_12/2015</v>
      </c>
      <c r="F2197" s="448"/>
      <c r="G2197" s="448"/>
      <c r="H2197" s="448"/>
      <c r="I2197" s="448"/>
      <c r="J2197" s="449"/>
      <c r="K2197" s="184">
        <v>1</v>
      </c>
      <c r="L2197" s="58" t="s">
        <v>343</v>
      </c>
      <c r="M2197" s="93"/>
      <c r="N2197" s="68"/>
      <c r="O2197" s="115"/>
      <c r="Q2197" s="127"/>
    </row>
    <row r="2198" spans="2:17" ht="15">
      <c r="B2198" s="150"/>
      <c r="E2198" s="276"/>
      <c r="F2198" s="221"/>
      <c r="G2198" s="221"/>
      <c r="H2198" s="221"/>
      <c r="I2198" s="221"/>
      <c r="J2198" s="222"/>
      <c r="K2198" s="184"/>
      <c r="M2198" s="93"/>
      <c r="N2198" s="68"/>
      <c r="O2198" s="115"/>
      <c r="Q2198" s="127"/>
    </row>
    <row r="2199" spans="2:17" ht="15" customHeight="1">
      <c r="B2199" s="150"/>
      <c r="E2199" s="453" t="s">
        <v>357</v>
      </c>
      <c r="F2199" s="454"/>
      <c r="G2199" s="454"/>
      <c r="H2199" s="454"/>
      <c r="I2199" s="454"/>
      <c r="J2199" s="455"/>
      <c r="K2199" s="184"/>
      <c r="M2199" s="93"/>
      <c r="N2199" s="68"/>
      <c r="O2199" s="115"/>
      <c r="Q2199" s="127"/>
    </row>
    <row r="2200" spans="2:17" ht="15" customHeight="1">
      <c r="B2200" s="150"/>
      <c r="E2200" s="453" t="s">
        <v>358</v>
      </c>
      <c r="F2200" s="454"/>
      <c r="G2200" s="454"/>
      <c r="H2200" s="454"/>
      <c r="I2200" s="454"/>
      <c r="J2200" s="455"/>
      <c r="K2200" s="184"/>
      <c r="M2200" s="93"/>
      <c r="N2200" s="68"/>
      <c r="O2200" s="115"/>
      <c r="Q2200" s="127"/>
    </row>
    <row r="2201" spans="2:17" ht="15">
      <c r="B2201" s="150"/>
      <c r="E2201" s="276"/>
      <c r="F2201" s="221"/>
      <c r="G2201" s="221"/>
      <c r="H2201" s="221"/>
      <c r="I2201" s="221"/>
      <c r="J2201" s="222"/>
      <c r="K2201" s="184"/>
      <c r="M2201" s="93"/>
      <c r="N2201" s="68"/>
      <c r="O2201" s="115"/>
      <c r="Q2201" s="127"/>
    </row>
    <row r="2202" spans="2:17" ht="33" customHeight="1">
      <c r="B2202" s="150"/>
      <c r="C2202" s="94" t="s">
        <v>359</v>
      </c>
      <c r="D2202" s="26" t="s">
        <v>326</v>
      </c>
      <c r="E2202" s="447" t="str">
        <f>IFERROR(VLOOKUP($C2202,'SINAPI JULHO 2018'!$1:$1048576,2,0),IFERROR(VLOOKUP($C2202,'5-COMP. PROPRIA'!$B$13:$I$518,4,0),""))</f>
        <v>TOMADA INDUSTRIAL DE EMBUTIR 3P+T 30 A, 440 V, COM TRAVA, COM PLACA- FORNCIMENTO E INSTALAÇÃO</v>
      </c>
      <c r="F2202" s="448"/>
      <c r="G2202" s="448"/>
      <c r="H2202" s="448"/>
      <c r="I2202" s="448"/>
      <c r="J2202" s="449"/>
      <c r="K2202" s="184">
        <v>1</v>
      </c>
      <c r="L2202" s="58" t="s">
        <v>343</v>
      </c>
      <c r="M2202" s="93"/>
      <c r="N2202" s="68"/>
      <c r="O2202" s="115"/>
      <c r="Q2202" s="127"/>
    </row>
    <row r="2203" spans="2:17" ht="15">
      <c r="B2203" s="150"/>
      <c r="C2203" s="94"/>
      <c r="E2203" s="276"/>
      <c r="F2203" s="221"/>
      <c r="G2203" s="221"/>
      <c r="H2203" s="221"/>
      <c r="I2203" s="221"/>
      <c r="J2203" s="222"/>
      <c r="K2203" s="184"/>
      <c r="M2203" s="93"/>
      <c r="N2203" s="68"/>
      <c r="O2203" s="115"/>
      <c r="Q2203" s="127"/>
    </row>
    <row r="2204" spans="2:17" ht="15" customHeight="1">
      <c r="B2204" s="150"/>
      <c r="E2204" s="453" t="s">
        <v>360</v>
      </c>
      <c r="F2204" s="454"/>
      <c r="G2204" s="454"/>
      <c r="H2204" s="454"/>
      <c r="I2204" s="454"/>
      <c r="J2204" s="455"/>
      <c r="K2204" s="184"/>
      <c r="M2204" s="93"/>
      <c r="N2204" s="68"/>
      <c r="O2204" s="115"/>
      <c r="Q2204" s="127"/>
    </row>
    <row r="2205" spans="2:17" ht="15">
      <c r="B2205" s="150"/>
      <c r="E2205" s="276"/>
      <c r="F2205" s="221"/>
      <c r="G2205" s="221"/>
      <c r="H2205" s="221"/>
      <c r="I2205" s="221"/>
      <c r="J2205" s="222"/>
      <c r="K2205" s="184"/>
      <c r="M2205" s="93"/>
      <c r="N2205" s="68"/>
      <c r="O2205" s="115"/>
      <c r="Q2205" s="127"/>
    </row>
    <row r="2206" spans="2:17" ht="33.75" customHeight="1">
      <c r="B2206" s="150"/>
      <c r="C2206" s="94" t="s">
        <v>361</v>
      </c>
      <c r="D2206" s="26" t="s">
        <v>326</v>
      </c>
      <c r="E2206" s="447" t="str">
        <f>IFERROR(VLOOKUP($C2206,'SINAPI JULHO 2018'!$1:$1048576,2,0),IFERROR(VLOOKUP($C2206,'5-COMP. PROPRIA'!$B$13:$I$518,4,0),""))</f>
        <v>VENTILADOR DE TETO COMERCIAL 3 PAS EM ACO SIMPLES - FORNECIMENTO E INSTALAÇÃO</v>
      </c>
      <c r="F2206" s="448"/>
      <c r="G2206" s="448"/>
      <c r="H2206" s="448"/>
      <c r="I2206" s="448"/>
      <c r="J2206" s="449"/>
      <c r="K2206" s="184">
        <v>12</v>
      </c>
      <c r="L2206" s="58" t="s">
        <v>343</v>
      </c>
      <c r="M2206" s="93"/>
      <c r="N2206" s="68"/>
      <c r="O2206" s="115"/>
      <c r="Q2206" s="127"/>
    </row>
    <row r="2207" spans="2:17" ht="15">
      <c r="B2207" s="150"/>
      <c r="C2207" s="94"/>
      <c r="E2207" s="276"/>
      <c r="F2207" s="221"/>
      <c r="G2207" s="221"/>
      <c r="H2207" s="221"/>
      <c r="I2207" s="221"/>
      <c r="J2207" s="222"/>
      <c r="K2207" s="184"/>
      <c r="M2207" s="93"/>
      <c r="N2207" s="68"/>
      <c r="O2207" s="115"/>
      <c r="Q2207" s="127"/>
    </row>
    <row r="2208" spans="2:17" ht="15" customHeight="1">
      <c r="B2208" s="150"/>
      <c r="E2208" s="453" t="s">
        <v>362</v>
      </c>
      <c r="F2208" s="454"/>
      <c r="G2208" s="454"/>
      <c r="H2208" s="454"/>
      <c r="I2208" s="454"/>
      <c r="J2208" s="455"/>
      <c r="K2208" s="184"/>
      <c r="M2208" s="93"/>
      <c r="N2208" s="68"/>
      <c r="O2208" s="115"/>
      <c r="Q2208" s="127"/>
    </row>
    <row r="2209" spans="2:17" ht="15" customHeight="1">
      <c r="B2209" s="150"/>
      <c r="E2209" s="453" t="s">
        <v>363</v>
      </c>
      <c r="F2209" s="454"/>
      <c r="G2209" s="454"/>
      <c r="H2209" s="454"/>
      <c r="I2209" s="454"/>
      <c r="J2209" s="455"/>
      <c r="K2209" s="184"/>
      <c r="M2209" s="93"/>
      <c r="N2209" s="68"/>
      <c r="O2209" s="115"/>
      <c r="Q2209" s="127"/>
    </row>
    <row r="2210" spans="2:17" ht="15">
      <c r="B2210" s="150"/>
      <c r="E2210" s="276"/>
      <c r="F2210" s="221"/>
      <c r="G2210" s="221"/>
      <c r="H2210" s="221"/>
      <c r="I2210" s="221"/>
      <c r="J2210" s="222"/>
      <c r="K2210" s="184"/>
      <c r="M2210" s="93"/>
      <c r="N2210" s="68"/>
      <c r="O2210" s="115"/>
      <c r="Q2210" s="127"/>
    </row>
    <row r="2211" spans="2:17" ht="30.75" customHeight="1">
      <c r="B2211" s="150"/>
      <c r="C2211" s="26">
        <v>93653</v>
      </c>
      <c r="D2211" s="26" t="s">
        <v>8</v>
      </c>
      <c r="E2211" s="447" t="str">
        <f>IFERROR(VLOOKUP($C2211,'SINAPI JULHO 2018'!$1:$1048576,2,0),IFERROR(VLOOKUP($C2211,'5-COMP. PROPRIA'!$B$13:$I$518,4,0),""))</f>
        <v>DISJUNTOR MONOPOLAR TIPO DIN, CORRENTE NOMINAL DE 10A - FORNECIMENTO E INSTALAÇÃO. AF_04/2016</v>
      </c>
      <c r="F2211" s="448"/>
      <c r="G2211" s="448"/>
      <c r="H2211" s="448"/>
      <c r="I2211" s="448"/>
      <c r="J2211" s="449"/>
      <c r="K2211" s="184">
        <v>23</v>
      </c>
      <c r="L2211" s="58" t="s">
        <v>343</v>
      </c>
      <c r="M2211" s="93"/>
      <c r="N2211" s="68"/>
      <c r="O2211" s="115"/>
      <c r="Q2211" s="127"/>
    </row>
    <row r="2212" spans="2:17" ht="30.75" customHeight="1">
      <c r="B2212" s="150"/>
      <c r="C2212" s="26">
        <v>93661</v>
      </c>
      <c r="D2212" s="26" t="s">
        <v>8</v>
      </c>
      <c r="E2212" s="447" t="str">
        <f>IFERROR(VLOOKUP($C2212,'SINAPI JULHO 2018'!$1:$1048576,2,0),IFERROR(VLOOKUP($C2212,'5-COMP. PROPRIA'!$B$13:$I$518,4,0),""))</f>
        <v>DISJUNTOR BIPOLAR TIPO DIN, CORRENTE NOMINAL DE 16A - FORNECIMENTO E INSTALAÇÃO. AF_04/2016</v>
      </c>
      <c r="F2212" s="448"/>
      <c r="G2212" s="448"/>
      <c r="H2212" s="448"/>
      <c r="I2212" s="448"/>
      <c r="J2212" s="449"/>
      <c r="K2212" s="184">
        <v>1</v>
      </c>
      <c r="L2212" s="58" t="s">
        <v>343</v>
      </c>
      <c r="M2212" s="93"/>
      <c r="N2212" s="68"/>
      <c r="O2212" s="115"/>
      <c r="Q2212" s="127"/>
    </row>
    <row r="2213" spans="2:17" ht="30.75" customHeight="1">
      <c r="B2213" s="150"/>
      <c r="C2213" s="26">
        <v>93663</v>
      </c>
      <c r="D2213" s="26" t="s">
        <v>8</v>
      </c>
      <c r="E2213" s="447" t="str">
        <f>IFERROR(VLOOKUP($C2213,'SINAPI JULHO 2018'!$1:$1048576,2,0),IFERROR(VLOOKUP($C2213,'5-COMP. PROPRIA'!$B$13:$I$518,4,0),""))</f>
        <v>DISJUNTOR BIPOLAR TIPO DIN, CORRENTE NOMINAL DE 25A - FORNECIMENTO E INSTALAÇÃO. AF_04/2016</v>
      </c>
      <c r="F2213" s="448"/>
      <c r="G2213" s="448"/>
      <c r="H2213" s="448"/>
      <c r="I2213" s="448"/>
      <c r="J2213" s="449"/>
      <c r="K2213" s="184">
        <v>5</v>
      </c>
      <c r="L2213" s="58" t="s">
        <v>343</v>
      </c>
      <c r="M2213" s="93"/>
      <c r="N2213" s="68"/>
      <c r="O2213" s="115"/>
      <c r="Q2213" s="127"/>
    </row>
    <row r="2214" spans="2:17" ht="30.75" customHeight="1">
      <c r="B2214" s="150"/>
      <c r="C2214" s="26">
        <v>93665</v>
      </c>
      <c r="D2214" s="26" t="s">
        <v>8</v>
      </c>
      <c r="E2214" s="447" t="str">
        <f>IFERROR(VLOOKUP($C2214,'SINAPI JULHO 2018'!$1:$1048576,2,0),IFERROR(VLOOKUP($C2214,'5-COMP. PROPRIA'!$B$13:$I$518,4,0),""))</f>
        <v>DISJUNTOR BIPOLAR TIPO DIN, CORRENTE NOMINAL DE 40A - FORNECIMENTO E INSTALAÇÃO. AF_04/2016</v>
      </c>
      <c r="F2214" s="448"/>
      <c r="G2214" s="448"/>
      <c r="H2214" s="448"/>
      <c r="I2214" s="448"/>
      <c r="J2214" s="449"/>
      <c r="K2214" s="184">
        <v>12</v>
      </c>
      <c r="L2214" s="58" t="s">
        <v>343</v>
      </c>
      <c r="M2214" s="93"/>
      <c r="N2214" s="68"/>
      <c r="O2214" s="115"/>
      <c r="Q2214" s="127"/>
    </row>
    <row r="2215" spans="2:17" ht="30.75" customHeight="1">
      <c r="B2215" s="150"/>
      <c r="C2215" s="26">
        <v>93673</v>
      </c>
      <c r="D2215" s="26" t="s">
        <v>8</v>
      </c>
      <c r="E2215" s="447" t="str">
        <f>IFERROR(VLOOKUP($C2215,'SINAPI JULHO 2018'!$1:$1048576,2,0),IFERROR(VLOOKUP($C2215,'5-COMP. PROPRIA'!$B$13:$I$518,4,0),""))</f>
        <v>DISJUNTOR TRIPOLAR TIPO DIN, CORRENTE NOMINAL DE 50A - FORNECIMENTO E INSTALAÇÃO. AF_04/2016</v>
      </c>
      <c r="F2215" s="448"/>
      <c r="G2215" s="448"/>
      <c r="H2215" s="448"/>
      <c r="I2215" s="448"/>
      <c r="J2215" s="449"/>
      <c r="K2215" s="184">
        <v>2</v>
      </c>
      <c r="L2215" s="58" t="s">
        <v>343</v>
      </c>
      <c r="M2215" s="93"/>
      <c r="N2215" s="68"/>
      <c r="O2215" s="115"/>
      <c r="Q2215" s="127"/>
    </row>
    <row r="2216" spans="2:17" ht="30.75" customHeight="1">
      <c r="B2216" s="150"/>
      <c r="C2216" s="26" t="s">
        <v>364</v>
      </c>
      <c r="D2216" s="26" t="s">
        <v>8</v>
      </c>
      <c r="E2216" s="447" t="str">
        <f>IFERROR(VLOOKUP($C2216,'SINAPI JULHO 2018'!$1:$1048576,2,0),IFERROR(VLOOKUP($C2216,'5-COMP. PROPRIA'!$B$13:$I$518,4,0),""))</f>
        <v>DISJUNTOR TERMOMAGNETICO TRIPOLAR PADRAO NEMA (AMERICANO) 125 A 150A 240V, FORNECIMENTO E INSTALACAO</v>
      </c>
      <c r="F2216" s="448"/>
      <c r="G2216" s="448"/>
      <c r="H2216" s="448"/>
      <c r="I2216" s="448"/>
      <c r="J2216" s="449"/>
      <c r="K2216" s="184">
        <v>2</v>
      </c>
      <c r="L2216" s="58" t="s">
        <v>343</v>
      </c>
      <c r="M2216" s="93"/>
      <c r="N2216" s="68"/>
      <c r="O2216" s="115"/>
      <c r="Q2216" s="127"/>
    </row>
    <row r="2217" spans="2:17" ht="30.75" customHeight="1">
      <c r="B2217" s="150"/>
      <c r="C2217" s="26">
        <v>93671</v>
      </c>
      <c r="D2217" s="26" t="s">
        <v>8</v>
      </c>
      <c r="E2217" s="447" t="str">
        <f>IFERROR(VLOOKUP($C2217,'SINAPI JULHO 2018'!$1:$1048576,2,0),IFERROR(VLOOKUP($C2217,'5-COMP. PROPRIA'!$B$13:$I$518,4,0),""))</f>
        <v>DISJUNTOR TRIPOLAR TIPO DIN, CORRENTE NOMINAL DE 32A - FORNECIMENTO E INSTALAÇÃO. AF_04/2016</v>
      </c>
      <c r="F2217" s="448"/>
      <c r="G2217" s="448"/>
      <c r="H2217" s="448"/>
      <c r="I2217" s="448"/>
      <c r="J2217" s="449"/>
      <c r="K2217" s="184">
        <v>1</v>
      </c>
      <c r="L2217" s="58" t="s">
        <v>343</v>
      </c>
      <c r="M2217" s="93"/>
      <c r="N2217" s="68"/>
      <c r="O2217" s="115"/>
      <c r="Q2217" s="127"/>
    </row>
    <row r="2218" spans="2:17" ht="30.75" customHeight="1">
      <c r="B2218" s="150"/>
      <c r="C2218" s="26" t="s">
        <v>365</v>
      </c>
      <c r="D2218" s="26" t="s">
        <v>8</v>
      </c>
      <c r="E2218" s="447" t="str">
        <f>IFERROR(VLOOKUP($C2218,'SINAPI JULHO 2018'!$1:$1048576,2,0),IFERROR(VLOOKUP($C2218,'5-COMP. PROPRIA'!$B$13:$I$518,4,0),""))</f>
        <v>DISJUNTOR TERMOMAGNETICO TRIPOLAR PADRAO NEMA (AMERICANO) 60 A 100A 240V, FORNECIMENTO E INSTALACAO</v>
      </c>
      <c r="F2218" s="448"/>
      <c r="G2218" s="448"/>
      <c r="H2218" s="448"/>
      <c r="I2218" s="448"/>
      <c r="J2218" s="449"/>
      <c r="K2218" s="184">
        <v>2</v>
      </c>
      <c r="L2218" s="58" t="s">
        <v>343</v>
      </c>
      <c r="M2218" s="93"/>
      <c r="N2218" s="68"/>
      <c r="O2218" s="115"/>
      <c r="Q2218" s="127"/>
    </row>
    <row r="2219" spans="2:17" ht="15">
      <c r="B2219" s="150"/>
      <c r="E2219" s="276"/>
      <c r="F2219" s="221"/>
      <c r="G2219" s="221"/>
      <c r="H2219" s="221"/>
      <c r="I2219" s="221"/>
      <c r="J2219" s="222"/>
      <c r="K2219" s="184"/>
      <c r="M2219" s="93"/>
      <c r="N2219" s="68"/>
      <c r="O2219" s="115"/>
      <c r="Q2219" s="127"/>
    </row>
    <row r="2220" spans="2:17" ht="15" customHeight="1">
      <c r="B2220" s="150"/>
      <c r="E2220" s="453" t="s">
        <v>366</v>
      </c>
      <c r="F2220" s="454"/>
      <c r="G2220" s="454"/>
      <c r="H2220" s="454"/>
      <c r="I2220" s="454"/>
      <c r="J2220" s="455"/>
      <c r="K2220" s="184"/>
      <c r="M2220" s="93"/>
      <c r="N2220" s="68"/>
      <c r="O2220" s="115"/>
      <c r="Q2220" s="127"/>
    </row>
    <row r="2221" spans="2:17" ht="15">
      <c r="B2221" s="150"/>
      <c r="E2221" s="276"/>
      <c r="F2221" s="221"/>
      <c r="G2221" s="221"/>
      <c r="H2221" s="221"/>
      <c r="I2221" s="221"/>
      <c r="J2221" s="222"/>
      <c r="K2221" s="184"/>
      <c r="M2221" s="93"/>
      <c r="N2221" s="68"/>
      <c r="O2221" s="115"/>
      <c r="Q2221" s="127"/>
    </row>
    <row r="2222" spans="2:17" ht="30.75" customHeight="1">
      <c r="B2222" s="150"/>
      <c r="C2222" s="94" t="s">
        <v>367</v>
      </c>
      <c r="D2222" s="26" t="s">
        <v>326</v>
      </c>
      <c r="E2222" s="447" t="str">
        <f>IFERROR(VLOOKUP($C2222,'SINAPI JULHO 2018'!$1:$1048576,2,0),IFERROR(VLOOKUP($C2222,'5-COMP. PROPRIA'!$B$13:$I$518,4,0),""))</f>
        <v>DISPOSITIVO DPS CLASSE II, 1 POLO, TENSAO MAXIMA DE 175 V, CORRENTE MAXIMA DE *45* KA (TIPO AC) - FORNECIMENTO E INSTALAÇÃO</v>
      </c>
      <c r="F2222" s="448"/>
      <c r="G2222" s="448"/>
      <c r="H2222" s="448"/>
      <c r="I2222" s="448"/>
      <c r="J2222" s="449"/>
      <c r="K2222" s="184">
        <v>8</v>
      </c>
      <c r="L2222" s="58" t="s">
        <v>343</v>
      </c>
      <c r="M2222" s="93"/>
      <c r="N2222" s="68"/>
      <c r="O2222" s="115"/>
      <c r="Q2222" s="127"/>
    </row>
    <row r="2223" spans="2:17" ht="15">
      <c r="B2223" s="150"/>
      <c r="C2223" s="94"/>
      <c r="E2223" s="276"/>
      <c r="F2223" s="221"/>
      <c r="G2223" s="221"/>
      <c r="H2223" s="221"/>
      <c r="I2223" s="221"/>
      <c r="J2223" s="222"/>
      <c r="K2223" s="184"/>
      <c r="M2223" s="93"/>
      <c r="N2223" s="68"/>
      <c r="O2223" s="115"/>
      <c r="Q2223" s="127"/>
    </row>
    <row r="2224" spans="2:17" ht="15" customHeight="1">
      <c r="B2224" s="150"/>
      <c r="E2224" s="453" t="s">
        <v>368</v>
      </c>
      <c r="F2224" s="454"/>
      <c r="G2224" s="454"/>
      <c r="H2224" s="454"/>
      <c r="I2224" s="454"/>
      <c r="J2224" s="455"/>
      <c r="K2224" s="184"/>
      <c r="M2224" s="93"/>
      <c r="N2224" s="68"/>
      <c r="O2224" s="115"/>
      <c r="Q2224" s="127"/>
    </row>
    <row r="2225" spans="2:17" ht="15" customHeight="1">
      <c r="B2225" s="150"/>
      <c r="E2225" s="453" t="s">
        <v>369</v>
      </c>
      <c r="F2225" s="454"/>
      <c r="G2225" s="454"/>
      <c r="H2225" s="454"/>
      <c r="I2225" s="454"/>
      <c r="J2225" s="455"/>
      <c r="K2225" s="184"/>
      <c r="M2225" s="93"/>
      <c r="N2225" s="68"/>
      <c r="O2225" s="115"/>
      <c r="Q2225" s="127"/>
    </row>
    <row r="2226" spans="2:17" ht="15">
      <c r="B2226" s="150"/>
      <c r="E2226" s="276"/>
      <c r="F2226" s="221"/>
      <c r="G2226" s="221"/>
      <c r="H2226" s="221"/>
      <c r="I2226" s="221"/>
      <c r="J2226" s="222"/>
      <c r="K2226" s="184"/>
      <c r="M2226" s="93"/>
      <c r="N2226" s="68"/>
      <c r="O2226" s="115"/>
      <c r="Q2226" s="127"/>
    </row>
    <row r="2227" spans="2:17" ht="32.25" customHeight="1">
      <c r="B2227" s="150"/>
      <c r="C2227" s="26">
        <v>91836</v>
      </c>
      <c r="D2227" s="26" t="s">
        <v>8</v>
      </c>
      <c r="E2227" s="447" t="str">
        <f>IFERROR(VLOOKUP($C2227,'SINAPI JULHO 2018'!$1:$1048576,2,0),IFERROR(VLOOKUP($C2227,'5-COMP. PROPRIA'!$B$13:$I$518,4,0),""))</f>
        <v>ELETRODUTO FLEXÍVEL CORRUGADO, PVC, DN 32 MM (1"), PARA CIRCUITOS TERMINAIS, INSTALADO EM FORRO - FORNECIMENTO E INSTALAÇÃO. AF_12/2015</v>
      </c>
      <c r="F2227" s="448"/>
      <c r="G2227" s="448"/>
      <c r="H2227" s="448"/>
      <c r="I2227" s="448"/>
      <c r="J2227" s="449"/>
      <c r="K2227" s="184">
        <v>32.4</v>
      </c>
      <c r="L2227" s="58" t="s">
        <v>63</v>
      </c>
      <c r="M2227" s="93"/>
      <c r="N2227" s="68"/>
      <c r="O2227" s="115"/>
      <c r="Q2227" s="127"/>
    </row>
    <row r="2228" spans="2:17" ht="32.25" customHeight="1">
      <c r="B2228" s="150"/>
      <c r="C2228" s="26">
        <v>91834</v>
      </c>
      <c r="D2228" s="26" t="s">
        <v>8</v>
      </c>
      <c r="E2228" s="447" t="str">
        <f>IFERROR(VLOOKUP($C2228,'SINAPI JULHO 2018'!$1:$1048576,2,0),IFERROR(VLOOKUP($C2228,'5-COMP. PROPRIA'!$B$13:$I$518,4,0),""))</f>
        <v>ELETRODUTO FLEXÍVEL CORRUGADO, PVC, DN 25 MM (3/4"), PARA CIRCUITOS TERMINAIS, INSTALADO EM FORRO - FORNECIMENTO E INSTALAÇÃO. AF_12/2015</v>
      </c>
      <c r="F2228" s="448"/>
      <c r="G2228" s="448"/>
      <c r="H2228" s="448"/>
      <c r="I2228" s="448"/>
      <c r="J2228" s="449"/>
      <c r="K2228" s="184">
        <v>554.76</v>
      </c>
      <c r="L2228" s="58" t="s">
        <v>63</v>
      </c>
      <c r="M2228" s="93"/>
      <c r="N2228" s="68"/>
      <c r="O2228" s="115"/>
      <c r="Q2228" s="127"/>
    </row>
    <row r="2229" spans="2:17" ht="15">
      <c r="B2229" s="150"/>
      <c r="E2229" s="276"/>
      <c r="F2229" s="221"/>
      <c r="G2229" s="221"/>
      <c r="H2229" s="221"/>
      <c r="I2229" s="221"/>
      <c r="J2229" s="222"/>
      <c r="K2229" s="184"/>
      <c r="M2229" s="93"/>
      <c r="N2229" s="68"/>
      <c r="O2229" s="115"/>
      <c r="Q2229" s="127"/>
    </row>
    <row r="2230" spans="2:17" ht="15" customHeight="1">
      <c r="B2230" s="150"/>
      <c r="E2230" s="453" t="s">
        <v>370</v>
      </c>
      <c r="F2230" s="454"/>
      <c r="G2230" s="454"/>
      <c r="H2230" s="454"/>
      <c r="I2230" s="454"/>
      <c r="J2230" s="455"/>
      <c r="K2230" s="184"/>
      <c r="M2230" s="93"/>
      <c r="N2230" s="68"/>
      <c r="O2230" s="115"/>
      <c r="Q2230" s="127"/>
    </row>
    <row r="2231" spans="2:17" ht="15">
      <c r="B2231" s="150"/>
      <c r="E2231" s="276"/>
      <c r="F2231" s="221"/>
      <c r="G2231" s="221"/>
      <c r="H2231" s="221"/>
      <c r="I2231" s="221"/>
      <c r="J2231" s="222"/>
      <c r="K2231" s="184"/>
      <c r="M2231" s="93"/>
      <c r="N2231" s="68"/>
      <c r="O2231" s="115"/>
      <c r="Q2231" s="127"/>
    </row>
    <row r="2232" spans="2:17" ht="30.75" customHeight="1">
      <c r="B2232" s="150"/>
      <c r="C2232" s="26">
        <v>39246</v>
      </c>
      <c r="D2232" s="26" t="s">
        <v>8</v>
      </c>
      <c r="E2232" s="447" t="str">
        <f>IFERROR(VLOOKUP($C2232,'SINAPI JULHO 2018'!$1:$1048576,2,0),IFERROR(VLOOKUP($C2232,'5-COMP. PROPRIA'!$B$13:$I$518,4,0),""))</f>
        <v>ELETRODUTODUTO PEAD FLEXIVEL PAREDE SIMPLES, CORRUGACAO HELICOIDAL, COR PRETA, SEM ROSCA, DE 1 1/2",  PARA CABEAMENTO SUBTERRANEO (NBR 15715)</v>
      </c>
      <c r="F2232" s="448"/>
      <c r="G2232" s="448"/>
      <c r="H2232" s="448"/>
      <c r="I2232" s="448"/>
      <c r="J2232" s="449"/>
      <c r="K2232" s="184">
        <v>143.88000000000002</v>
      </c>
      <c r="L2232" s="58" t="s">
        <v>63</v>
      </c>
      <c r="M2232" s="93"/>
      <c r="N2232" s="68"/>
      <c r="O2232" s="115"/>
      <c r="Q2232" s="127"/>
    </row>
    <row r="2233" spans="2:17" ht="30.75" customHeight="1">
      <c r="B2233" s="150"/>
      <c r="C2233" s="26">
        <v>2446</v>
      </c>
      <c r="D2233" s="26" t="s">
        <v>8</v>
      </c>
      <c r="E2233" s="447" t="str">
        <f>IFERROR(VLOOKUP($C2233,'SINAPI JULHO 2018'!$1:$1048576,2,0),IFERROR(VLOOKUP($C2233,'5-COMP. PROPRIA'!$B$13:$I$518,4,0),""))</f>
        <v>ELETRODUTO/DUTO PEAD FLEXIVEL PAREDE SIMPLES, CORRUGACAO HELICOIDAL, COR PRETA, SEM ROSCA, DE 2",  PARA CABEAMENTO SUBTERRANEO (NBR 15715)</v>
      </c>
      <c r="F2233" s="448"/>
      <c r="G2233" s="448"/>
      <c r="H2233" s="448"/>
      <c r="I2233" s="448"/>
      <c r="J2233" s="449"/>
      <c r="K2233" s="184">
        <v>81.510000000000005</v>
      </c>
      <c r="L2233" s="58" t="s">
        <v>63</v>
      </c>
      <c r="M2233" s="93"/>
      <c r="N2233" s="68"/>
      <c r="O2233" s="115"/>
      <c r="Q2233" s="127"/>
    </row>
    <row r="2234" spans="2:17" ht="30.75" customHeight="1">
      <c r="B2234" s="150"/>
      <c r="C2234" s="26">
        <v>2442</v>
      </c>
      <c r="D2234" s="26" t="s">
        <v>8</v>
      </c>
      <c r="E2234" s="447" t="str">
        <f>IFERROR(VLOOKUP($C2234,'SINAPI JULHO 2018'!$1:$1048576,2,0),IFERROR(VLOOKUP($C2234,'5-COMP. PROPRIA'!$B$13:$I$518,4,0),""))</f>
        <v>ELETRODUTO/DUTO PEAD FLEXIVEL PAREDE SIMPLES, CORRUGACAO HELICOIDAL, COR PRETA, SEM ROSCA, DE 3",  PARA CABEAMENTO SUBTERRANEO (NBR 15715)</v>
      </c>
      <c r="F2234" s="448"/>
      <c r="G2234" s="448"/>
      <c r="H2234" s="448"/>
      <c r="I2234" s="448"/>
      <c r="J2234" s="449"/>
      <c r="K2234" s="184">
        <v>1806.6</v>
      </c>
      <c r="L2234" s="58" t="s">
        <v>63</v>
      </c>
      <c r="M2234" s="93"/>
      <c r="N2234" s="68"/>
      <c r="O2234" s="115"/>
      <c r="Q2234" s="127"/>
    </row>
    <row r="2235" spans="2:17" ht="30.75" customHeight="1">
      <c r="B2235" s="150"/>
      <c r="C2235" s="26">
        <v>39248</v>
      </c>
      <c r="D2235" s="26" t="s">
        <v>8</v>
      </c>
      <c r="E2235" s="447" t="str">
        <f>IFERROR(VLOOKUP($C2235,'SINAPI JULHO 2018'!$1:$1048576,2,0),IFERROR(VLOOKUP($C2235,'5-COMP. PROPRIA'!$B$13:$I$518,4,0),""))</f>
        <v>ELETRODUTODUTO PEAD FLEXIVEL PAREDE SIMPLES, CORRUGACAO HELICOIDAL, COR PRETA, SEM ROSCA, DE 4",  PARA CABEAMENTO SUBTERRANEO (NBR 15715)</v>
      </c>
      <c r="F2235" s="448"/>
      <c r="G2235" s="448"/>
      <c r="H2235" s="448"/>
      <c r="I2235" s="448"/>
      <c r="J2235" s="449"/>
      <c r="K2235" s="184">
        <v>256.96000000000004</v>
      </c>
      <c r="L2235" s="58" t="s">
        <v>63</v>
      </c>
      <c r="M2235" s="93"/>
      <c r="N2235" s="68"/>
      <c r="O2235" s="115"/>
      <c r="Q2235" s="127"/>
    </row>
    <row r="2236" spans="2:17" ht="15">
      <c r="B2236" s="150"/>
      <c r="E2236" s="276"/>
      <c r="F2236" s="221"/>
      <c r="G2236" s="221"/>
      <c r="H2236" s="221"/>
      <c r="I2236" s="221"/>
      <c r="J2236" s="222"/>
      <c r="K2236" s="184"/>
      <c r="M2236" s="93"/>
      <c r="N2236" s="68"/>
      <c r="O2236" s="115"/>
      <c r="Q2236" s="127"/>
    </row>
    <row r="2237" spans="2:17" ht="15" customHeight="1">
      <c r="B2237" s="150"/>
      <c r="E2237" s="453" t="s">
        <v>371</v>
      </c>
      <c r="F2237" s="454"/>
      <c r="G2237" s="454"/>
      <c r="H2237" s="454"/>
      <c r="I2237" s="454"/>
      <c r="J2237" s="455"/>
      <c r="K2237" s="184"/>
      <c r="M2237" s="93"/>
      <c r="N2237" s="68"/>
      <c r="O2237" s="115"/>
      <c r="Q2237" s="127"/>
    </row>
    <row r="2238" spans="2:17" ht="15" customHeight="1">
      <c r="B2238" s="150"/>
      <c r="E2238" s="453" t="s">
        <v>372</v>
      </c>
      <c r="F2238" s="454"/>
      <c r="G2238" s="454"/>
      <c r="H2238" s="454"/>
      <c r="I2238" s="454"/>
      <c r="J2238" s="455"/>
      <c r="K2238" s="184"/>
      <c r="M2238" s="93"/>
      <c r="N2238" s="68"/>
      <c r="O2238" s="115"/>
      <c r="Q2238" s="127"/>
    </row>
    <row r="2239" spans="2:17" ht="15">
      <c r="B2239" s="150"/>
      <c r="E2239" s="276"/>
      <c r="F2239" s="221"/>
      <c r="G2239" s="221"/>
      <c r="H2239" s="221"/>
      <c r="I2239" s="221"/>
      <c r="J2239" s="222"/>
      <c r="K2239" s="184"/>
      <c r="M2239" s="93"/>
      <c r="N2239" s="68"/>
      <c r="O2239" s="115"/>
      <c r="Q2239" s="127"/>
    </row>
    <row r="2240" spans="2:17" ht="33.75" customHeight="1">
      <c r="B2240" s="150"/>
      <c r="C2240" s="26">
        <v>97593</v>
      </c>
      <c r="D2240" s="26" t="s">
        <v>8</v>
      </c>
      <c r="E2240" s="447" t="str">
        <f>IFERROR(VLOOKUP($C2240,'SINAPI JULHO 2018'!$1:$1048576,2,0),IFERROR(VLOOKUP($C2240,'5-COMP. PROPRIA'!$B$13:$I$518,4,0),""))</f>
        <v>LUMINÁRIA TIPO SPOT, DE SOBREPOR, COM 1 LÂMPADA DE 15 W - FORNECIMENTO E INSTALAÇÃO. AF_11/2017</v>
      </c>
      <c r="F2240" s="448"/>
      <c r="G2240" s="448"/>
      <c r="H2240" s="448"/>
      <c r="I2240" s="448"/>
      <c r="J2240" s="449"/>
      <c r="K2240" s="184">
        <v>5</v>
      </c>
      <c r="L2240" s="58" t="s">
        <v>343</v>
      </c>
      <c r="M2240" s="93"/>
      <c r="N2240" s="68"/>
      <c r="O2240" s="115"/>
      <c r="Q2240" s="127"/>
    </row>
    <row r="2241" spans="2:17" ht="15">
      <c r="B2241" s="150"/>
      <c r="E2241" s="276"/>
      <c r="F2241" s="221"/>
      <c r="G2241" s="221"/>
      <c r="H2241" s="221"/>
      <c r="I2241" s="221"/>
      <c r="J2241" s="222"/>
      <c r="K2241" s="184"/>
      <c r="M2241" s="93"/>
      <c r="N2241" s="68"/>
      <c r="O2241" s="115"/>
      <c r="Q2241" s="127"/>
    </row>
    <row r="2242" spans="2:17" ht="15" customHeight="1">
      <c r="B2242" s="150"/>
      <c r="E2242" s="453" t="s">
        <v>373</v>
      </c>
      <c r="F2242" s="454"/>
      <c r="G2242" s="454"/>
      <c r="H2242" s="454"/>
      <c r="I2242" s="454"/>
      <c r="J2242" s="455"/>
      <c r="K2242" s="184"/>
      <c r="M2242" s="93"/>
      <c r="N2242" s="68"/>
      <c r="O2242" s="115"/>
      <c r="Q2242" s="127"/>
    </row>
    <row r="2243" spans="2:17" ht="15">
      <c r="B2243" s="150"/>
      <c r="E2243" s="276"/>
      <c r="F2243" s="221"/>
      <c r="G2243" s="221"/>
      <c r="H2243" s="221"/>
      <c r="I2243" s="221"/>
      <c r="J2243" s="222"/>
      <c r="K2243" s="184"/>
      <c r="M2243" s="93"/>
      <c r="N2243" s="68"/>
      <c r="O2243" s="115"/>
      <c r="Q2243" s="127"/>
    </row>
    <row r="2244" spans="2:17" ht="29.25" customHeight="1">
      <c r="B2244" s="150"/>
      <c r="C2244" s="94" t="s">
        <v>374</v>
      </c>
      <c r="D2244" s="26" t="s">
        <v>326</v>
      </c>
      <c r="E2244" s="447" t="str">
        <f>IFERROR(VLOOKUP($C2244,'SINAPI JULHO 2018'!$1:$1048576,2,0),IFERROR(VLOOKUP($C2244,'5-COMP. PROPRIA'!$B$13:$I$518,4,0),""))</f>
        <v>PROJETOR RETANGULAR FECHADO EM LED 250 W , CORPO EM ALUMINIO FUNDIDO COM PINTURA ELETROSTATICA,  FECHAMENTO EM VIDRO TEMPERADO - FORNECIMENTO E INSTALAÇÃO</v>
      </c>
      <c r="F2244" s="448"/>
      <c r="G2244" s="448"/>
      <c r="H2244" s="448"/>
      <c r="I2244" s="448"/>
      <c r="J2244" s="449"/>
      <c r="K2244" s="184">
        <v>4</v>
      </c>
      <c r="L2244" s="58" t="s">
        <v>343</v>
      </c>
      <c r="M2244" s="93"/>
      <c r="N2244" s="68"/>
      <c r="O2244" s="115"/>
      <c r="Q2244" s="127"/>
    </row>
    <row r="2245" spans="2:17" ht="29.25" customHeight="1">
      <c r="B2245" s="150"/>
      <c r="C2245" s="26">
        <v>97608</v>
      </c>
      <c r="D2245" s="26" t="s">
        <v>8</v>
      </c>
      <c r="E2245" s="447" t="str">
        <f>IFERROR(VLOOKUP($C2245,'SINAPI JULHO 2018'!$1:$1048576,2,0),IFERROR(VLOOKUP($C2245,'5-COMP. PROPRIA'!$B$13:$I$518,4,0),""))</f>
        <v>LUMINÁRIA ARANDELA TIPO TARTARUGA, COM GRADE, PARA 1 LÂMPADA DE 15 W - FORNECIMENTO E INSTALAÇÃO. AF_11/2017</v>
      </c>
      <c r="F2245" s="448"/>
      <c r="G2245" s="448"/>
      <c r="H2245" s="448"/>
      <c r="I2245" s="448"/>
      <c r="J2245" s="449"/>
      <c r="K2245" s="184">
        <v>4</v>
      </c>
      <c r="L2245" s="58" t="s">
        <v>343</v>
      </c>
      <c r="M2245" s="93"/>
      <c r="N2245" s="68"/>
      <c r="O2245" s="115"/>
      <c r="Q2245" s="127"/>
    </row>
    <row r="2246" spans="2:17" ht="15">
      <c r="B2246" s="150"/>
      <c r="E2246" s="276"/>
      <c r="F2246" s="221"/>
      <c r="G2246" s="221"/>
      <c r="H2246" s="221"/>
      <c r="I2246" s="221"/>
      <c r="J2246" s="222"/>
      <c r="K2246" s="184"/>
      <c r="M2246" s="93"/>
      <c r="N2246" s="68"/>
      <c r="O2246" s="115"/>
      <c r="Q2246" s="127"/>
    </row>
    <row r="2247" spans="2:17" ht="15" customHeight="1">
      <c r="B2247" s="150"/>
      <c r="E2247" s="453" t="s">
        <v>375</v>
      </c>
      <c r="F2247" s="454"/>
      <c r="G2247" s="454"/>
      <c r="H2247" s="454"/>
      <c r="I2247" s="454"/>
      <c r="J2247" s="455"/>
      <c r="K2247" s="184"/>
      <c r="M2247" s="93"/>
      <c r="N2247" s="68"/>
      <c r="O2247" s="115"/>
      <c r="Q2247" s="127"/>
    </row>
    <row r="2248" spans="2:17" ht="15">
      <c r="B2248" s="150"/>
      <c r="E2248" s="276"/>
      <c r="F2248" s="221"/>
      <c r="G2248" s="221"/>
      <c r="H2248" s="221"/>
      <c r="I2248" s="221"/>
      <c r="J2248" s="222"/>
      <c r="K2248" s="184"/>
      <c r="M2248" s="93"/>
      <c r="N2248" s="68"/>
      <c r="O2248" s="115"/>
      <c r="Q2248" s="127"/>
    </row>
    <row r="2249" spans="2:17" ht="34.5" customHeight="1">
      <c r="B2249" s="150"/>
      <c r="C2249" s="94" t="s">
        <v>376</v>
      </c>
      <c r="D2249" s="26" t="s">
        <v>326</v>
      </c>
      <c r="E2249" s="447" t="str">
        <f>IFERROR(VLOOKUP($C2249,'SINAPI JULHO 2018'!$1:$1048576,2,0),IFERROR(VLOOKUP($C2249,'5-COMP. PROPRIA'!$B$13:$I$518,4,0),""))</f>
        <v>PROJETOR RETANGULAR FECHADO EM LED 150 W , CORPO EM ALUMINIO FUNDIDO COM PINTURA ELETROSTATICA,  FECHAMENTO EM VIDRO TEMPERADO - FORNECIMENTO E INSTALAÇÃO</v>
      </c>
      <c r="F2249" s="448"/>
      <c r="G2249" s="448"/>
      <c r="H2249" s="448"/>
      <c r="I2249" s="448"/>
      <c r="J2249" s="449"/>
      <c r="K2249" s="184">
        <v>12</v>
      </c>
      <c r="L2249" s="58" t="s">
        <v>343</v>
      </c>
      <c r="M2249" s="93"/>
      <c r="N2249" s="68"/>
      <c r="O2249" s="115"/>
      <c r="Q2249" s="127"/>
    </row>
    <row r="2250" spans="2:17" ht="34.5" customHeight="1">
      <c r="B2250" s="150"/>
      <c r="C2250" s="94" t="s">
        <v>374</v>
      </c>
      <c r="D2250" s="26" t="s">
        <v>326</v>
      </c>
      <c r="E2250" s="447" t="str">
        <f>IFERROR(VLOOKUP($C2250,'SINAPI JULHO 2018'!$1:$1048576,2,0),IFERROR(VLOOKUP($C2250,'5-COMP. PROPRIA'!$B$13:$I$518,4,0),""))</f>
        <v>PROJETOR RETANGULAR FECHADO EM LED 250 W , CORPO EM ALUMINIO FUNDIDO COM PINTURA ELETROSTATICA,  FECHAMENTO EM VIDRO TEMPERADO - FORNECIMENTO E INSTALAÇÃO</v>
      </c>
      <c r="F2250" s="448"/>
      <c r="G2250" s="448"/>
      <c r="H2250" s="448"/>
      <c r="I2250" s="448"/>
      <c r="J2250" s="449"/>
      <c r="K2250" s="184">
        <v>96</v>
      </c>
      <c r="L2250" s="58" t="s">
        <v>343</v>
      </c>
      <c r="M2250" s="93"/>
      <c r="N2250" s="68"/>
      <c r="O2250" s="115"/>
      <c r="Q2250" s="127"/>
    </row>
    <row r="2251" spans="2:17" ht="15">
      <c r="B2251" s="150"/>
      <c r="C2251" s="94"/>
      <c r="E2251" s="276"/>
      <c r="F2251" s="221"/>
      <c r="G2251" s="221"/>
      <c r="H2251" s="221"/>
      <c r="I2251" s="221"/>
      <c r="J2251" s="222"/>
      <c r="K2251" s="184"/>
      <c r="M2251" s="93"/>
      <c r="N2251" s="68"/>
      <c r="O2251" s="115"/>
      <c r="Q2251" s="127"/>
    </row>
    <row r="2252" spans="2:17" ht="15">
      <c r="B2252" s="150"/>
      <c r="E2252" s="453" t="s">
        <v>377</v>
      </c>
      <c r="F2252" s="454"/>
      <c r="G2252" s="454"/>
      <c r="H2252" s="454"/>
      <c r="I2252" s="454"/>
      <c r="J2252" s="455"/>
      <c r="K2252" s="184"/>
      <c r="M2252" s="93"/>
      <c r="N2252" s="68"/>
      <c r="O2252" s="115"/>
      <c r="Q2252" s="127"/>
    </row>
    <row r="2253" spans="2:17" ht="15">
      <c r="B2253" s="150"/>
      <c r="E2253" s="276"/>
      <c r="F2253" s="221"/>
      <c r="G2253" s="221"/>
      <c r="H2253" s="221"/>
      <c r="I2253" s="221"/>
      <c r="J2253" s="222"/>
      <c r="K2253" s="184"/>
      <c r="M2253" s="93"/>
      <c r="N2253" s="68"/>
      <c r="O2253" s="115"/>
      <c r="Q2253" s="127"/>
    </row>
    <row r="2254" spans="2:17" ht="28.5" customHeight="1">
      <c r="B2254" s="150"/>
      <c r="C2254" s="26">
        <v>97589</v>
      </c>
      <c r="D2254" s="26" t="s">
        <v>8</v>
      </c>
      <c r="E2254" s="447" t="str">
        <f>IFERROR(VLOOKUP($C2254,'SINAPI JULHO 2018'!$1:$1048576,2,0),IFERROR(VLOOKUP($C2254,'5-COMP. PROPRIA'!$B$13:$I$518,4,0),""))</f>
        <v>LUMINÁRIA TIPO PLAFON EM PLÁSTICO, DE SOBREPOR, COM 1 LÂMPADA DE 15 W, - FORNECIMENTO E INSTALAÇÃO. AF_11/2017</v>
      </c>
      <c r="F2254" s="448"/>
      <c r="G2254" s="448"/>
      <c r="H2254" s="448"/>
      <c r="I2254" s="448"/>
      <c r="J2254" s="449"/>
      <c r="K2254" s="184">
        <v>64</v>
      </c>
      <c r="L2254" s="58" t="s">
        <v>343</v>
      </c>
      <c r="M2254" s="93"/>
      <c r="N2254" s="68"/>
      <c r="O2254" s="115"/>
      <c r="Q2254" s="127"/>
    </row>
    <row r="2255" spans="2:17" ht="15">
      <c r="B2255" s="150"/>
      <c r="E2255" s="276"/>
      <c r="F2255" s="221"/>
      <c r="G2255" s="221"/>
      <c r="H2255" s="221"/>
      <c r="I2255" s="221"/>
      <c r="J2255" s="222"/>
      <c r="K2255" s="184"/>
      <c r="M2255" s="93"/>
      <c r="N2255" s="68"/>
      <c r="O2255" s="115"/>
      <c r="Q2255" s="127"/>
    </row>
    <row r="2256" spans="2:17" ht="15" customHeight="1">
      <c r="B2256" s="150"/>
      <c r="E2256" s="453" t="s">
        <v>378</v>
      </c>
      <c r="F2256" s="454"/>
      <c r="G2256" s="454"/>
      <c r="H2256" s="454"/>
      <c r="I2256" s="454"/>
      <c r="J2256" s="455"/>
      <c r="K2256" s="184"/>
      <c r="M2256" s="93"/>
      <c r="N2256" s="68"/>
      <c r="O2256" s="115"/>
      <c r="Q2256" s="127"/>
    </row>
    <row r="2257" spans="2:17" ht="15" customHeight="1">
      <c r="B2257" s="150"/>
      <c r="E2257" s="453" t="s">
        <v>379</v>
      </c>
      <c r="F2257" s="454"/>
      <c r="G2257" s="454"/>
      <c r="H2257" s="454"/>
      <c r="I2257" s="454"/>
      <c r="J2257" s="455"/>
      <c r="K2257" s="184"/>
      <c r="M2257" s="93"/>
      <c r="N2257" s="68"/>
      <c r="O2257" s="115"/>
      <c r="Q2257" s="127"/>
    </row>
    <row r="2258" spans="2:17" ht="15">
      <c r="B2258" s="150"/>
      <c r="E2258" s="276"/>
      <c r="F2258" s="221"/>
      <c r="G2258" s="221"/>
      <c r="H2258" s="221"/>
      <c r="I2258" s="221"/>
      <c r="J2258" s="222"/>
      <c r="K2258" s="184"/>
      <c r="M2258" s="93"/>
      <c r="N2258" s="68"/>
      <c r="O2258" s="115"/>
      <c r="Q2258" s="127"/>
    </row>
    <row r="2259" spans="2:17" ht="30.75" customHeight="1">
      <c r="B2259" s="150"/>
      <c r="C2259" s="26">
        <v>97589</v>
      </c>
      <c r="D2259" s="26" t="s">
        <v>8</v>
      </c>
      <c r="E2259" s="447" t="str">
        <f>IFERROR(VLOOKUP($C2259,'SINAPI JULHO 2018'!$1:$1048576,2,0),IFERROR(VLOOKUP($C2259,'5-COMP. PROPRIA'!$B$13:$I$518,4,0),""))</f>
        <v>LUMINÁRIA TIPO PLAFON EM PLÁSTICO, DE SOBREPOR, COM 1 LÂMPADA DE 15 W, - FORNECIMENTO E INSTALAÇÃO. AF_11/2017</v>
      </c>
      <c r="F2259" s="448"/>
      <c r="G2259" s="448"/>
      <c r="H2259" s="448"/>
      <c r="I2259" s="448"/>
      <c r="J2259" s="449"/>
      <c r="K2259" s="184">
        <v>23</v>
      </c>
      <c r="L2259" s="58" t="s">
        <v>343</v>
      </c>
      <c r="M2259" s="93"/>
      <c r="N2259" s="68"/>
      <c r="O2259" s="115"/>
      <c r="Q2259" s="127"/>
    </row>
    <row r="2260" spans="2:17" ht="15">
      <c r="B2260" s="150"/>
      <c r="E2260" s="276"/>
      <c r="F2260" s="221"/>
      <c r="G2260" s="221"/>
      <c r="H2260" s="221"/>
      <c r="I2260" s="221"/>
      <c r="J2260" s="222"/>
      <c r="K2260" s="184"/>
      <c r="M2260" s="93"/>
      <c r="N2260" s="68"/>
      <c r="O2260" s="115"/>
      <c r="Q2260" s="127"/>
    </row>
    <row r="2261" spans="2:17" ht="15" customHeight="1">
      <c r="B2261" s="150"/>
      <c r="E2261" s="453" t="s">
        <v>380</v>
      </c>
      <c r="F2261" s="454"/>
      <c r="G2261" s="454"/>
      <c r="H2261" s="454"/>
      <c r="I2261" s="454"/>
      <c r="J2261" s="455"/>
      <c r="K2261" s="184"/>
      <c r="M2261" s="93"/>
      <c r="N2261" s="68"/>
      <c r="O2261" s="115"/>
      <c r="Q2261" s="127"/>
    </row>
    <row r="2262" spans="2:17" ht="15">
      <c r="B2262" s="150"/>
      <c r="E2262" s="276"/>
      <c r="F2262" s="221"/>
      <c r="G2262" s="221"/>
      <c r="H2262" s="221"/>
      <c r="I2262" s="221"/>
      <c r="J2262" s="222"/>
      <c r="K2262" s="184"/>
      <c r="M2262" s="93"/>
      <c r="N2262" s="68"/>
      <c r="O2262" s="115"/>
      <c r="Q2262" s="127"/>
    </row>
    <row r="2263" spans="2:17" ht="30" customHeight="1">
      <c r="B2263" s="150"/>
      <c r="C2263" s="26">
        <v>97608</v>
      </c>
      <c r="D2263" s="26" t="s">
        <v>8</v>
      </c>
      <c r="E2263" s="447" t="str">
        <f>IFERROR(VLOOKUP($C2263,'SINAPI JULHO 2018'!$1:$1048576,2,0),IFERROR(VLOOKUP($C2263,'5-COMP. PROPRIA'!$B$13:$I$518,4,0),""))</f>
        <v>LUMINÁRIA ARANDELA TIPO TARTARUGA, COM GRADE, PARA 1 LÂMPADA DE 15 W - FORNECIMENTO E INSTALAÇÃO. AF_11/2017</v>
      </c>
      <c r="F2263" s="448"/>
      <c r="G2263" s="448"/>
      <c r="H2263" s="448"/>
      <c r="I2263" s="448"/>
      <c r="J2263" s="449"/>
      <c r="K2263" s="184">
        <v>5</v>
      </c>
      <c r="L2263" s="58" t="s">
        <v>343</v>
      </c>
      <c r="M2263" s="93"/>
      <c r="N2263" s="68"/>
      <c r="O2263" s="115"/>
      <c r="Q2263" s="127"/>
    </row>
    <row r="2264" spans="2:17" ht="15">
      <c r="B2264" s="150"/>
      <c r="E2264" s="276"/>
      <c r="F2264" s="221"/>
      <c r="G2264" s="221"/>
      <c r="H2264" s="221"/>
      <c r="I2264" s="221"/>
      <c r="J2264" s="222"/>
      <c r="K2264" s="184"/>
      <c r="M2264" s="93"/>
      <c r="N2264" s="68"/>
      <c r="O2264" s="115"/>
      <c r="Q2264" s="127"/>
    </row>
    <row r="2265" spans="2:17" ht="15" customHeight="1">
      <c r="B2265" s="150"/>
      <c r="E2265" s="453" t="s">
        <v>381</v>
      </c>
      <c r="F2265" s="454"/>
      <c r="G2265" s="454"/>
      <c r="H2265" s="454"/>
      <c r="I2265" s="454"/>
      <c r="J2265" s="455"/>
      <c r="K2265" s="184"/>
      <c r="M2265" s="93"/>
      <c r="N2265" s="68"/>
      <c r="O2265" s="115"/>
      <c r="Q2265" s="127"/>
    </row>
    <row r="2266" spans="2:17" ht="15" customHeight="1">
      <c r="B2266" s="150"/>
      <c r="E2266" s="453" t="s">
        <v>382</v>
      </c>
      <c r="F2266" s="454"/>
      <c r="G2266" s="454"/>
      <c r="H2266" s="454"/>
      <c r="I2266" s="454"/>
      <c r="J2266" s="455"/>
      <c r="K2266" s="184"/>
      <c r="M2266" s="93"/>
      <c r="N2266" s="68"/>
      <c r="O2266" s="115"/>
      <c r="Q2266" s="127"/>
    </row>
    <row r="2267" spans="2:17" ht="15">
      <c r="B2267" s="150"/>
      <c r="E2267" s="276"/>
      <c r="F2267" s="221"/>
      <c r="G2267" s="221"/>
      <c r="H2267" s="221"/>
      <c r="I2267" s="221"/>
      <c r="J2267" s="222"/>
      <c r="K2267" s="184"/>
      <c r="M2267" s="93"/>
      <c r="N2267" s="68"/>
      <c r="O2267" s="115"/>
      <c r="Q2267" s="127"/>
    </row>
    <row r="2268" spans="2:17" ht="46.5" customHeight="1">
      <c r="B2268" s="150"/>
      <c r="C2268" s="26" t="s">
        <v>383</v>
      </c>
      <c r="D2268" s="26" t="s">
        <v>8</v>
      </c>
      <c r="E2268" s="447" t="str">
        <f>IFERROR(VLOOKUP($C2268,'SINAPI JULHO 2018'!$1:$1048576,2,0),IFERROR(VLOOKUP($C2268,'5-COMP. PROPRIA'!$B$13:$I$518,4,0),""))</f>
        <v>QUADRO DE DISTRIBUICAO DE ENERGIA DE EMBUTIR, EM CHAPA METALICA, PARA 24 DISJUNTORES TERMOMAGNETICOS MONOPOLARES, COM BARRAMENTO TRIFASICO E NEUTRO, FORNECIMENTO E INSTALACAO</v>
      </c>
      <c r="F2268" s="448"/>
      <c r="G2268" s="448"/>
      <c r="H2268" s="448"/>
      <c r="I2268" s="448"/>
      <c r="J2268" s="449"/>
      <c r="K2268" s="184">
        <v>1</v>
      </c>
      <c r="L2268" s="58" t="s">
        <v>343</v>
      </c>
      <c r="M2268" s="93"/>
      <c r="N2268" s="68"/>
      <c r="O2268" s="115"/>
      <c r="Q2268" s="127"/>
    </row>
    <row r="2269" spans="2:17" ht="46.5" customHeight="1">
      <c r="B2269" s="150"/>
      <c r="C2269" s="26" t="s">
        <v>384</v>
      </c>
      <c r="D2269" s="26" t="s">
        <v>8</v>
      </c>
      <c r="E2269" s="447" t="str">
        <f>IFERROR(VLOOKUP($C2269,'SINAPI JULHO 2018'!$1:$1048576,2,0),IFERROR(VLOOKUP($C2269,'5-COMP. PROPRIA'!$B$13:$I$518,4,0),""))</f>
        <v>QUADRO DE DISTRIBUICAO DE ENERGIA DE EMBUTIR, EM CHAPA METALICA, PARA 32 DISJUNTORES TERMOMAGNETICOS MONOPOLARES, COM BARRAMENTO TRIFASICO E NEUTRO, FORNECIMENTO E INSTALACAO</v>
      </c>
      <c r="F2269" s="448"/>
      <c r="G2269" s="448"/>
      <c r="H2269" s="448"/>
      <c r="I2269" s="448"/>
      <c r="J2269" s="449"/>
      <c r="K2269" s="184">
        <v>1</v>
      </c>
      <c r="L2269" s="58" t="s">
        <v>343</v>
      </c>
      <c r="M2269" s="93"/>
      <c r="N2269" s="68"/>
      <c r="O2269" s="115"/>
      <c r="Q2269" s="127"/>
    </row>
    <row r="2270" spans="2:17" ht="15">
      <c r="B2270" s="150"/>
      <c r="E2270" s="276"/>
      <c r="F2270" s="221"/>
      <c r="G2270" s="221"/>
      <c r="H2270" s="221"/>
      <c r="I2270" s="221"/>
      <c r="J2270" s="222"/>
      <c r="K2270" s="184"/>
      <c r="M2270" s="93"/>
      <c r="N2270" s="68"/>
      <c r="O2270" s="115"/>
      <c r="Q2270" s="127"/>
    </row>
    <row r="2271" spans="2:17" ht="15" customHeight="1">
      <c r="B2271" s="150"/>
      <c r="E2271" s="453" t="s">
        <v>385</v>
      </c>
      <c r="F2271" s="454"/>
      <c r="G2271" s="454"/>
      <c r="H2271" s="454"/>
      <c r="I2271" s="454"/>
      <c r="J2271" s="455"/>
      <c r="K2271" s="184"/>
      <c r="M2271" s="93"/>
      <c r="N2271" s="68"/>
      <c r="O2271" s="115"/>
      <c r="Q2271" s="127"/>
    </row>
    <row r="2272" spans="2:17" ht="15">
      <c r="B2272" s="150"/>
      <c r="E2272" s="276"/>
      <c r="F2272" s="221"/>
      <c r="G2272" s="221"/>
      <c r="H2272" s="221"/>
      <c r="I2272" s="221"/>
      <c r="J2272" s="222"/>
      <c r="K2272" s="184"/>
      <c r="M2272" s="93"/>
      <c r="N2272" s="68"/>
      <c r="O2272" s="115"/>
      <c r="Q2272" s="127"/>
    </row>
    <row r="2273" spans="2:17" ht="43.5" customHeight="1">
      <c r="B2273" s="150"/>
      <c r="C2273" s="26" t="s">
        <v>383</v>
      </c>
      <c r="D2273" s="26" t="s">
        <v>8</v>
      </c>
      <c r="E2273" s="447" t="str">
        <f>IFERROR(VLOOKUP($C2273,'SINAPI JULHO 2018'!$1:$1048576,2,0),IFERROR(VLOOKUP($C2273,'5-COMP. PROPRIA'!$B$13:$I$518,4,0),""))</f>
        <v>QUADRO DE DISTRIBUICAO DE ENERGIA DE EMBUTIR, EM CHAPA METALICA, PARA 24 DISJUNTORES TERMOMAGNETICOS MONOPOLARES, COM BARRAMENTO TRIFASICO E NEUTRO, FORNECIMENTO E INSTALACAO</v>
      </c>
      <c r="F2273" s="448"/>
      <c r="G2273" s="448"/>
      <c r="H2273" s="448"/>
      <c r="I2273" s="448"/>
      <c r="J2273" s="449"/>
      <c r="K2273" s="184">
        <v>6</v>
      </c>
      <c r="L2273" s="58" t="s">
        <v>343</v>
      </c>
      <c r="M2273" s="93"/>
      <c r="N2273" s="68"/>
      <c r="O2273" s="115"/>
      <c r="Q2273" s="127"/>
    </row>
    <row r="2274" spans="2:17" ht="15">
      <c r="B2274" s="150"/>
      <c r="E2274" s="276"/>
      <c r="F2274" s="221"/>
      <c r="G2274" s="221"/>
      <c r="H2274" s="221"/>
      <c r="I2274" s="221"/>
      <c r="J2274" s="222"/>
      <c r="K2274" s="184"/>
      <c r="M2274" s="93"/>
      <c r="N2274" s="68"/>
      <c r="O2274" s="115"/>
      <c r="Q2274" s="127"/>
    </row>
    <row r="2275" spans="2:17" ht="15" customHeight="1">
      <c r="B2275" s="150"/>
      <c r="E2275" s="453" t="s">
        <v>386</v>
      </c>
      <c r="F2275" s="454"/>
      <c r="G2275" s="454"/>
      <c r="H2275" s="454"/>
      <c r="I2275" s="454"/>
      <c r="J2275" s="455"/>
      <c r="K2275" s="184"/>
      <c r="M2275" s="93"/>
      <c r="N2275" s="68"/>
      <c r="O2275" s="115"/>
      <c r="Q2275" s="127"/>
    </row>
    <row r="2276" spans="2:17" ht="15">
      <c r="B2276" s="150"/>
      <c r="E2276" s="276"/>
      <c r="F2276" s="221"/>
      <c r="G2276" s="221"/>
      <c r="H2276" s="221"/>
      <c r="I2276" s="221"/>
      <c r="J2276" s="222"/>
      <c r="K2276" s="184"/>
      <c r="M2276" s="93"/>
      <c r="N2276" s="68"/>
      <c r="O2276" s="115"/>
      <c r="Q2276" s="127"/>
    </row>
    <row r="2277" spans="2:17" ht="15">
      <c r="B2277" s="150"/>
      <c r="C2277" s="26">
        <v>79480</v>
      </c>
      <c r="D2277" s="26" t="s">
        <v>8</v>
      </c>
      <c r="E2277" s="447" t="str">
        <f>IFERROR(VLOOKUP($C2277,'SINAPI JULHO 2018'!$1:$1048576,2,0),IFERROR(VLOOKUP($C2277,'5-COMP. PROPRIA'!$B$13:$I$518,4,0),""))</f>
        <v>ESCAVACAO MECANICA CAMPO ABERTO EM SOLO EXCETO ROCHA ATE 2,00M PROFUNDIDADE</v>
      </c>
      <c r="F2277" s="448"/>
      <c r="G2277" s="448"/>
      <c r="H2277" s="448"/>
      <c r="I2277" s="448"/>
      <c r="J2277" s="449"/>
      <c r="K2277" s="184">
        <v>43.65</v>
      </c>
      <c r="L2277" s="58" t="s">
        <v>65</v>
      </c>
      <c r="M2277" s="93"/>
      <c r="N2277" s="68"/>
      <c r="O2277" s="115"/>
      <c r="Q2277" s="127"/>
    </row>
    <row r="2278" spans="2:17" ht="15">
      <c r="B2278" s="150"/>
      <c r="C2278" s="26">
        <v>93382</v>
      </c>
      <c r="D2278" s="26" t="s">
        <v>8</v>
      </c>
      <c r="E2278" s="447" t="str">
        <f>IFERROR(VLOOKUP($C2278,'SINAPI JULHO 2018'!$1:$1048576,2,0),IFERROR(VLOOKUP($C2278,'5-COMP. PROPRIA'!$B$13:$I$518,4,0),""))</f>
        <v>REATERRO MANUAL DE VALAS COM COMPACTAÇÃO MECANIZADA. AF_04/2016</v>
      </c>
      <c r="F2278" s="448"/>
      <c r="G2278" s="448"/>
      <c r="H2278" s="448"/>
      <c r="I2278" s="448"/>
      <c r="J2278" s="449"/>
      <c r="K2278" s="184">
        <v>43.65</v>
      </c>
      <c r="L2278" s="58" t="s">
        <v>65</v>
      </c>
      <c r="M2278" s="93"/>
      <c r="N2278" s="68"/>
      <c r="O2278" s="115"/>
      <c r="Q2278" s="127"/>
    </row>
    <row r="2279" spans="2:17" ht="15">
      <c r="B2279" s="150"/>
      <c r="C2279" s="26">
        <v>96985</v>
      </c>
      <c r="D2279" s="26" t="s">
        <v>8</v>
      </c>
      <c r="E2279" s="447" t="str">
        <f>IFERROR(VLOOKUP($C2279,'SINAPI JULHO 2018'!$1:$1048576,2,0),IFERROR(VLOOKUP($C2279,'5-COMP. PROPRIA'!$B$13:$I$518,4,0),""))</f>
        <v>HASTE DE ATERRAMENTO 5/8  PARA SPDA - FORNECIMENTO E INSTALAÇÃO. AF_12/2017</v>
      </c>
      <c r="F2279" s="448"/>
      <c r="G2279" s="448"/>
      <c r="H2279" s="448"/>
      <c r="I2279" s="448"/>
      <c r="J2279" s="449"/>
      <c r="K2279" s="184">
        <v>28</v>
      </c>
      <c r="L2279" s="58" t="s">
        <v>343</v>
      </c>
      <c r="M2279" s="93"/>
      <c r="N2279" s="68"/>
      <c r="O2279" s="115"/>
      <c r="Q2279" s="127"/>
    </row>
    <row r="2280" spans="2:17" ht="30" customHeight="1">
      <c r="B2280" s="150"/>
      <c r="C2280" s="26">
        <v>91934</v>
      </c>
      <c r="D2280" s="26" t="s">
        <v>8</v>
      </c>
      <c r="E2280" s="447" t="str">
        <f>IFERROR(VLOOKUP($C2280,'SINAPI JULHO 2018'!$1:$1048576,2,0),IFERROR(VLOOKUP($C2280,'5-COMP. PROPRIA'!$B$13:$I$518,4,0),""))</f>
        <v>CABO DE COBRE FLEXÍVEL ISOLADO, 16 MM², ANTI-CHAMA 450/750 V, PARA CIRCUITOS TERMINAIS - FORNECIMENTO E INSTALAÇÃO. AF_12/2015</v>
      </c>
      <c r="F2280" s="448"/>
      <c r="G2280" s="448"/>
      <c r="H2280" s="448"/>
      <c r="I2280" s="448"/>
      <c r="J2280" s="449"/>
      <c r="K2280" s="184">
        <v>92.4</v>
      </c>
      <c r="L2280" s="58" t="s">
        <v>63</v>
      </c>
      <c r="M2280" s="93"/>
      <c r="N2280" s="68"/>
      <c r="O2280" s="115"/>
      <c r="Q2280" s="127"/>
    </row>
    <row r="2281" spans="2:17" ht="30" customHeight="1">
      <c r="B2281" s="150"/>
      <c r="C2281" s="26">
        <v>96977</v>
      </c>
      <c r="D2281" s="26" t="s">
        <v>8</v>
      </c>
      <c r="E2281" s="447" t="str">
        <f>IFERROR(VLOOKUP($C2281,'SINAPI JULHO 2018'!$1:$1048576,2,0),IFERROR(VLOOKUP($C2281,'5-COMP. PROPRIA'!$B$13:$I$518,4,0),""))</f>
        <v>CORDOALHA DE COBRE NU 50 MM², ENTERRADA, SEM ISOLADOR - FORNECIMENTO E INSTALAÇÃO. AF_12/2017</v>
      </c>
      <c r="F2281" s="448"/>
      <c r="G2281" s="448"/>
      <c r="H2281" s="448"/>
      <c r="I2281" s="448"/>
      <c r="J2281" s="449"/>
      <c r="K2281" s="184">
        <v>140</v>
      </c>
      <c r="L2281" s="58" t="s">
        <v>63</v>
      </c>
      <c r="M2281" s="93"/>
      <c r="N2281" s="68"/>
      <c r="O2281" s="115"/>
      <c r="Q2281" s="127"/>
    </row>
    <row r="2282" spans="2:17" ht="30" customHeight="1">
      <c r="B2282" s="150"/>
      <c r="C2282" s="26">
        <v>95748</v>
      </c>
      <c r="D2282" s="26" t="s">
        <v>8</v>
      </c>
      <c r="E2282" s="447" t="str">
        <f>IFERROR(VLOOKUP($C2282,'SINAPI JULHO 2018'!$1:$1048576,2,0),IFERROR(VLOOKUP($C2282,'5-COMP. PROPRIA'!$B$13:$I$518,4,0),""))</f>
        <v>ELETRODUTO DE AÇO GALVANIZADO, CLASSE SEMI PESADO, DN 40 MM (1 1/2 ), APARENTE, INSTALADO EM TETO - FORNECIMENTO E INSTALAÇÃO. AF_11/2016_P</v>
      </c>
      <c r="F2282" s="448"/>
      <c r="G2282" s="448"/>
      <c r="H2282" s="448"/>
      <c r="I2282" s="448"/>
      <c r="J2282" s="449"/>
      <c r="K2282" s="184">
        <v>84</v>
      </c>
      <c r="L2282" s="58" t="s">
        <v>63</v>
      </c>
      <c r="M2282" s="93"/>
      <c r="N2282" s="68"/>
      <c r="O2282" s="115"/>
      <c r="Q2282" s="127"/>
    </row>
    <row r="2283" spans="2:17" ht="15">
      <c r="B2283" s="150"/>
      <c r="E2283" s="276"/>
      <c r="F2283" s="221"/>
      <c r="G2283" s="221"/>
      <c r="H2283" s="221"/>
      <c r="I2283" s="221"/>
      <c r="J2283" s="222"/>
      <c r="K2283" s="184"/>
      <c r="M2283" s="93"/>
      <c r="N2283" s="68"/>
      <c r="O2283" s="115"/>
      <c r="Q2283" s="127"/>
    </row>
    <row r="2284" spans="2:17" ht="15" customHeight="1">
      <c r="B2284" s="150"/>
      <c r="E2284" s="453" t="s">
        <v>387</v>
      </c>
      <c r="F2284" s="454"/>
      <c r="G2284" s="454"/>
      <c r="H2284" s="454"/>
      <c r="I2284" s="454"/>
      <c r="J2284" s="455"/>
      <c r="K2284" s="184"/>
      <c r="M2284" s="93"/>
      <c r="N2284" s="68"/>
      <c r="O2284" s="115"/>
      <c r="Q2284" s="127"/>
    </row>
    <row r="2285" spans="2:17" ht="15">
      <c r="B2285" s="150"/>
      <c r="E2285" s="276"/>
      <c r="F2285" s="221"/>
      <c r="G2285" s="221"/>
      <c r="H2285" s="221"/>
      <c r="I2285" s="221"/>
      <c r="J2285" s="222"/>
      <c r="K2285" s="184"/>
      <c r="M2285" s="93"/>
      <c r="N2285" s="68"/>
      <c r="O2285" s="115"/>
      <c r="Q2285" s="127"/>
    </row>
    <row r="2286" spans="2:17" ht="37.5" customHeight="1">
      <c r="B2286" s="150"/>
      <c r="C2286" s="26" t="s">
        <v>388</v>
      </c>
      <c r="D2286" s="26" t="s">
        <v>8</v>
      </c>
      <c r="E2286" s="447" t="str">
        <f>IFERROR(VLOOKUP($C2286,'SINAPI JULHO 2018'!$1:$1048576,2,0),IFERROR(VLOOKUP($C2286,'5-COMP. PROPRIA'!$B$13:$I$518,4,0),""))</f>
        <v>POSTE CONCRETO SEÇÃO CIRCULAR COMPRIMENTO=14M  CARGA NOMINAL NO TOPO 400KG INCLUSIVE ESCAVACAO EXCLUSIVE TRANSPORTE - FORNECIMENTO E COLOCAÇÃO</v>
      </c>
      <c r="F2286" s="448"/>
      <c r="G2286" s="448"/>
      <c r="H2286" s="448"/>
      <c r="I2286" s="448"/>
      <c r="J2286" s="449"/>
      <c r="K2286" s="184">
        <v>6</v>
      </c>
      <c r="L2286" s="58" t="s">
        <v>343</v>
      </c>
      <c r="M2286" s="93"/>
      <c r="N2286" s="68"/>
      <c r="O2286" s="115"/>
      <c r="Q2286" s="127"/>
    </row>
    <row r="2287" spans="2:17" ht="30" customHeight="1">
      <c r="B2287" s="150"/>
      <c r="C2287" s="94" t="s">
        <v>389</v>
      </c>
      <c r="D2287" s="26" t="s">
        <v>326</v>
      </c>
      <c r="E2287" s="447" t="str">
        <f>IFERROR(VLOOKUP($C2287,'SINAPI JULHO 2018'!$1:$1048576,2,0),IFERROR(VLOOKUP($C2287,'5-COMP. PROPRIA'!$B$13:$I$518,4,0),""))</f>
        <v>CRUZETA DE CONCRETO LEVE, COMP. 2000 MM SECÇÃO, 90 X 90 MM - FORNECIMENTO E INSTALAÇÃO</v>
      </c>
      <c r="F2287" s="448"/>
      <c r="G2287" s="448"/>
      <c r="H2287" s="448"/>
      <c r="I2287" s="448"/>
      <c r="J2287" s="449"/>
      <c r="K2287" s="184">
        <v>18</v>
      </c>
      <c r="L2287" s="58" t="s">
        <v>343</v>
      </c>
      <c r="M2287" s="93"/>
      <c r="N2287" s="68"/>
      <c r="O2287" s="115"/>
      <c r="Q2287" s="127"/>
    </row>
    <row r="2288" spans="2:17" ht="15">
      <c r="B2288" s="150"/>
      <c r="E2288" s="276"/>
      <c r="F2288" s="221"/>
      <c r="G2288" s="221"/>
      <c r="H2288" s="221"/>
      <c r="I2288" s="221"/>
      <c r="J2288" s="222"/>
      <c r="K2288" s="184"/>
      <c r="M2288" s="93"/>
      <c r="N2288" s="68"/>
      <c r="O2288" s="115"/>
      <c r="Q2288" s="127"/>
    </row>
    <row r="2289" spans="2:17" s="320" customFormat="1" ht="15">
      <c r="B2289" s="322"/>
      <c r="C2289" s="323"/>
      <c r="D2289" s="323"/>
      <c r="E2289" s="450" t="s">
        <v>390</v>
      </c>
      <c r="F2289" s="451"/>
      <c r="G2289" s="451"/>
      <c r="H2289" s="451"/>
      <c r="I2289" s="451"/>
      <c r="J2289" s="452"/>
      <c r="K2289" s="350"/>
      <c r="L2289" s="325"/>
      <c r="M2289" s="352"/>
      <c r="N2289" s="318"/>
      <c r="O2289" s="319"/>
      <c r="Q2289" s="321"/>
    </row>
    <row r="2290" spans="2:17" ht="15">
      <c r="B2290" s="150"/>
      <c r="E2290" s="276"/>
      <c r="F2290" s="221"/>
      <c r="G2290" s="221"/>
      <c r="H2290" s="221"/>
      <c r="I2290" s="221"/>
      <c r="J2290" s="222"/>
      <c r="K2290" s="184"/>
      <c r="M2290" s="93"/>
      <c r="N2290" s="68"/>
      <c r="O2290" s="115"/>
      <c r="Q2290" s="127"/>
    </row>
    <row r="2291" spans="2:17" ht="15">
      <c r="B2291" s="150"/>
      <c r="E2291" s="456" t="s">
        <v>391</v>
      </c>
      <c r="F2291" s="457"/>
      <c r="G2291" s="457"/>
      <c r="H2291" s="457"/>
      <c r="I2291" s="457"/>
      <c r="J2291" s="458"/>
      <c r="K2291" s="183"/>
      <c r="L2291" s="57"/>
      <c r="M2291" s="93"/>
      <c r="N2291" s="68"/>
      <c r="O2291" s="115"/>
      <c r="Q2291" s="127"/>
    </row>
    <row r="2292" spans="2:17" ht="15">
      <c r="B2292" s="150"/>
      <c r="E2292" s="266"/>
      <c r="F2292" s="99"/>
      <c r="G2292" s="99"/>
      <c r="H2292" s="99"/>
      <c r="I2292" s="99"/>
      <c r="J2292" s="267"/>
      <c r="K2292" s="183"/>
      <c r="L2292" s="57"/>
      <c r="M2292" s="93"/>
      <c r="N2292" s="68"/>
      <c r="O2292" s="115"/>
      <c r="Q2292" s="127"/>
    </row>
    <row r="2293" spans="2:17" ht="15">
      <c r="B2293" s="150"/>
      <c r="C2293" s="94" t="str">
        <f>'5-COMP. PROPRIA'!B235</f>
        <v>CP-SD-01</v>
      </c>
      <c r="D2293" s="26" t="s">
        <v>326</v>
      </c>
      <c r="E2293" s="447" t="str">
        <f>IFERROR(VLOOKUP($C2293,'SINAPI JULHO 2018'!$1:$1048576,2,0),IFERROR(VLOOKUP($C2293,'5-COMP. PROPRIA'!$B$13:$I$518,4,0),""))</f>
        <v>FORNECIMENTO E INSTALAÇÃO DE PLACA DE INAUGURAÇÃO DE 40X60CM</v>
      </c>
      <c r="F2293" s="448"/>
      <c r="G2293" s="448"/>
      <c r="H2293" s="448"/>
      <c r="I2293" s="448"/>
      <c r="J2293" s="449"/>
      <c r="K2293" s="184">
        <v>1</v>
      </c>
      <c r="L2293" s="57" t="s">
        <v>5</v>
      </c>
      <c r="M2293" s="93"/>
      <c r="N2293" s="68"/>
      <c r="O2293" s="115"/>
      <c r="Q2293" s="127"/>
    </row>
    <row r="2294" spans="2:17">
      <c r="B2294" s="150"/>
      <c r="E2294" s="118"/>
      <c r="J2294" s="102"/>
      <c r="M2294" s="93"/>
      <c r="N2294" s="68"/>
      <c r="O2294" s="115"/>
      <c r="Q2294" s="127"/>
    </row>
    <row r="2295" spans="2:17" ht="15">
      <c r="B2295" s="150"/>
      <c r="C2295" s="94" t="str">
        <f>'5-COMP. PROPRIA'!B240</f>
        <v>CP-SD-02</v>
      </c>
      <c r="D2295" s="26" t="s">
        <v>326</v>
      </c>
      <c r="E2295" s="447" t="str">
        <f>IFERROR(VLOOKUP($C2295,'SINAPI JULHO 2018'!$1:$1048576,2,0),IFERROR(VLOOKUP($C2295,'5-COMP. PROPRIA'!$B$13:$I$518,4,0),""))</f>
        <v>CONJUNTO DE MASTRO PARA TRÊS BANDEIRAS E PEDESTAL</v>
      </c>
      <c r="F2295" s="448"/>
      <c r="G2295" s="448"/>
      <c r="H2295" s="448"/>
      <c r="I2295" s="448"/>
      <c r="J2295" s="449"/>
      <c r="K2295" s="184">
        <v>1</v>
      </c>
      <c r="L2295" s="57" t="s">
        <v>5</v>
      </c>
      <c r="M2295" s="93"/>
      <c r="N2295" s="68"/>
      <c r="O2295" s="115"/>
      <c r="Q2295" s="127"/>
    </row>
    <row r="2296" spans="2:17" ht="13.5" thickBot="1">
      <c r="B2296" s="150"/>
      <c r="E2296" s="118"/>
      <c r="J2296" s="102"/>
      <c r="M2296" s="93"/>
      <c r="N2296" s="68"/>
      <c r="O2296" s="115"/>
      <c r="Q2296" s="127"/>
    </row>
    <row r="2297" spans="2:17" ht="13.5" thickBot="1">
      <c r="B2297" s="150"/>
      <c r="C2297" s="91"/>
      <c r="D2297" s="91"/>
      <c r="E2297" s="444" t="s">
        <v>392</v>
      </c>
      <c r="F2297" s="445"/>
      <c r="G2297" s="445"/>
      <c r="H2297" s="445"/>
      <c r="I2297" s="445"/>
      <c r="J2297" s="446"/>
      <c r="K2297" s="183"/>
      <c r="L2297" s="56"/>
      <c r="M2297" s="93"/>
      <c r="N2297" s="68"/>
      <c r="O2297" s="115"/>
      <c r="Q2297" s="127"/>
    </row>
    <row r="2298" spans="2:17">
      <c r="B2298" s="150"/>
      <c r="C2298" s="91"/>
      <c r="D2298" s="91"/>
      <c r="E2298" s="113"/>
      <c r="F2298" s="56"/>
      <c r="G2298" s="56"/>
      <c r="H2298" s="56"/>
      <c r="I2298" s="56"/>
      <c r="J2298" s="240"/>
      <c r="K2298" s="183"/>
      <c r="L2298" s="56"/>
      <c r="M2298" s="93"/>
      <c r="N2298" s="68"/>
      <c r="O2298" s="115"/>
      <c r="Q2298" s="127"/>
    </row>
    <row r="2299" spans="2:17">
      <c r="B2299" s="150"/>
      <c r="C2299" s="26">
        <v>9537</v>
      </c>
      <c r="D2299" s="16" t="s">
        <v>8</v>
      </c>
      <c r="E2299" s="447" t="str">
        <f>IFERROR(VLOOKUP($C2299,'SINAPI JULHO 2018'!$1:$1048576,2,0),IFERROR(VLOOKUP($C2299,'5-COMP. PROPRIA'!$B$13:$I$518,4,0),""))</f>
        <v>LIMPEZA FINAL DA OBRA</v>
      </c>
      <c r="F2299" s="448"/>
      <c r="G2299" s="448"/>
      <c r="H2299" s="448"/>
      <c r="I2299" s="448"/>
      <c r="J2299" s="449"/>
      <c r="K2299" s="183">
        <f>10100*0.5</f>
        <v>5050</v>
      </c>
      <c r="L2299" s="57" t="s">
        <v>25</v>
      </c>
      <c r="M2299" s="93"/>
      <c r="N2299" s="68"/>
      <c r="O2299" s="115"/>
      <c r="Q2299" s="127"/>
    </row>
    <row r="2300" spans="2:17" ht="15.75" thickBot="1">
      <c r="B2300" s="401"/>
      <c r="C2300" s="29"/>
      <c r="D2300" s="29"/>
      <c r="E2300" s="402"/>
      <c r="F2300" s="403"/>
      <c r="G2300" s="403"/>
      <c r="H2300" s="403"/>
      <c r="I2300" s="403"/>
      <c r="J2300" s="404"/>
      <c r="K2300" s="405"/>
      <c r="L2300" s="406"/>
      <c r="M2300" s="407"/>
      <c r="N2300" s="408"/>
      <c r="O2300" s="115"/>
      <c r="Q2300" s="127"/>
    </row>
  </sheetData>
  <mergeCells count="854">
    <mergeCell ref="E2133:J2133"/>
    <mergeCell ref="E2135:J2135"/>
    <mergeCell ref="E2137:J2137"/>
    <mergeCell ref="E2093:J2093"/>
    <mergeCell ref="E2095:J2095"/>
    <mergeCell ref="E2097:J2097"/>
    <mergeCell ref="E2099:J2099"/>
    <mergeCell ref="E2101:J2101"/>
    <mergeCell ref="E2103:J2103"/>
    <mergeCell ref="E2056:J2056"/>
    <mergeCell ref="E2058:J2058"/>
    <mergeCell ref="E2068:J2068"/>
    <mergeCell ref="E2062:J2062"/>
    <mergeCell ref="E2063:J2063"/>
    <mergeCell ref="E2064:J2064"/>
    <mergeCell ref="E2089:J2089"/>
    <mergeCell ref="E2087:J2087"/>
    <mergeCell ref="E2091:J2091"/>
    <mergeCell ref="E2060:J2060"/>
    <mergeCell ref="E2066:J2066"/>
    <mergeCell ref="E2072:J2072"/>
    <mergeCell ref="E2073:J2073"/>
    <mergeCell ref="E2074:J2074"/>
    <mergeCell ref="E2070:J2070"/>
    <mergeCell ref="E2076:J2076"/>
    <mergeCell ref="E2078:J2078"/>
    <mergeCell ref="E2079:J2079"/>
    <mergeCell ref="E2080:J2080"/>
    <mergeCell ref="E2082:J2082"/>
    <mergeCell ref="E2050:J2050"/>
    <mergeCell ref="E2052:J2052"/>
    <mergeCell ref="E2054:J2054"/>
    <mergeCell ref="E2032:J2032"/>
    <mergeCell ref="E2034:J2034"/>
    <mergeCell ref="E2036:J2036"/>
    <mergeCell ref="E2038:J2038"/>
    <mergeCell ref="E2040:J2040"/>
    <mergeCell ref="E2042:J2042"/>
    <mergeCell ref="E2044:J2044"/>
    <mergeCell ref="E2046:J2046"/>
    <mergeCell ref="E2048:J2048"/>
    <mergeCell ref="E2014:J2014"/>
    <mergeCell ref="E2024:J2024"/>
    <mergeCell ref="E2008:J2008"/>
    <mergeCell ref="E2026:J2026"/>
    <mergeCell ref="E2028:J2028"/>
    <mergeCell ref="E2030:J2030"/>
    <mergeCell ref="E1974:J1974"/>
    <mergeCell ref="E1980:J1980"/>
    <mergeCell ref="E1982:J1982"/>
    <mergeCell ref="E1989:J1989"/>
    <mergeCell ref="E1996:J1996"/>
    <mergeCell ref="E2002:J2002"/>
    <mergeCell ref="E2004:J2004"/>
    <mergeCell ref="E2006:J2006"/>
    <mergeCell ref="E2010:J2010"/>
    <mergeCell ref="E2016:J2016"/>
    <mergeCell ref="E2018:J2018"/>
    <mergeCell ref="E2022:J2022"/>
    <mergeCell ref="G2019:H2019"/>
    <mergeCell ref="G2020:H2020"/>
    <mergeCell ref="E1920:J1920"/>
    <mergeCell ref="E1922:J1922"/>
    <mergeCell ref="E1718:J1718"/>
    <mergeCell ref="E1722:J1722"/>
    <mergeCell ref="E1726:J1726"/>
    <mergeCell ref="E1732:J1732"/>
    <mergeCell ref="E1736:J1736"/>
    <mergeCell ref="E1740:J1740"/>
    <mergeCell ref="E1744:J1744"/>
    <mergeCell ref="E1751:J1751"/>
    <mergeCell ref="E1764:J1764"/>
    <mergeCell ref="E1824:J1824"/>
    <mergeCell ref="E1834:J1834"/>
    <mergeCell ref="E1836:J1836"/>
    <mergeCell ref="E1838:J1838"/>
    <mergeCell ref="E1840:J1840"/>
    <mergeCell ref="E1784:J1784"/>
    <mergeCell ref="E1789:J1789"/>
    <mergeCell ref="E1730:J1730"/>
    <mergeCell ref="E1874:J1874"/>
    <mergeCell ref="E1876:J1876"/>
    <mergeCell ref="E1878:J1878"/>
    <mergeCell ref="E1880:J1880"/>
    <mergeCell ref="E1882:J1882"/>
    <mergeCell ref="E1502:J1502"/>
    <mergeCell ref="E1479:J1479"/>
    <mergeCell ref="E1469:J1469"/>
    <mergeCell ref="E1471:J1471"/>
    <mergeCell ref="E1794:J1794"/>
    <mergeCell ref="E1820:J1820"/>
    <mergeCell ref="E1798:J1798"/>
    <mergeCell ref="E1800:J1800"/>
    <mergeCell ref="E1804:J1804"/>
    <mergeCell ref="E1806:J1806"/>
    <mergeCell ref="E1811:J1811"/>
    <mergeCell ref="E1816:J1816"/>
    <mergeCell ref="E1756:J1756"/>
    <mergeCell ref="E1760:J1760"/>
    <mergeCell ref="E1776:J1776"/>
    <mergeCell ref="E1782:J1782"/>
    <mergeCell ref="E1770:J1770"/>
    <mergeCell ref="E1774:J1774"/>
    <mergeCell ref="E1778:J1778"/>
    <mergeCell ref="E1513:J1513"/>
    <mergeCell ref="E1766:J1766"/>
    <mergeCell ref="E1691:J1691"/>
    <mergeCell ref="E1693:J1693"/>
    <mergeCell ref="E1695:J1695"/>
    <mergeCell ref="E1372:J1372"/>
    <mergeCell ref="E1340:J1340"/>
    <mergeCell ref="E1342:J1342"/>
    <mergeCell ref="E1346:J1346"/>
    <mergeCell ref="E1348:J1348"/>
    <mergeCell ref="E1350:J1350"/>
    <mergeCell ref="E1352:J1352"/>
    <mergeCell ref="E1354:J1354"/>
    <mergeCell ref="E1496:J1496"/>
    <mergeCell ref="E1344:J1344"/>
    <mergeCell ref="E1364:J1364"/>
    <mergeCell ref="E1366:J1366"/>
    <mergeCell ref="E1427:J1427"/>
    <mergeCell ref="E1431:J1431"/>
    <mergeCell ref="E1481:J1481"/>
    <mergeCell ref="E1483:J1483"/>
    <mergeCell ref="E1488:J1488"/>
    <mergeCell ref="E1398:J1398"/>
    <mergeCell ref="E1374:J1374"/>
    <mergeCell ref="E1380:J1380"/>
    <mergeCell ref="E1388:J1388"/>
    <mergeCell ref="E1390:J1390"/>
    <mergeCell ref="E1392:J1392"/>
    <mergeCell ref="E1386:J1386"/>
    <mergeCell ref="E1362:J1362"/>
    <mergeCell ref="E1368:J1368"/>
    <mergeCell ref="E1370:J1370"/>
    <mergeCell ref="E1187:J1187"/>
    <mergeCell ref="E1189:J1189"/>
    <mergeCell ref="E1191:J1191"/>
    <mergeCell ref="E1195:J1195"/>
    <mergeCell ref="E1199:J1199"/>
    <mergeCell ref="E1205:J1205"/>
    <mergeCell ref="E1210:J1210"/>
    <mergeCell ref="E1214:J1214"/>
    <mergeCell ref="E1218:J1218"/>
    <mergeCell ref="E1203:J1203"/>
    <mergeCell ref="E1222:J1222"/>
    <mergeCell ref="E1228:J1228"/>
    <mergeCell ref="E1232:J1232"/>
    <mergeCell ref="E1236:J1236"/>
    <mergeCell ref="E1242:J1242"/>
    <mergeCell ref="E1247:J1247"/>
    <mergeCell ref="E1252:J1252"/>
    <mergeCell ref="E1280:J1280"/>
    <mergeCell ref="E1285:J1285"/>
    <mergeCell ref="E1290:J1290"/>
    <mergeCell ref="E1296:J1296"/>
    <mergeCell ref="E1338:J1338"/>
    <mergeCell ref="E1356:J1356"/>
    <mergeCell ref="E1358:J1358"/>
    <mergeCell ref="E1322:J1322"/>
    <mergeCell ref="E1324:J1324"/>
    <mergeCell ref="E1360:J1360"/>
    <mergeCell ref="E1270:J1270"/>
    <mergeCell ref="E1272:J1272"/>
    <mergeCell ref="E1278:J1278"/>
    <mergeCell ref="E1330:J1330"/>
    <mergeCell ref="E1332:J1332"/>
    <mergeCell ref="E1334:J1334"/>
    <mergeCell ref="E1336:J1336"/>
    <mergeCell ref="E1240:J1240"/>
    <mergeCell ref="E1256:J1256"/>
    <mergeCell ref="E1260:J1260"/>
    <mergeCell ref="E1226:J1226"/>
    <mergeCell ref="E1262:J1262"/>
    <mergeCell ref="E1266:J1266"/>
    <mergeCell ref="E1274:J1274"/>
    <mergeCell ref="E1326:J1326"/>
    <mergeCell ref="E1328:J1328"/>
    <mergeCell ref="E1294:J1294"/>
    <mergeCell ref="E1300:J1300"/>
    <mergeCell ref="E1316:J1316"/>
    <mergeCell ref="E1318:J1318"/>
    <mergeCell ref="E1320:J1320"/>
    <mergeCell ref="E1312:J1312"/>
    <mergeCell ref="E1307:J1307"/>
    <mergeCell ref="E1302:J1302"/>
    <mergeCell ref="E1179:J1179"/>
    <mergeCell ref="E1181:J1181"/>
    <mergeCell ref="E1183:J1183"/>
    <mergeCell ref="E1185:J1185"/>
    <mergeCell ref="E1173:J1173"/>
    <mergeCell ref="E1135:J1135"/>
    <mergeCell ref="E1107:J1107"/>
    <mergeCell ref="E1109:J1109"/>
    <mergeCell ref="E1113:J1113"/>
    <mergeCell ref="E1165:J1165"/>
    <mergeCell ref="E1167:J1167"/>
    <mergeCell ref="E1171:J1171"/>
    <mergeCell ref="E1175:J1175"/>
    <mergeCell ref="E1177:J1177"/>
    <mergeCell ref="E1160:J1160"/>
    <mergeCell ref="E1139:J1139"/>
    <mergeCell ref="E1141:J1141"/>
    <mergeCell ref="E1146:J1146"/>
    <mergeCell ref="E1148:J1148"/>
    <mergeCell ref="E1154:J1154"/>
    <mergeCell ref="E1048:J1048"/>
    <mergeCell ref="E1117:J1117"/>
    <mergeCell ref="E1119:J1119"/>
    <mergeCell ref="E1123:J1123"/>
    <mergeCell ref="E1125:J1125"/>
    <mergeCell ref="E1130:J1130"/>
    <mergeCell ref="E1073:J1073"/>
    <mergeCell ref="E1075:J1075"/>
    <mergeCell ref="E1079:J1079"/>
    <mergeCell ref="E1083:J1083"/>
    <mergeCell ref="E1087:J1087"/>
    <mergeCell ref="E1089:J1089"/>
    <mergeCell ref="E1094:J1094"/>
    <mergeCell ref="E1099:J1099"/>
    <mergeCell ref="E1103:J1103"/>
    <mergeCell ref="E1046:J1046"/>
    <mergeCell ref="E1050:J1050"/>
    <mergeCell ref="E1052:J1052"/>
    <mergeCell ref="E1054:J1054"/>
    <mergeCell ref="E1058:J1058"/>
    <mergeCell ref="E1062:J1062"/>
    <mergeCell ref="E1067:J1067"/>
    <mergeCell ref="E1071:J1071"/>
    <mergeCell ref="E560:J560"/>
    <mergeCell ref="E566:J566"/>
    <mergeCell ref="E574:J574"/>
    <mergeCell ref="E579:J579"/>
    <mergeCell ref="E616:J616"/>
    <mergeCell ref="E618:J618"/>
    <mergeCell ref="E766:J766"/>
    <mergeCell ref="E762:J762"/>
    <mergeCell ref="E1015:J1015"/>
    <mergeCell ref="E1017:J1017"/>
    <mergeCell ref="E1021:J1021"/>
    <mergeCell ref="E1026:J1026"/>
    <mergeCell ref="E1028:J1028"/>
    <mergeCell ref="E1030:J1030"/>
    <mergeCell ref="E1034:J1034"/>
    <mergeCell ref="E1040:J1040"/>
    <mergeCell ref="E959:J959"/>
    <mergeCell ref="E961:J961"/>
    <mergeCell ref="E966:J966"/>
    <mergeCell ref="E971:J971"/>
    <mergeCell ref="E975:J975"/>
    <mergeCell ref="E979:J979"/>
    <mergeCell ref="E981:J981"/>
    <mergeCell ref="E1044:J1044"/>
    <mergeCell ref="E1038:J1038"/>
    <mergeCell ref="E1042:J1042"/>
    <mergeCell ref="E985:J985"/>
    <mergeCell ref="E989:J989"/>
    <mergeCell ref="E991:J991"/>
    <mergeCell ref="E993:J993"/>
    <mergeCell ref="E997:J997"/>
    <mergeCell ref="E1002:J1002"/>
    <mergeCell ref="E1004:J1004"/>
    <mergeCell ref="E1008:J1008"/>
    <mergeCell ref="E1013:J1013"/>
    <mergeCell ref="E930:J930"/>
    <mergeCell ref="E934:J934"/>
    <mergeCell ref="E939:J939"/>
    <mergeCell ref="E943:J943"/>
    <mergeCell ref="E945:J945"/>
    <mergeCell ref="E947:J947"/>
    <mergeCell ref="E921:J921"/>
    <mergeCell ref="E951:J951"/>
    <mergeCell ref="E955:J955"/>
    <mergeCell ref="E913:J913"/>
    <mergeCell ref="E917:J917"/>
    <mergeCell ref="E915:J915"/>
    <mergeCell ref="E901:J901"/>
    <mergeCell ref="E907:J907"/>
    <mergeCell ref="E909:J909"/>
    <mergeCell ref="E919:J919"/>
    <mergeCell ref="E924:J924"/>
    <mergeCell ref="E926:J926"/>
    <mergeCell ref="E876:J876"/>
    <mergeCell ref="E788:J788"/>
    <mergeCell ref="E889:J889"/>
    <mergeCell ref="E891:J891"/>
    <mergeCell ref="E893:J893"/>
    <mergeCell ref="E897:J897"/>
    <mergeCell ref="E903:J903"/>
    <mergeCell ref="E905:J905"/>
    <mergeCell ref="E911:J911"/>
    <mergeCell ref="E821:J821"/>
    <mergeCell ref="E823:J823"/>
    <mergeCell ref="E828:J828"/>
    <mergeCell ref="E833:J833"/>
    <mergeCell ref="E837:J837"/>
    <mergeCell ref="E841:J841"/>
    <mergeCell ref="E865:J865"/>
    <mergeCell ref="E867:J867"/>
    <mergeCell ref="E871:J871"/>
    <mergeCell ref="E844:J844"/>
    <mergeCell ref="E848:J848"/>
    <mergeCell ref="E852:J852"/>
    <mergeCell ref="E854:J854"/>
    <mergeCell ref="E856:J856"/>
    <mergeCell ref="E673:J673"/>
    <mergeCell ref="E792:J792"/>
    <mergeCell ref="E796:J796"/>
    <mergeCell ref="E801:J801"/>
    <mergeCell ref="E805:J805"/>
    <mergeCell ref="E807:J807"/>
    <mergeCell ref="E782:J782"/>
    <mergeCell ref="E784:J784"/>
    <mergeCell ref="E786:J786"/>
    <mergeCell ref="E780:J780"/>
    <mergeCell ref="E778:J778"/>
    <mergeCell ref="E628:J628"/>
    <mergeCell ref="E632:J632"/>
    <mergeCell ref="E564:J564"/>
    <mergeCell ref="E562:J562"/>
    <mergeCell ref="E776:J776"/>
    <mergeCell ref="E764:J764"/>
    <mergeCell ref="E714:J714"/>
    <mergeCell ref="E656:J656"/>
    <mergeCell ref="E689:J689"/>
    <mergeCell ref="E694:J694"/>
    <mergeCell ref="E698:J698"/>
    <mergeCell ref="E702:J702"/>
    <mergeCell ref="E704:J704"/>
    <mergeCell ref="E708:J708"/>
    <mergeCell ref="E684:J684"/>
    <mergeCell ref="E716:J716"/>
    <mergeCell ref="E667:J667"/>
    <mergeCell ref="E768:J768"/>
    <mergeCell ref="E770:J770"/>
    <mergeCell ref="E772:J772"/>
    <mergeCell ref="E731:J731"/>
    <mergeCell ref="E739:J739"/>
    <mergeCell ref="E741:J741"/>
    <mergeCell ref="E745:J745"/>
    <mergeCell ref="E1435:J1435"/>
    <mergeCell ref="E1437:J1437"/>
    <mergeCell ref="E1441:J1441"/>
    <mergeCell ref="E1445:J1445"/>
    <mergeCell ref="E1475:J1475"/>
    <mergeCell ref="E1414:J1414"/>
    <mergeCell ref="E677:J677"/>
    <mergeCell ref="E682:J682"/>
    <mergeCell ref="E720:J720"/>
    <mergeCell ref="E725:J725"/>
    <mergeCell ref="E727:J727"/>
    <mergeCell ref="E736:J736"/>
    <mergeCell ref="E750:J750"/>
    <mergeCell ref="E774:J774"/>
    <mergeCell ref="E752:J752"/>
    <mergeCell ref="E754:J754"/>
    <mergeCell ref="E758:J758"/>
    <mergeCell ref="E860:J860"/>
    <mergeCell ref="E880:J880"/>
    <mergeCell ref="E884:J884"/>
    <mergeCell ref="E878:J878"/>
    <mergeCell ref="E809:J809"/>
    <mergeCell ref="E813:J813"/>
    <mergeCell ref="E817:J817"/>
    <mergeCell ref="E1384:J1384"/>
    <mergeCell ref="E1394:J1394"/>
    <mergeCell ref="E1419:J1419"/>
    <mergeCell ref="E1423:J1423"/>
    <mergeCell ref="E1587:J1587"/>
    <mergeCell ref="E1589:J1589"/>
    <mergeCell ref="E1382:J1382"/>
    <mergeCell ref="E1507:J1507"/>
    <mergeCell ref="E1535:J1535"/>
    <mergeCell ref="E1537:J1537"/>
    <mergeCell ref="E1539:J1539"/>
    <mergeCell ref="E1543:J1543"/>
    <mergeCell ref="E1545:J1545"/>
    <mergeCell ref="E1549:J1549"/>
    <mergeCell ref="E1400:J1400"/>
    <mergeCell ref="E1404:J1404"/>
    <mergeCell ref="E1408:J1408"/>
    <mergeCell ref="E1412:J1412"/>
    <mergeCell ref="E1490:J1490"/>
    <mergeCell ref="E1465:J1465"/>
    <mergeCell ref="E1451:J1451"/>
    <mergeCell ref="E1456:J1456"/>
    <mergeCell ref="E1461:J1461"/>
    <mergeCell ref="E1449:J1449"/>
    <mergeCell ref="E446:J446"/>
    <mergeCell ref="E468:J468"/>
    <mergeCell ref="E472:J472"/>
    <mergeCell ref="E422:J422"/>
    <mergeCell ref="E646:J646"/>
    <mergeCell ref="E712:J712"/>
    <mergeCell ref="E642:J642"/>
    <mergeCell ref="E661:J661"/>
    <mergeCell ref="E665:J665"/>
    <mergeCell ref="E634:J634"/>
    <mergeCell ref="E638:J638"/>
    <mergeCell ref="E644:J644"/>
    <mergeCell ref="E540:J540"/>
    <mergeCell ref="E648:J648"/>
    <mergeCell ref="E652:J652"/>
    <mergeCell ref="E669:J669"/>
    <mergeCell ref="E542:J542"/>
    <mergeCell ref="E544:J544"/>
    <mergeCell ref="E546:J546"/>
    <mergeCell ref="E548:J548"/>
    <mergeCell ref="E550:J550"/>
    <mergeCell ref="E552:J552"/>
    <mergeCell ref="E624:J624"/>
    <mergeCell ref="E626:J626"/>
    <mergeCell ref="E269:J269"/>
    <mergeCell ref="E273:J273"/>
    <mergeCell ref="E277:J277"/>
    <mergeCell ref="E110:J110"/>
    <mergeCell ref="E476:J476"/>
    <mergeCell ref="E480:J480"/>
    <mergeCell ref="E408:J408"/>
    <mergeCell ref="E412:J412"/>
    <mergeCell ref="E414:J414"/>
    <mergeCell ref="E420:J420"/>
    <mergeCell ref="E478:J478"/>
    <mergeCell ref="E466:J466"/>
    <mergeCell ref="E470:J470"/>
    <mergeCell ref="E424:J424"/>
    <mergeCell ref="E450:J450"/>
    <mergeCell ref="E454:J454"/>
    <mergeCell ref="E460:J460"/>
    <mergeCell ref="E462:J462"/>
    <mergeCell ref="E464:J464"/>
    <mergeCell ref="E458:J458"/>
    <mergeCell ref="E410:J410"/>
    <mergeCell ref="E426:J426"/>
    <mergeCell ref="E430:J430"/>
    <mergeCell ref="E442:J442"/>
    <mergeCell ref="E78:J78"/>
    <mergeCell ref="E80:J80"/>
    <mergeCell ref="E82:J82"/>
    <mergeCell ref="E119:J119"/>
    <mergeCell ref="E114:J114"/>
    <mergeCell ref="E388:J388"/>
    <mergeCell ref="E329:J329"/>
    <mergeCell ref="E316:J316"/>
    <mergeCell ref="E376:J376"/>
    <mergeCell ref="E86:J86"/>
    <mergeCell ref="E106:J106"/>
    <mergeCell ref="E102:J102"/>
    <mergeCell ref="E98:J98"/>
    <mergeCell ref="E100:G100"/>
    <mergeCell ref="E90:J90"/>
    <mergeCell ref="E94:J94"/>
    <mergeCell ref="E104:J104"/>
    <mergeCell ref="E359:J359"/>
    <mergeCell ref="E371:J371"/>
    <mergeCell ref="E365:J365"/>
    <mergeCell ref="E313:J313"/>
    <mergeCell ref="E255:J255"/>
    <mergeCell ref="E260:J260"/>
    <mergeCell ref="E264:J264"/>
    <mergeCell ref="B2:N2"/>
    <mergeCell ref="E58:J58"/>
    <mergeCell ref="E44:J44"/>
    <mergeCell ref="E49:J49"/>
    <mergeCell ref="E63:J63"/>
    <mergeCell ref="E28:J28"/>
    <mergeCell ref="E32:J32"/>
    <mergeCell ref="E36:J36"/>
    <mergeCell ref="B3:N3"/>
    <mergeCell ref="E40:J40"/>
    <mergeCell ref="E4:J4"/>
    <mergeCell ref="E22:J22"/>
    <mergeCell ref="E6:J6"/>
    <mergeCell ref="E8:J8"/>
    <mergeCell ref="E12:J12"/>
    <mergeCell ref="E70:J70"/>
    <mergeCell ref="E74:J74"/>
    <mergeCell ref="E197:G197"/>
    <mergeCell ref="E198:J198"/>
    <mergeCell ref="E168:J168"/>
    <mergeCell ref="E161:J161"/>
    <mergeCell ref="E250:J250"/>
    <mergeCell ref="E16:J16"/>
    <mergeCell ref="E68:J68"/>
    <mergeCell ref="E153:J153"/>
    <mergeCell ref="E223:J223"/>
    <mergeCell ref="E227:J227"/>
    <mergeCell ref="E172:J172"/>
    <mergeCell ref="E174:G174"/>
    <mergeCell ref="E176:J176"/>
    <mergeCell ref="E180:J180"/>
    <mergeCell ref="E184:J184"/>
    <mergeCell ref="E54:J54"/>
    <mergeCell ref="E24:J24"/>
    <mergeCell ref="E202:J202"/>
    <mergeCell ref="E206:J206"/>
    <mergeCell ref="E211:J211"/>
    <mergeCell ref="E213:J213"/>
    <mergeCell ref="E218:J218"/>
    <mergeCell ref="E193:J193"/>
    <mergeCell ref="E143:J143"/>
    <mergeCell ref="E123:J123"/>
    <mergeCell ref="E127:G127"/>
    <mergeCell ref="E357:J357"/>
    <mergeCell ref="E380:J380"/>
    <mergeCell ref="E337:J337"/>
    <mergeCell ref="E234:J234"/>
    <mergeCell ref="E238:J238"/>
    <mergeCell ref="E242:J242"/>
    <mergeCell ref="E244:G244"/>
    <mergeCell ref="E246:J246"/>
    <mergeCell ref="E189:J189"/>
    <mergeCell ref="E282:J282"/>
    <mergeCell ref="E309:J309"/>
    <mergeCell ref="E231:J231"/>
    <mergeCell ref="E128:J128"/>
    <mergeCell ref="E132:J132"/>
    <mergeCell ref="E136:J136"/>
    <mergeCell ref="E141:J141"/>
    <mergeCell ref="E148:J148"/>
    <mergeCell ref="E157:J157"/>
    <mergeCell ref="E164:J164"/>
    <mergeCell ref="E268:G268"/>
    <mergeCell ref="E591:J591"/>
    <mergeCell ref="E593:J593"/>
    <mergeCell ref="E585:J585"/>
    <mergeCell ref="E284:J284"/>
    <mergeCell ref="E289:J289"/>
    <mergeCell ref="E294:J294"/>
    <mergeCell ref="E298:J298"/>
    <mergeCell ref="E434:J434"/>
    <mergeCell ref="E438:J438"/>
    <mergeCell ref="E401:J401"/>
    <mergeCell ref="E320:J320"/>
    <mergeCell ref="E302:J302"/>
    <mergeCell ref="E305:J305"/>
    <mergeCell ref="E395:J395"/>
    <mergeCell ref="E418:J418"/>
    <mergeCell ref="E327:J327"/>
    <mergeCell ref="E386:J386"/>
    <mergeCell ref="E406:J406"/>
    <mergeCell ref="E416:J416"/>
    <mergeCell ref="E344:J344"/>
    <mergeCell ref="E378:G378"/>
    <mergeCell ref="E350:J350"/>
    <mergeCell ref="E318:J318"/>
    <mergeCell ref="E352:J352"/>
    <mergeCell ref="E554:J554"/>
    <mergeCell ref="E556:J556"/>
    <mergeCell ref="E1376:J1376"/>
    <mergeCell ref="E484:J484"/>
    <mergeCell ref="E474:J474"/>
    <mergeCell ref="E581:J581"/>
    <mergeCell ref="E583:J583"/>
    <mergeCell ref="E572:J572"/>
    <mergeCell ref="E601:J601"/>
    <mergeCell ref="E603:J603"/>
    <mergeCell ref="E595:J595"/>
    <mergeCell ref="E482:J482"/>
    <mergeCell ref="E502:J502"/>
    <mergeCell ref="E490:J490"/>
    <mergeCell ref="E496:J496"/>
    <mergeCell ref="E504:J504"/>
    <mergeCell ref="E506:J506"/>
    <mergeCell ref="E508:J508"/>
    <mergeCell ref="E486:J486"/>
    <mergeCell ref="E518:J518"/>
    <mergeCell ref="E514:J514"/>
    <mergeCell ref="E516:J516"/>
    <mergeCell ref="E488:J488"/>
    <mergeCell ref="E498:J498"/>
    <mergeCell ref="E1509:J1509"/>
    <mergeCell ref="E1533:J1533"/>
    <mergeCell ref="E1561:J1561"/>
    <mergeCell ref="E1846:J1846"/>
    <mergeCell ref="E1848:J1848"/>
    <mergeCell ref="E524:J524"/>
    <mergeCell ref="E492:J492"/>
    <mergeCell ref="E494:J494"/>
    <mergeCell ref="E510:J510"/>
    <mergeCell ref="E522:J522"/>
    <mergeCell ref="E589:J589"/>
    <mergeCell ref="E526:J526"/>
    <mergeCell ref="E528:J528"/>
    <mergeCell ref="E500:J500"/>
    <mergeCell ref="E520:J520"/>
    <mergeCell ref="E558:J558"/>
    <mergeCell ref="E512:J512"/>
    <mergeCell ref="E532:J532"/>
    <mergeCell ref="E534:J534"/>
    <mergeCell ref="E538:J538"/>
    <mergeCell ref="E530:J530"/>
    <mergeCell ref="E1525:J1525"/>
    <mergeCell ref="E1529:J1529"/>
    <mergeCell ref="E536:J536"/>
    <mergeCell ref="E1520:J1520"/>
    <mergeCell ref="E1541:J1541"/>
    <mergeCell ref="E1547:J1547"/>
    <mergeCell ref="E1591:J1591"/>
    <mergeCell ref="E1579:J1579"/>
    <mergeCell ref="E1577:J1577"/>
    <mergeCell ref="E1603:J1603"/>
    <mergeCell ref="E1605:J1605"/>
    <mergeCell ref="E1551:J1551"/>
    <mergeCell ref="E1531:J1531"/>
    <mergeCell ref="E1553:J1553"/>
    <mergeCell ref="E1555:J1555"/>
    <mergeCell ref="E1557:J1557"/>
    <mergeCell ref="E1559:J1559"/>
    <mergeCell ref="E1629:J1629"/>
    <mergeCell ref="E1633:J1633"/>
    <mergeCell ref="E1597:J1597"/>
    <mergeCell ref="E1599:J1599"/>
    <mergeCell ref="E1601:J1601"/>
    <mergeCell ref="E1631:J1631"/>
    <mergeCell ref="E1571:J1571"/>
    <mergeCell ref="E1573:J1573"/>
    <mergeCell ref="E1581:J1581"/>
    <mergeCell ref="E1583:J1583"/>
    <mergeCell ref="E1575:J1575"/>
    <mergeCell ref="E1585:J1585"/>
    <mergeCell ref="E1613:J1613"/>
    <mergeCell ref="E1615:J1615"/>
    <mergeCell ref="E1595:J1595"/>
    <mergeCell ref="E1593:J1593"/>
    <mergeCell ref="E568:J568"/>
    <mergeCell ref="E570:J570"/>
    <mergeCell ref="E587:J587"/>
    <mergeCell ref="E610:J610"/>
    <mergeCell ref="E620:J620"/>
    <mergeCell ref="E622:J622"/>
    <mergeCell ref="E605:J605"/>
    <mergeCell ref="E630:G630"/>
    <mergeCell ref="E1627:J1627"/>
    <mergeCell ref="E1607:J1607"/>
    <mergeCell ref="E1609:J1609"/>
    <mergeCell ref="E1611:J1611"/>
    <mergeCell ref="E1621:J1621"/>
    <mergeCell ref="E1569:J1569"/>
    <mergeCell ref="E1617:J1617"/>
    <mergeCell ref="E1619:J1619"/>
    <mergeCell ref="E1623:J1623"/>
    <mergeCell ref="E1625:J1625"/>
    <mergeCell ref="E1378:J1378"/>
    <mergeCell ref="E1396:J1396"/>
    <mergeCell ref="E1563:J1563"/>
    <mergeCell ref="E1565:J1565"/>
    <mergeCell ref="E1567:J1567"/>
    <mergeCell ref="E1515:J1515"/>
    <mergeCell ref="E1643:J1643"/>
    <mergeCell ref="E1653:J1653"/>
    <mergeCell ref="E1635:J1635"/>
    <mergeCell ref="E1639:J1639"/>
    <mergeCell ref="E1641:J1641"/>
    <mergeCell ref="E1647:J1647"/>
    <mergeCell ref="E1649:J1649"/>
    <mergeCell ref="E1651:J1651"/>
    <mergeCell ref="E1637:J1637"/>
    <mergeCell ref="E1645:J1645"/>
    <mergeCell ref="E1655:J1655"/>
    <mergeCell ref="E1657:J1657"/>
    <mergeCell ref="E1659:J1659"/>
    <mergeCell ref="E1661:J1661"/>
    <mergeCell ref="E1663:J1663"/>
    <mergeCell ref="E1665:J1665"/>
    <mergeCell ref="E1667:J1667"/>
    <mergeCell ref="E1669:J1669"/>
    <mergeCell ref="E1850:J1850"/>
    <mergeCell ref="E1822:J1822"/>
    <mergeCell ref="E1683:J1683"/>
    <mergeCell ref="E1685:J1685"/>
    <mergeCell ref="E1687:J1687"/>
    <mergeCell ref="E1671:J1671"/>
    <mergeCell ref="E1673:J1673"/>
    <mergeCell ref="E1844:J1844"/>
    <mergeCell ref="E1699:J1699"/>
    <mergeCell ref="E1703:J1703"/>
    <mergeCell ref="E1707:J1707"/>
    <mergeCell ref="E1709:J1709"/>
    <mergeCell ref="E1714:J1714"/>
    <mergeCell ref="E1675:J1675"/>
    <mergeCell ref="E1746:J1746"/>
    <mergeCell ref="E1689:J1689"/>
    <mergeCell ref="E1677:J1677"/>
    <mergeCell ref="E1679:J1679"/>
    <mergeCell ref="E1681:J1681"/>
    <mergeCell ref="E1852:J1852"/>
    <mergeCell ref="E1854:J1854"/>
    <mergeCell ref="E1894:J1894"/>
    <mergeCell ref="E1868:J1868"/>
    <mergeCell ref="E1870:J1870"/>
    <mergeCell ref="E1872:J1872"/>
    <mergeCell ref="E1884:J1884"/>
    <mergeCell ref="E1856:J1856"/>
    <mergeCell ref="E1858:J1858"/>
    <mergeCell ref="E1860:J1860"/>
    <mergeCell ref="E1862:J1862"/>
    <mergeCell ref="E1864:J1864"/>
    <mergeCell ref="E1866:J1866"/>
    <mergeCell ref="E1826:J1826"/>
    <mergeCell ref="E1828:J1828"/>
    <mergeCell ref="E1830:J1830"/>
    <mergeCell ref="E1832:J1832"/>
    <mergeCell ref="E1842:J1842"/>
    <mergeCell ref="E1904:J1904"/>
    <mergeCell ref="E1906:J1906"/>
    <mergeCell ref="E1908:J1908"/>
    <mergeCell ref="E1910:J1910"/>
    <mergeCell ref="E1912:J1912"/>
    <mergeCell ref="E1886:J1886"/>
    <mergeCell ref="E1888:J1888"/>
    <mergeCell ref="E1890:J1890"/>
    <mergeCell ref="E1892:J1892"/>
    <mergeCell ref="E1914:J1914"/>
    <mergeCell ref="E1916:J1916"/>
    <mergeCell ref="E1918:J1918"/>
    <mergeCell ref="E1896:J1896"/>
    <mergeCell ref="E1898:J1898"/>
    <mergeCell ref="E1900:J1900"/>
    <mergeCell ref="E1902:J1902"/>
    <mergeCell ref="E2084:J2084"/>
    <mergeCell ref="E2085:J2085"/>
    <mergeCell ref="E1924:J1924"/>
    <mergeCell ref="E1928:J1928"/>
    <mergeCell ref="E1930:J1930"/>
    <mergeCell ref="E1934:J1934"/>
    <mergeCell ref="E1938:J1938"/>
    <mergeCell ref="E1942:J1942"/>
    <mergeCell ref="E1944:J1944"/>
    <mergeCell ref="E1949:J1949"/>
    <mergeCell ref="E1954:J1954"/>
    <mergeCell ref="E1958:J1958"/>
    <mergeCell ref="E1962:J1962"/>
    <mergeCell ref="E1964:J1964"/>
    <mergeCell ref="E1968:J1968"/>
    <mergeCell ref="E1972:J1972"/>
    <mergeCell ref="E2012:J2012"/>
    <mergeCell ref="E2141:J2141"/>
    <mergeCell ref="E2143:J2143"/>
    <mergeCell ref="E2147:J2147"/>
    <mergeCell ref="E2148:J2148"/>
    <mergeCell ref="E2152:J2152"/>
    <mergeCell ref="E2156:J2156"/>
    <mergeCell ref="E2160:J2160"/>
    <mergeCell ref="E2108:J2108"/>
    <mergeCell ref="E2150:J2150"/>
    <mergeCell ref="E2145:J2145"/>
    <mergeCell ref="E2154:J2154"/>
    <mergeCell ref="E2158:J2158"/>
    <mergeCell ref="E2111:J2111"/>
    <mergeCell ref="E2113:J2113"/>
    <mergeCell ref="E2115:J2115"/>
    <mergeCell ref="E2117:J2117"/>
    <mergeCell ref="E2119:J2119"/>
    <mergeCell ref="E2121:J2121"/>
    <mergeCell ref="E2123:J2123"/>
    <mergeCell ref="E2139:J2139"/>
    <mergeCell ref="E2125:J2125"/>
    <mergeCell ref="E2127:J2127"/>
    <mergeCell ref="E2129:J2129"/>
    <mergeCell ref="E2131:J2131"/>
    <mergeCell ref="E2196:J2196"/>
    <mergeCell ref="E2164:J2164"/>
    <mergeCell ref="E2169:J2169"/>
    <mergeCell ref="E2170:J2170"/>
    <mergeCell ref="E2171:J2171"/>
    <mergeCell ref="E2172:J2172"/>
    <mergeCell ref="E2173:J2173"/>
    <mergeCell ref="E2174:J2174"/>
    <mergeCell ref="E2178:J2178"/>
    <mergeCell ref="E2179:J2179"/>
    <mergeCell ref="E2184:J2184"/>
    <mergeCell ref="E2188:J2188"/>
    <mergeCell ref="E2189:J2189"/>
    <mergeCell ref="E2186:J2186"/>
    <mergeCell ref="E2191:J2191"/>
    <mergeCell ref="E2192:J2192"/>
    <mergeCell ref="E2193:J2193"/>
    <mergeCell ref="E2166:J2166"/>
    <mergeCell ref="E2167:J2167"/>
    <mergeCell ref="E2176:J2176"/>
    <mergeCell ref="E2183:J2183"/>
    <mergeCell ref="E2180:J2180"/>
    <mergeCell ref="E2181:J2181"/>
    <mergeCell ref="E2194:J2194"/>
    <mergeCell ref="E2197:J2197"/>
    <mergeCell ref="E2286:J2286"/>
    <mergeCell ref="E2271:J2271"/>
    <mergeCell ref="E2275:J2275"/>
    <mergeCell ref="E2284:J2284"/>
    <mergeCell ref="E2240:J2240"/>
    <mergeCell ref="E2244:J2244"/>
    <mergeCell ref="E2245:J2245"/>
    <mergeCell ref="E2249:J2249"/>
    <mergeCell ref="E2250:J2250"/>
    <mergeCell ref="E2254:J2254"/>
    <mergeCell ref="E2259:J2259"/>
    <mergeCell ref="E2263:J2263"/>
    <mergeCell ref="E2268:J2268"/>
    <mergeCell ref="E2266:J2266"/>
    <mergeCell ref="E2230:J2230"/>
    <mergeCell ref="E2216:J2216"/>
    <mergeCell ref="E2222:J2222"/>
    <mergeCell ref="E2227:J2227"/>
    <mergeCell ref="E2228:J2228"/>
    <mergeCell ref="E2195:J2195"/>
    <mergeCell ref="E2291:J2291"/>
    <mergeCell ref="E2293:J2293"/>
    <mergeCell ref="E2199:J2199"/>
    <mergeCell ref="E2200:J2200"/>
    <mergeCell ref="E2204:J2204"/>
    <mergeCell ref="E2208:J2208"/>
    <mergeCell ref="E2209:J2209"/>
    <mergeCell ref="E2220:J2220"/>
    <mergeCell ref="E2217:J2217"/>
    <mergeCell ref="E2218:J2218"/>
    <mergeCell ref="E2202:J2202"/>
    <mergeCell ref="E2206:J2206"/>
    <mergeCell ref="E2211:J2211"/>
    <mergeCell ref="E2212:J2212"/>
    <mergeCell ref="E2213:J2213"/>
    <mergeCell ref="E2214:J2214"/>
    <mergeCell ref="E2215:J2215"/>
    <mergeCell ref="E2232:J2232"/>
    <mergeCell ref="E2233:J2233"/>
    <mergeCell ref="E2234:J2234"/>
    <mergeCell ref="E2235:J2235"/>
    <mergeCell ref="E2224:J2224"/>
    <mergeCell ref="E2225:J2225"/>
    <mergeCell ref="B575:B577"/>
    <mergeCell ref="E2297:J2297"/>
    <mergeCell ref="E2299:J2299"/>
    <mergeCell ref="E2289:J2289"/>
    <mergeCell ref="E2295:J2295"/>
    <mergeCell ref="E2237:J2237"/>
    <mergeCell ref="E2238:J2238"/>
    <mergeCell ref="E2242:J2242"/>
    <mergeCell ref="E2247:J2247"/>
    <mergeCell ref="E2252:J2252"/>
    <mergeCell ref="E2256:J2256"/>
    <mergeCell ref="E2257:J2257"/>
    <mergeCell ref="E2261:J2261"/>
    <mergeCell ref="E2265:J2265"/>
    <mergeCell ref="E2287:J2287"/>
    <mergeCell ref="E2269:J2269"/>
    <mergeCell ref="E2273:J2273"/>
    <mergeCell ref="E2277:J2277"/>
    <mergeCell ref="E2278:J2278"/>
    <mergeCell ref="E2279:J2279"/>
    <mergeCell ref="E2280:J2280"/>
    <mergeCell ref="E2281:J2281"/>
    <mergeCell ref="E2282:J2282"/>
    <mergeCell ref="E2162:J2162"/>
  </mergeCells>
  <pageMargins left="0.51181102362204722" right="0.51181102362204722" top="0.78740157480314965" bottom="0.78740157480314965" header="0.31496062992125984" footer="0.31496062992125984"/>
  <pageSetup paperSize="9" scale="75" orientation="portrait"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797"/>
  <sheetViews>
    <sheetView topLeftCell="A4742" workbookViewId="0">
      <selection activeCell="A4750" sqref="A4750"/>
    </sheetView>
  </sheetViews>
  <sheetFormatPr defaultRowHeight="12.75"/>
  <cols>
    <col min="1" max="1" width="10.7109375" style="4" customWidth="1"/>
    <col min="2" max="2" width="47.85546875" style="5" customWidth="1"/>
    <col min="3" max="3" width="10.7109375" style="4" customWidth="1"/>
    <col min="4" max="4" width="18.7109375" customWidth="1"/>
    <col min="7" max="7" width="11.85546875" customWidth="1"/>
  </cols>
  <sheetData>
    <row r="1" spans="1:4" ht="12.75" customHeight="1">
      <c r="A1" s="337">
        <v>97141</v>
      </c>
      <c r="B1" s="338" t="s">
        <v>393</v>
      </c>
      <c r="C1" s="337" t="s">
        <v>172</v>
      </c>
      <c r="D1" s="339">
        <v>5.38</v>
      </c>
    </row>
    <row r="2" spans="1:4" ht="67.5">
      <c r="A2" s="337">
        <v>97142</v>
      </c>
      <c r="B2" s="338" t="s">
        <v>394</v>
      </c>
      <c r="C2" s="337" t="s">
        <v>172</v>
      </c>
      <c r="D2" s="339">
        <v>5.99</v>
      </c>
    </row>
    <row r="3" spans="1:4" ht="67.5">
      <c r="A3" s="337">
        <v>97143</v>
      </c>
      <c r="B3" s="338" t="s">
        <v>395</v>
      </c>
      <c r="C3" s="337" t="s">
        <v>172</v>
      </c>
      <c r="D3" s="339">
        <v>7.55</v>
      </c>
    </row>
    <row r="4" spans="1:4" ht="67.5">
      <c r="A4" s="337">
        <v>97144</v>
      </c>
      <c r="B4" s="338" t="s">
        <v>396</v>
      </c>
      <c r="C4" s="337" t="s">
        <v>172</v>
      </c>
      <c r="D4" s="339">
        <v>9.07</v>
      </c>
    </row>
    <row r="5" spans="1:4" ht="67.5">
      <c r="A5" s="337">
        <v>97145</v>
      </c>
      <c r="B5" s="338" t="s">
        <v>397</v>
      </c>
      <c r="C5" s="337" t="s">
        <v>172</v>
      </c>
      <c r="D5" s="339">
        <v>10.65</v>
      </c>
    </row>
    <row r="6" spans="1:4" ht="67.5">
      <c r="A6" s="337">
        <v>97146</v>
      </c>
      <c r="B6" s="338" t="s">
        <v>398</v>
      </c>
      <c r="C6" s="337" t="s">
        <v>172</v>
      </c>
      <c r="D6" s="339">
        <v>12.21</v>
      </c>
    </row>
    <row r="7" spans="1:4" ht="67.5">
      <c r="A7" s="337">
        <v>97147</v>
      </c>
      <c r="B7" s="338" t="s">
        <v>399</v>
      </c>
      <c r="C7" s="337" t="s">
        <v>172</v>
      </c>
      <c r="D7" s="339">
        <v>13.77</v>
      </c>
    </row>
    <row r="8" spans="1:4" ht="67.5">
      <c r="A8" s="337">
        <v>97148</v>
      </c>
      <c r="B8" s="338" t="s">
        <v>400</v>
      </c>
      <c r="C8" s="337" t="s">
        <v>172</v>
      </c>
      <c r="D8" s="339">
        <v>15.32</v>
      </c>
    </row>
    <row r="9" spans="1:4" ht="67.5">
      <c r="A9" s="337">
        <v>97149</v>
      </c>
      <c r="B9" s="338" t="s">
        <v>401</v>
      </c>
      <c r="C9" s="337" t="s">
        <v>172</v>
      </c>
      <c r="D9" s="339">
        <v>16.899999999999999</v>
      </c>
    </row>
    <row r="10" spans="1:4" ht="67.5">
      <c r="A10" s="337">
        <v>97150</v>
      </c>
      <c r="B10" s="338" t="s">
        <v>402</v>
      </c>
      <c r="C10" s="337" t="s">
        <v>172</v>
      </c>
      <c r="D10" s="339">
        <v>20.89</v>
      </c>
    </row>
    <row r="11" spans="1:4" ht="67.5">
      <c r="A11" s="337">
        <v>97151</v>
      </c>
      <c r="B11" s="338" t="s">
        <v>403</v>
      </c>
      <c r="C11" s="337" t="s">
        <v>172</v>
      </c>
      <c r="D11" s="339">
        <v>24.38</v>
      </c>
    </row>
    <row r="12" spans="1:4" ht="67.5">
      <c r="A12" s="337">
        <v>97152</v>
      </c>
      <c r="B12" s="338" t="s">
        <v>404</v>
      </c>
      <c r="C12" s="337" t="s">
        <v>172</v>
      </c>
      <c r="D12" s="339">
        <v>27.7</v>
      </c>
    </row>
    <row r="13" spans="1:4" ht="67.5">
      <c r="A13" s="337">
        <v>97153</v>
      </c>
      <c r="B13" s="338" t="s">
        <v>405</v>
      </c>
      <c r="C13" s="337" t="s">
        <v>172</v>
      </c>
      <c r="D13" s="339">
        <v>31.13</v>
      </c>
    </row>
    <row r="14" spans="1:4" ht="67.5">
      <c r="A14" s="337">
        <v>97154</v>
      </c>
      <c r="B14" s="338" t="s">
        <v>406</v>
      </c>
      <c r="C14" s="337" t="s">
        <v>172</v>
      </c>
      <c r="D14" s="339">
        <v>34.58</v>
      </c>
    </row>
    <row r="15" spans="1:4" ht="67.5">
      <c r="A15" s="337">
        <v>97155</v>
      </c>
      <c r="B15" s="338" t="s">
        <v>407</v>
      </c>
      <c r="C15" s="337" t="s">
        <v>172</v>
      </c>
      <c r="D15" s="339">
        <v>38.04</v>
      </c>
    </row>
    <row r="16" spans="1:4" ht="67.5">
      <c r="A16" s="337">
        <v>97156</v>
      </c>
      <c r="B16" s="338" t="s">
        <v>408</v>
      </c>
      <c r="C16" s="337" t="s">
        <v>172</v>
      </c>
      <c r="D16" s="339">
        <v>45.22</v>
      </c>
    </row>
    <row r="17" spans="1:4" ht="67.5">
      <c r="A17" s="337">
        <v>97157</v>
      </c>
      <c r="B17" s="338" t="s">
        <v>409</v>
      </c>
      <c r="C17" s="337" t="s">
        <v>172</v>
      </c>
      <c r="D17" s="339">
        <v>3.31</v>
      </c>
    </row>
    <row r="18" spans="1:4" ht="67.5">
      <c r="A18" s="337">
        <v>97158</v>
      </c>
      <c r="B18" s="338" t="s">
        <v>410</v>
      </c>
      <c r="C18" s="337" t="s">
        <v>172</v>
      </c>
      <c r="D18" s="339">
        <v>3.7</v>
      </c>
    </row>
    <row r="19" spans="1:4" ht="67.5">
      <c r="A19" s="337">
        <v>97159</v>
      </c>
      <c r="B19" s="338" t="s">
        <v>411</v>
      </c>
      <c r="C19" s="337" t="s">
        <v>172</v>
      </c>
      <c r="D19" s="339">
        <v>4.66</v>
      </c>
    </row>
    <row r="20" spans="1:4" ht="67.5">
      <c r="A20" s="337">
        <v>97160</v>
      </c>
      <c r="B20" s="338" t="s">
        <v>412</v>
      </c>
      <c r="C20" s="337" t="s">
        <v>172</v>
      </c>
      <c r="D20" s="339">
        <v>5.61</v>
      </c>
    </row>
    <row r="21" spans="1:4" ht="67.5">
      <c r="A21" s="337">
        <v>97161</v>
      </c>
      <c r="B21" s="338" t="s">
        <v>413</v>
      </c>
      <c r="C21" s="337" t="s">
        <v>172</v>
      </c>
      <c r="D21" s="339">
        <v>6.58</v>
      </c>
    </row>
    <row r="22" spans="1:4" ht="67.5">
      <c r="A22" s="337">
        <v>97162</v>
      </c>
      <c r="B22" s="338" t="s">
        <v>414</v>
      </c>
      <c r="C22" s="337" t="s">
        <v>172</v>
      </c>
      <c r="D22" s="339">
        <v>7.56</v>
      </c>
    </row>
    <row r="23" spans="1:4" ht="67.5">
      <c r="A23" s="337">
        <v>97163</v>
      </c>
      <c r="B23" s="338" t="s">
        <v>415</v>
      </c>
      <c r="C23" s="337" t="s">
        <v>172</v>
      </c>
      <c r="D23" s="339">
        <v>8.52</v>
      </c>
    </row>
    <row r="24" spans="1:4" ht="67.5">
      <c r="A24" s="337">
        <v>97164</v>
      </c>
      <c r="B24" s="338" t="s">
        <v>416</v>
      </c>
      <c r="C24" s="337" t="s">
        <v>172</v>
      </c>
      <c r="D24" s="339">
        <v>9.5</v>
      </c>
    </row>
    <row r="25" spans="1:4" ht="67.5">
      <c r="A25" s="337">
        <v>97165</v>
      </c>
      <c r="B25" s="338" t="s">
        <v>417</v>
      </c>
      <c r="C25" s="337" t="s">
        <v>172</v>
      </c>
      <c r="D25" s="339">
        <v>10.48</v>
      </c>
    </row>
    <row r="26" spans="1:4" ht="67.5">
      <c r="A26" s="337">
        <v>97166</v>
      </c>
      <c r="B26" s="338" t="s">
        <v>418</v>
      </c>
      <c r="C26" s="337" t="s">
        <v>172</v>
      </c>
      <c r="D26" s="339">
        <v>12.94</v>
      </c>
    </row>
    <row r="27" spans="1:4" ht="67.5">
      <c r="A27" s="337">
        <v>97167</v>
      </c>
      <c r="B27" s="338" t="s">
        <v>419</v>
      </c>
      <c r="C27" s="337" t="s">
        <v>172</v>
      </c>
      <c r="D27" s="339">
        <v>15.12</v>
      </c>
    </row>
    <row r="28" spans="1:4" ht="67.5">
      <c r="A28" s="337">
        <v>97168</v>
      </c>
      <c r="B28" s="338" t="s">
        <v>420</v>
      </c>
      <c r="C28" s="337" t="s">
        <v>172</v>
      </c>
      <c r="D28" s="339">
        <v>17.13</v>
      </c>
    </row>
    <row r="29" spans="1:4" ht="67.5">
      <c r="A29" s="337">
        <v>97169</v>
      </c>
      <c r="B29" s="338" t="s">
        <v>421</v>
      </c>
      <c r="C29" s="337" t="s">
        <v>172</v>
      </c>
      <c r="D29" s="339">
        <v>19.25</v>
      </c>
    </row>
    <row r="30" spans="1:4" ht="67.5">
      <c r="A30" s="337">
        <v>97170</v>
      </c>
      <c r="B30" s="338" t="s">
        <v>422</v>
      </c>
      <c r="C30" s="337" t="s">
        <v>172</v>
      </c>
      <c r="D30" s="339">
        <v>21.38</v>
      </c>
    </row>
    <row r="31" spans="1:4" ht="67.5">
      <c r="A31" s="337">
        <v>97171</v>
      </c>
      <c r="B31" s="338" t="s">
        <v>423</v>
      </c>
      <c r="C31" s="337" t="s">
        <v>172</v>
      </c>
      <c r="D31" s="339">
        <v>23.53</v>
      </c>
    </row>
    <row r="32" spans="1:4" ht="67.5">
      <c r="A32" s="337">
        <v>97172</v>
      </c>
      <c r="B32" s="338" t="s">
        <v>424</v>
      </c>
      <c r="C32" s="337" t="s">
        <v>172</v>
      </c>
      <c r="D32" s="339">
        <v>28.1</v>
      </c>
    </row>
    <row r="33" spans="1:4" ht="67.5">
      <c r="A33" s="337">
        <v>97173</v>
      </c>
      <c r="B33" s="338" t="s">
        <v>425</v>
      </c>
      <c r="C33" s="337" t="s">
        <v>172</v>
      </c>
      <c r="D33" s="339">
        <v>21.45</v>
      </c>
    </row>
    <row r="34" spans="1:4" ht="67.5">
      <c r="A34" s="337">
        <v>97174</v>
      </c>
      <c r="B34" s="338" t="s">
        <v>426</v>
      </c>
      <c r="C34" s="337" t="s">
        <v>172</v>
      </c>
      <c r="D34" s="339">
        <v>24.81</v>
      </c>
    </row>
    <row r="35" spans="1:4" ht="67.5">
      <c r="A35" s="337">
        <v>97175</v>
      </c>
      <c r="B35" s="338" t="s">
        <v>427</v>
      </c>
      <c r="C35" s="337" t="s">
        <v>172</v>
      </c>
      <c r="D35" s="339">
        <v>28.16</v>
      </c>
    </row>
    <row r="36" spans="1:4" ht="67.5">
      <c r="A36" s="337">
        <v>97176</v>
      </c>
      <c r="B36" s="338" t="s">
        <v>428</v>
      </c>
      <c r="C36" s="337" t="s">
        <v>172</v>
      </c>
      <c r="D36" s="339">
        <v>31.49</v>
      </c>
    </row>
    <row r="37" spans="1:4" ht="81">
      <c r="A37" s="337">
        <v>97177</v>
      </c>
      <c r="B37" s="338" t="s">
        <v>429</v>
      </c>
      <c r="C37" s="337" t="s">
        <v>172</v>
      </c>
      <c r="D37" s="339">
        <v>38.200000000000003</v>
      </c>
    </row>
    <row r="38" spans="1:4" ht="81">
      <c r="A38" s="337">
        <v>97178</v>
      </c>
      <c r="B38" s="338" t="s">
        <v>430</v>
      </c>
      <c r="C38" s="337" t="s">
        <v>172</v>
      </c>
      <c r="D38" s="339">
        <v>44.9</v>
      </c>
    </row>
    <row r="39" spans="1:4" ht="81">
      <c r="A39" s="337">
        <v>97179</v>
      </c>
      <c r="B39" s="338" t="s">
        <v>431</v>
      </c>
      <c r="C39" s="337" t="s">
        <v>172</v>
      </c>
      <c r="D39" s="339">
        <v>51.6</v>
      </c>
    </row>
    <row r="40" spans="1:4" ht="81">
      <c r="A40" s="337">
        <v>97180</v>
      </c>
      <c r="B40" s="338" t="s">
        <v>432</v>
      </c>
      <c r="C40" s="337" t="s">
        <v>172</v>
      </c>
      <c r="D40" s="339">
        <v>58.3</v>
      </c>
    </row>
    <row r="41" spans="1:4" ht="81">
      <c r="A41" s="337">
        <v>97181</v>
      </c>
      <c r="B41" s="338" t="s">
        <v>433</v>
      </c>
      <c r="C41" s="337" t="s">
        <v>172</v>
      </c>
      <c r="D41" s="339">
        <v>67.989999999999995</v>
      </c>
    </row>
    <row r="42" spans="1:4" ht="81">
      <c r="A42" s="337">
        <v>97182</v>
      </c>
      <c r="B42" s="338" t="s">
        <v>434</v>
      </c>
      <c r="C42" s="337" t="s">
        <v>172</v>
      </c>
      <c r="D42" s="339">
        <v>74.989999999999995</v>
      </c>
    </row>
    <row r="43" spans="1:4" ht="67.5">
      <c r="A43" s="337">
        <v>97183</v>
      </c>
      <c r="B43" s="338" t="s">
        <v>435</v>
      </c>
      <c r="C43" s="337" t="s">
        <v>172</v>
      </c>
      <c r="D43" s="339">
        <v>17.28</v>
      </c>
    </row>
    <row r="44" spans="1:4" ht="67.5">
      <c r="A44" s="337">
        <v>97184</v>
      </c>
      <c r="B44" s="338" t="s">
        <v>436</v>
      </c>
      <c r="C44" s="337" t="s">
        <v>172</v>
      </c>
      <c r="D44" s="339">
        <v>20.04</v>
      </c>
    </row>
    <row r="45" spans="1:4" ht="67.5">
      <c r="A45" s="337">
        <v>97185</v>
      </c>
      <c r="B45" s="338" t="s">
        <v>437</v>
      </c>
      <c r="C45" s="337" t="s">
        <v>172</v>
      </c>
      <c r="D45" s="339">
        <v>22.79</v>
      </c>
    </row>
    <row r="46" spans="1:4" ht="67.5">
      <c r="A46" s="337">
        <v>97186</v>
      </c>
      <c r="B46" s="338" t="s">
        <v>438</v>
      </c>
      <c r="C46" s="337" t="s">
        <v>172</v>
      </c>
      <c r="D46" s="339">
        <v>25.52</v>
      </c>
    </row>
    <row r="47" spans="1:4" ht="81">
      <c r="A47" s="337">
        <v>97187</v>
      </c>
      <c r="B47" s="338" t="s">
        <v>439</v>
      </c>
      <c r="C47" s="337" t="s">
        <v>172</v>
      </c>
      <c r="D47" s="339">
        <v>31.02</v>
      </c>
    </row>
    <row r="48" spans="1:4" ht="81">
      <c r="A48" s="337">
        <v>97188</v>
      </c>
      <c r="B48" s="338" t="s">
        <v>440</v>
      </c>
      <c r="C48" s="337" t="s">
        <v>172</v>
      </c>
      <c r="D48" s="339">
        <v>36.49</v>
      </c>
    </row>
    <row r="49" spans="1:4" ht="81">
      <c r="A49" s="337">
        <v>97189</v>
      </c>
      <c r="B49" s="338" t="s">
        <v>441</v>
      </c>
      <c r="C49" s="337" t="s">
        <v>172</v>
      </c>
      <c r="D49" s="339">
        <v>42</v>
      </c>
    </row>
    <row r="50" spans="1:4" ht="81">
      <c r="A50" s="337">
        <v>97190</v>
      </c>
      <c r="B50" s="338" t="s">
        <v>442</v>
      </c>
      <c r="C50" s="337" t="s">
        <v>172</v>
      </c>
      <c r="D50" s="339">
        <v>47.49</v>
      </c>
    </row>
    <row r="51" spans="1:4" ht="81">
      <c r="A51" s="337">
        <v>97191</v>
      </c>
      <c r="B51" s="338" t="s">
        <v>443</v>
      </c>
      <c r="C51" s="337" t="s">
        <v>172</v>
      </c>
      <c r="D51" s="339">
        <v>55.32</v>
      </c>
    </row>
    <row r="52" spans="1:4" ht="81">
      <c r="A52" s="337">
        <v>97192</v>
      </c>
      <c r="B52" s="338" t="s">
        <v>444</v>
      </c>
      <c r="C52" s="337" t="s">
        <v>172</v>
      </c>
      <c r="D52" s="339">
        <v>61.05</v>
      </c>
    </row>
    <row r="53" spans="1:4" ht="67.5">
      <c r="A53" s="337">
        <v>90694</v>
      </c>
      <c r="B53" s="338" t="s">
        <v>445</v>
      </c>
      <c r="C53" s="337" t="s">
        <v>172</v>
      </c>
      <c r="D53" s="339">
        <v>21.22</v>
      </c>
    </row>
    <row r="54" spans="1:4" ht="67.5">
      <c r="A54" s="337">
        <v>90695</v>
      </c>
      <c r="B54" s="338" t="s">
        <v>446</v>
      </c>
      <c r="C54" s="337" t="s">
        <v>172</v>
      </c>
      <c r="D54" s="339">
        <v>43.85</v>
      </c>
    </row>
    <row r="55" spans="1:4" ht="67.5">
      <c r="A55" s="337">
        <v>90696</v>
      </c>
      <c r="B55" s="338" t="s">
        <v>447</v>
      </c>
      <c r="C55" s="337" t="s">
        <v>172</v>
      </c>
      <c r="D55" s="339">
        <v>67.540000000000006</v>
      </c>
    </row>
    <row r="56" spans="1:4" ht="67.5">
      <c r="A56" s="337">
        <v>90697</v>
      </c>
      <c r="B56" s="338" t="s">
        <v>448</v>
      </c>
      <c r="C56" s="337" t="s">
        <v>172</v>
      </c>
      <c r="D56" s="339">
        <v>112.95</v>
      </c>
    </row>
    <row r="57" spans="1:4" ht="67.5">
      <c r="A57" s="337">
        <v>90698</v>
      </c>
      <c r="B57" s="338" t="s">
        <v>449</v>
      </c>
      <c r="C57" s="337" t="s">
        <v>172</v>
      </c>
      <c r="D57" s="339">
        <v>181.42</v>
      </c>
    </row>
    <row r="58" spans="1:4" ht="67.5">
      <c r="A58" s="337">
        <v>90699</v>
      </c>
      <c r="B58" s="338" t="s">
        <v>450</v>
      </c>
      <c r="C58" s="337" t="s">
        <v>172</v>
      </c>
      <c r="D58" s="339">
        <v>224.51</v>
      </c>
    </row>
    <row r="59" spans="1:4" ht="67.5">
      <c r="A59" s="337">
        <v>90700</v>
      </c>
      <c r="B59" s="338" t="s">
        <v>451</v>
      </c>
      <c r="C59" s="337" t="s">
        <v>172</v>
      </c>
      <c r="D59" s="339">
        <v>296.70999999999998</v>
      </c>
    </row>
    <row r="60" spans="1:4" ht="67.5">
      <c r="A60" s="337">
        <v>90701</v>
      </c>
      <c r="B60" s="338" t="s">
        <v>452</v>
      </c>
      <c r="C60" s="337" t="s">
        <v>172</v>
      </c>
      <c r="D60" s="339">
        <v>36.74</v>
      </c>
    </row>
    <row r="61" spans="1:4" ht="67.5">
      <c r="A61" s="337">
        <v>90702</v>
      </c>
      <c r="B61" s="338" t="s">
        <v>453</v>
      </c>
      <c r="C61" s="337" t="s">
        <v>172</v>
      </c>
      <c r="D61" s="339">
        <v>55.47</v>
      </c>
    </row>
    <row r="62" spans="1:4" ht="67.5">
      <c r="A62" s="337">
        <v>90703</v>
      </c>
      <c r="B62" s="338" t="s">
        <v>454</v>
      </c>
      <c r="C62" s="337" t="s">
        <v>172</v>
      </c>
      <c r="D62" s="339">
        <v>91.25</v>
      </c>
    </row>
    <row r="63" spans="1:4" ht="67.5">
      <c r="A63" s="337">
        <v>90704</v>
      </c>
      <c r="B63" s="338" t="s">
        <v>455</v>
      </c>
      <c r="C63" s="337" t="s">
        <v>172</v>
      </c>
      <c r="D63" s="339">
        <v>142.74</v>
      </c>
    </row>
    <row r="64" spans="1:4" ht="67.5">
      <c r="A64" s="337">
        <v>90705</v>
      </c>
      <c r="B64" s="338" t="s">
        <v>456</v>
      </c>
      <c r="C64" s="337" t="s">
        <v>172</v>
      </c>
      <c r="D64" s="339">
        <v>209.09</v>
      </c>
    </row>
    <row r="65" spans="1:4" ht="67.5">
      <c r="A65" s="337">
        <v>90706</v>
      </c>
      <c r="B65" s="338" t="s">
        <v>457</v>
      </c>
      <c r="C65" s="337" t="s">
        <v>172</v>
      </c>
      <c r="D65" s="339">
        <v>254.59</v>
      </c>
    </row>
    <row r="66" spans="1:4" ht="81">
      <c r="A66" s="337">
        <v>90708</v>
      </c>
      <c r="B66" s="338" t="s">
        <v>458</v>
      </c>
      <c r="C66" s="337" t="s">
        <v>172</v>
      </c>
      <c r="D66" s="339">
        <v>409.91</v>
      </c>
    </row>
    <row r="67" spans="1:4" ht="67.5">
      <c r="A67" s="337">
        <v>90709</v>
      </c>
      <c r="B67" s="338" t="s">
        <v>459</v>
      </c>
      <c r="C67" s="337" t="s">
        <v>172</v>
      </c>
      <c r="D67" s="339">
        <v>22.65</v>
      </c>
    </row>
    <row r="68" spans="1:4" ht="67.5">
      <c r="A68" s="337">
        <v>90710</v>
      </c>
      <c r="B68" s="338" t="s">
        <v>460</v>
      </c>
      <c r="C68" s="337" t="s">
        <v>172</v>
      </c>
      <c r="D68" s="339">
        <v>45.29</v>
      </c>
    </row>
    <row r="69" spans="1:4" ht="67.5">
      <c r="A69" s="337">
        <v>90711</v>
      </c>
      <c r="B69" s="338" t="s">
        <v>461</v>
      </c>
      <c r="C69" s="337" t="s">
        <v>172</v>
      </c>
      <c r="D69" s="339">
        <v>68.959999999999994</v>
      </c>
    </row>
    <row r="70" spans="1:4" ht="67.5">
      <c r="A70" s="337">
        <v>90712</v>
      </c>
      <c r="B70" s="338" t="s">
        <v>462</v>
      </c>
      <c r="C70" s="337" t="s">
        <v>172</v>
      </c>
      <c r="D70" s="339">
        <v>114.37</v>
      </c>
    </row>
    <row r="71" spans="1:4" ht="67.5">
      <c r="A71" s="337">
        <v>90713</v>
      </c>
      <c r="B71" s="338" t="s">
        <v>463</v>
      </c>
      <c r="C71" s="337" t="s">
        <v>172</v>
      </c>
      <c r="D71" s="339">
        <v>182.84</v>
      </c>
    </row>
    <row r="72" spans="1:4" ht="67.5">
      <c r="A72" s="337">
        <v>90714</v>
      </c>
      <c r="B72" s="338" t="s">
        <v>464</v>
      </c>
      <c r="C72" s="337" t="s">
        <v>172</v>
      </c>
      <c r="D72" s="339">
        <v>225.94</v>
      </c>
    </row>
    <row r="73" spans="1:4" ht="67.5">
      <c r="A73" s="337">
        <v>90715</v>
      </c>
      <c r="B73" s="338" t="s">
        <v>465</v>
      </c>
      <c r="C73" s="337" t="s">
        <v>172</v>
      </c>
      <c r="D73" s="339">
        <v>299.95999999999998</v>
      </c>
    </row>
    <row r="74" spans="1:4" ht="67.5">
      <c r="A74" s="337">
        <v>90716</v>
      </c>
      <c r="B74" s="338" t="s">
        <v>466</v>
      </c>
      <c r="C74" s="337" t="s">
        <v>172</v>
      </c>
      <c r="D74" s="339">
        <v>38.159999999999997</v>
      </c>
    </row>
    <row r="75" spans="1:4" ht="67.5">
      <c r="A75" s="337">
        <v>90717</v>
      </c>
      <c r="B75" s="338" t="s">
        <v>467</v>
      </c>
      <c r="C75" s="337" t="s">
        <v>172</v>
      </c>
      <c r="D75" s="339">
        <v>56.89</v>
      </c>
    </row>
    <row r="76" spans="1:4" ht="67.5">
      <c r="A76" s="337">
        <v>90718</v>
      </c>
      <c r="B76" s="338" t="s">
        <v>468</v>
      </c>
      <c r="C76" s="337" t="s">
        <v>172</v>
      </c>
      <c r="D76" s="339">
        <v>92.68</v>
      </c>
    </row>
    <row r="77" spans="1:4" ht="67.5">
      <c r="A77" s="337">
        <v>90719</v>
      </c>
      <c r="B77" s="338" t="s">
        <v>469</v>
      </c>
      <c r="C77" s="337" t="s">
        <v>172</v>
      </c>
      <c r="D77" s="339">
        <v>144.16999999999999</v>
      </c>
    </row>
    <row r="78" spans="1:4" ht="67.5">
      <c r="A78" s="337">
        <v>90720</v>
      </c>
      <c r="B78" s="338" t="s">
        <v>470</v>
      </c>
      <c r="C78" s="337" t="s">
        <v>172</v>
      </c>
      <c r="D78" s="339">
        <v>210.51</v>
      </c>
    </row>
    <row r="79" spans="1:4" ht="67.5">
      <c r="A79" s="337">
        <v>90721</v>
      </c>
      <c r="B79" s="338" t="s">
        <v>471</v>
      </c>
      <c r="C79" s="337" t="s">
        <v>172</v>
      </c>
      <c r="D79" s="339">
        <v>257.83999999999997</v>
      </c>
    </row>
    <row r="80" spans="1:4" ht="81">
      <c r="A80" s="337">
        <v>90723</v>
      </c>
      <c r="B80" s="338" t="s">
        <v>472</v>
      </c>
      <c r="C80" s="337" t="s">
        <v>172</v>
      </c>
      <c r="D80" s="339">
        <v>411.94</v>
      </c>
    </row>
    <row r="81" spans="1:4" ht="54">
      <c r="A81" s="337">
        <v>90724</v>
      </c>
      <c r="B81" s="338" t="s">
        <v>473</v>
      </c>
      <c r="C81" s="337" t="s">
        <v>474</v>
      </c>
      <c r="D81" s="339">
        <v>16.86</v>
      </c>
    </row>
    <row r="82" spans="1:4" ht="54">
      <c r="A82" s="337">
        <v>90725</v>
      </c>
      <c r="B82" s="338" t="s">
        <v>475</v>
      </c>
      <c r="C82" s="337" t="s">
        <v>474</v>
      </c>
      <c r="D82" s="339">
        <v>20.86</v>
      </c>
    </row>
    <row r="83" spans="1:4" ht="54">
      <c r="A83" s="337">
        <v>90726</v>
      </c>
      <c r="B83" s="338" t="s">
        <v>476</v>
      </c>
      <c r="C83" s="337" t="s">
        <v>474</v>
      </c>
      <c r="D83" s="339">
        <v>24.86</v>
      </c>
    </row>
    <row r="84" spans="1:4" ht="54">
      <c r="A84" s="337">
        <v>90727</v>
      </c>
      <c r="B84" s="338" t="s">
        <v>477</v>
      </c>
      <c r="C84" s="337" t="s">
        <v>474</v>
      </c>
      <c r="D84" s="339">
        <v>28.86</v>
      </c>
    </row>
    <row r="85" spans="1:4" ht="54">
      <c r="A85" s="337">
        <v>90728</v>
      </c>
      <c r="B85" s="338" t="s">
        <v>478</v>
      </c>
      <c r="C85" s="337" t="s">
        <v>474</v>
      </c>
      <c r="D85" s="339">
        <v>32.86</v>
      </c>
    </row>
    <row r="86" spans="1:4" ht="54">
      <c r="A86" s="337">
        <v>90729</v>
      </c>
      <c r="B86" s="338" t="s">
        <v>479</v>
      </c>
      <c r="C86" s="337" t="s">
        <v>474</v>
      </c>
      <c r="D86" s="339">
        <v>36.85</v>
      </c>
    </row>
    <row r="87" spans="1:4" ht="54">
      <c r="A87" s="337">
        <v>90730</v>
      </c>
      <c r="B87" s="338" t="s">
        <v>480</v>
      </c>
      <c r="C87" s="337" t="s">
        <v>474</v>
      </c>
      <c r="D87" s="339">
        <v>40.880000000000003</v>
      </c>
    </row>
    <row r="88" spans="1:4" ht="54">
      <c r="A88" s="337">
        <v>90731</v>
      </c>
      <c r="B88" s="338" t="s">
        <v>481</v>
      </c>
      <c r="C88" s="337" t="s">
        <v>474</v>
      </c>
      <c r="D88" s="339">
        <v>44.88</v>
      </c>
    </row>
    <row r="89" spans="1:4" ht="54">
      <c r="A89" s="337">
        <v>90732</v>
      </c>
      <c r="B89" s="338" t="s">
        <v>482</v>
      </c>
      <c r="C89" s="337" t="s">
        <v>474</v>
      </c>
      <c r="D89" s="339">
        <v>56.88</v>
      </c>
    </row>
    <row r="90" spans="1:4" ht="67.5">
      <c r="A90" s="337">
        <v>90733</v>
      </c>
      <c r="B90" s="338" t="s">
        <v>483</v>
      </c>
      <c r="C90" s="337" t="s">
        <v>172</v>
      </c>
      <c r="D90" s="339">
        <v>1.8</v>
      </c>
    </row>
    <row r="91" spans="1:4" ht="67.5">
      <c r="A91" s="337">
        <v>90734</v>
      </c>
      <c r="B91" s="338" t="s">
        <v>484</v>
      </c>
      <c r="C91" s="337" t="s">
        <v>172</v>
      </c>
      <c r="D91" s="339">
        <v>2.19</v>
      </c>
    </row>
    <row r="92" spans="1:4" ht="67.5">
      <c r="A92" s="337">
        <v>90735</v>
      </c>
      <c r="B92" s="338" t="s">
        <v>485</v>
      </c>
      <c r="C92" s="337" t="s">
        <v>172</v>
      </c>
      <c r="D92" s="339">
        <v>2.61</v>
      </c>
    </row>
    <row r="93" spans="1:4" ht="67.5">
      <c r="A93" s="337">
        <v>90736</v>
      </c>
      <c r="B93" s="338" t="s">
        <v>486</v>
      </c>
      <c r="C93" s="337" t="s">
        <v>172</v>
      </c>
      <c r="D93" s="339">
        <v>3.01</v>
      </c>
    </row>
    <row r="94" spans="1:4" ht="67.5">
      <c r="A94" s="337">
        <v>90737</v>
      </c>
      <c r="B94" s="338" t="s">
        <v>487</v>
      </c>
      <c r="C94" s="337" t="s">
        <v>172</v>
      </c>
      <c r="D94" s="339">
        <v>3.41</v>
      </c>
    </row>
    <row r="95" spans="1:4" ht="67.5">
      <c r="A95" s="337">
        <v>90738</v>
      </c>
      <c r="B95" s="338" t="s">
        <v>488</v>
      </c>
      <c r="C95" s="337" t="s">
        <v>172</v>
      </c>
      <c r="D95" s="339">
        <v>3.81</v>
      </c>
    </row>
    <row r="96" spans="1:4" ht="67.5">
      <c r="A96" s="337">
        <v>90739</v>
      </c>
      <c r="B96" s="338" t="s">
        <v>489</v>
      </c>
      <c r="C96" s="337" t="s">
        <v>172</v>
      </c>
      <c r="D96" s="339">
        <v>9.56</v>
      </c>
    </row>
    <row r="97" spans="1:4" ht="81">
      <c r="A97" s="337">
        <v>90740</v>
      </c>
      <c r="B97" s="338" t="s">
        <v>490</v>
      </c>
      <c r="C97" s="337" t="s">
        <v>172</v>
      </c>
      <c r="D97" s="339">
        <v>4.0199999999999996</v>
      </c>
    </row>
    <row r="98" spans="1:4" ht="81">
      <c r="A98" s="337">
        <v>90741</v>
      </c>
      <c r="B98" s="338" t="s">
        <v>491</v>
      </c>
      <c r="C98" s="337" t="s">
        <v>172</v>
      </c>
      <c r="D98" s="339">
        <v>4.42</v>
      </c>
    </row>
    <row r="99" spans="1:4" ht="81">
      <c r="A99" s="337">
        <v>90742</v>
      </c>
      <c r="B99" s="338" t="s">
        <v>492</v>
      </c>
      <c r="C99" s="337" t="s">
        <v>172</v>
      </c>
      <c r="D99" s="339">
        <v>4.82</v>
      </c>
    </row>
    <row r="100" spans="1:4" ht="81">
      <c r="A100" s="337">
        <v>90743</v>
      </c>
      <c r="B100" s="338" t="s">
        <v>493</v>
      </c>
      <c r="C100" s="337" t="s">
        <v>172</v>
      </c>
      <c r="D100" s="339">
        <v>5.22</v>
      </c>
    </row>
    <row r="101" spans="1:4" ht="81">
      <c r="A101" s="337">
        <v>90744</v>
      </c>
      <c r="B101" s="338" t="s">
        <v>494</v>
      </c>
      <c r="C101" s="337" t="s">
        <v>172</v>
      </c>
      <c r="D101" s="339">
        <v>5.63</v>
      </c>
    </row>
    <row r="102" spans="1:4" ht="81">
      <c r="A102" s="337">
        <v>90745</v>
      </c>
      <c r="B102" s="338" t="s">
        <v>495</v>
      </c>
      <c r="C102" s="337" t="s">
        <v>172</v>
      </c>
      <c r="D102" s="339">
        <v>13.68</v>
      </c>
    </row>
    <row r="103" spans="1:4" ht="81">
      <c r="A103" s="337">
        <v>90746</v>
      </c>
      <c r="B103" s="338" t="s">
        <v>496</v>
      </c>
      <c r="C103" s="337" t="s">
        <v>172</v>
      </c>
      <c r="D103" s="339">
        <v>2.44</v>
      </c>
    </row>
    <row r="104" spans="1:4" ht="81">
      <c r="A104" s="337">
        <v>90747</v>
      </c>
      <c r="B104" s="338" t="s">
        <v>497</v>
      </c>
      <c r="C104" s="337" t="s">
        <v>172</v>
      </c>
      <c r="D104" s="339">
        <v>10.74</v>
      </c>
    </row>
    <row r="105" spans="1:4" ht="67.5">
      <c r="A105" s="337">
        <v>90748</v>
      </c>
      <c r="B105" s="338" t="s">
        <v>498</v>
      </c>
      <c r="C105" s="337" t="s">
        <v>172</v>
      </c>
      <c r="D105" s="339">
        <v>3.23</v>
      </c>
    </row>
    <row r="106" spans="1:4" ht="67.5">
      <c r="A106" s="337">
        <v>90749</v>
      </c>
      <c r="B106" s="338" t="s">
        <v>499</v>
      </c>
      <c r="C106" s="337" t="s">
        <v>172</v>
      </c>
      <c r="D106" s="339">
        <v>3.63</v>
      </c>
    </row>
    <row r="107" spans="1:4" ht="67.5">
      <c r="A107" s="337">
        <v>90750</v>
      </c>
      <c r="B107" s="338" t="s">
        <v>500</v>
      </c>
      <c r="C107" s="337" t="s">
        <v>172</v>
      </c>
      <c r="D107" s="339">
        <v>4.03</v>
      </c>
    </row>
    <row r="108" spans="1:4" ht="67.5">
      <c r="A108" s="337">
        <v>90751</v>
      </c>
      <c r="B108" s="338" t="s">
        <v>501</v>
      </c>
      <c r="C108" s="337" t="s">
        <v>172</v>
      </c>
      <c r="D108" s="339">
        <v>4.43</v>
      </c>
    </row>
    <row r="109" spans="1:4" ht="67.5">
      <c r="A109" s="337">
        <v>90752</v>
      </c>
      <c r="B109" s="338" t="s">
        <v>502</v>
      </c>
      <c r="C109" s="337" t="s">
        <v>172</v>
      </c>
      <c r="D109" s="339">
        <v>4.83</v>
      </c>
    </row>
    <row r="110" spans="1:4" ht="67.5">
      <c r="A110" s="337">
        <v>90753</v>
      </c>
      <c r="B110" s="338" t="s">
        <v>503</v>
      </c>
      <c r="C110" s="337" t="s">
        <v>172</v>
      </c>
      <c r="D110" s="339">
        <v>5.24</v>
      </c>
    </row>
    <row r="111" spans="1:4" ht="67.5">
      <c r="A111" s="337">
        <v>90754</v>
      </c>
      <c r="B111" s="338" t="s">
        <v>504</v>
      </c>
      <c r="C111" s="337" t="s">
        <v>172</v>
      </c>
      <c r="D111" s="339">
        <v>12.81</v>
      </c>
    </row>
    <row r="112" spans="1:4" ht="81">
      <c r="A112" s="337">
        <v>90755</v>
      </c>
      <c r="B112" s="338" t="s">
        <v>505</v>
      </c>
      <c r="C112" s="337" t="s">
        <v>172</v>
      </c>
      <c r="D112" s="339">
        <v>5.44</v>
      </c>
    </row>
    <row r="113" spans="1:4" ht="81">
      <c r="A113" s="337">
        <v>90756</v>
      </c>
      <c r="B113" s="338" t="s">
        <v>506</v>
      </c>
      <c r="C113" s="337" t="s">
        <v>172</v>
      </c>
      <c r="D113" s="339">
        <v>5.84</v>
      </c>
    </row>
    <row r="114" spans="1:4" ht="81">
      <c r="A114" s="337">
        <v>90757</v>
      </c>
      <c r="B114" s="338" t="s">
        <v>507</v>
      </c>
      <c r="C114" s="337" t="s">
        <v>172</v>
      </c>
      <c r="D114" s="339">
        <v>6.25</v>
      </c>
    </row>
    <row r="115" spans="1:4" ht="81">
      <c r="A115" s="337">
        <v>90758</v>
      </c>
      <c r="B115" s="338" t="s">
        <v>508</v>
      </c>
      <c r="C115" s="337" t="s">
        <v>172</v>
      </c>
      <c r="D115" s="339">
        <v>6.65</v>
      </c>
    </row>
    <row r="116" spans="1:4" ht="81">
      <c r="A116" s="337">
        <v>90759</v>
      </c>
      <c r="B116" s="338" t="s">
        <v>509</v>
      </c>
      <c r="C116" s="337" t="s">
        <v>172</v>
      </c>
      <c r="D116" s="339">
        <v>7.05</v>
      </c>
    </row>
    <row r="117" spans="1:4" ht="81">
      <c r="A117" s="337">
        <v>90760</v>
      </c>
      <c r="B117" s="338" t="s">
        <v>510</v>
      </c>
      <c r="C117" s="337" t="s">
        <v>172</v>
      </c>
      <c r="D117" s="339">
        <v>16.93</v>
      </c>
    </row>
    <row r="118" spans="1:4" ht="81">
      <c r="A118" s="337">
        <v>90761</v>
      </c>
      <c r="B118" s="338" t="s">
        <v>511</v>
      </c>
      <c r="C118" s="337" t="s">
        <v>172</v>
      </c>
      <c r="D118" s="339">
        <v>2.99</v>
      </c>
    </row>
    <row r="119" spans="1:4" ht="81">
      <c r="A119" s="337">
        <v>90762</v>
      </c>
      <c r="B119" s="338" t="s">
        <v>512</v>
      </c>
      <c r="C119" s="337" t="s">
        <v>172</v>
      </c>
      <c r="D119" s="339">
        <v>12.77</v>
      </c>
    </row>
    <row r="120" spans="1:4" ht="81">
      <c r="A120" s="337">
        <v>94869</v>
      </c>
      <c r="B120" s="338" t="s">
        <v>513</v>
      </c>
      <c r="C120" s="337" t="s">
        <v>172</v>
      </c>
      <c r="D120" s="339">
        <v>70.34</v>
      </c>
    </row>
    <row r="121" spans="1:4" ht="81">
      <c r="A121" s="337">
        <v>94870</v>
      </c>
      <c r="B121" s="338" t="s">
        <v>514</v>
      </c>
      <c r="C121" s="337" t="s">
        <v>172</v>
      </c>
      <c r="D121" s="339">
        <v>0.59</v>
      </c>
    </row>
    <row r="122" spans="1:4" ht="81">
      <c r="A122" s="337">
        <v>94871</v>
      </c>
      <c r="B122" s="338" t="s">
        <v>515</v>
      </c>
      <c r="C122" s="337" t="s">
        <v>172</v>
      </c>
      <c r="D122" s="339">
        <v>104.02</v>
      </c>
    </row>
    <row r="123" spans="1:4" ht="81">
      <c r="A123" s="337">
        <v>94872</v>
      </c>
      <c r="B123" s="338" t="s">
        <v>516</v>
      </c>
      <c r="C123" s="337" t="s">
        <v>172</v>
      </c>
      <c r="D123" s="339">
        <v>1.04</v>
      </c>
    </row>
    <row r="124" spans="1:4" ht="81">
      <c r="A124" s="337">
        <v>94875</v>
      </c>
      <c r="B124" s="338" t="s">
        <v>517</v>
      </c>
      <c r="C124" s="337" t="s">
        <v>172</v>
      </c>
      <c r="D124" s="339">
        <v>608.29</v>
      </c>
    </row>
    <row r="125" spans="1:4" ht="81">
      <c r="A125" s="337">
        <v>94876</v>
      </c>
      <c r="B125" s="338" t="s">
        <v>518</v>
      </c>
      <c r="C125" s="337" t="s">
        <v>172</v>
      </c>
      <c r="D125" s="339">
        <v>16.239999999999998</v>
      </c>
    </row>
    <row r="126" spans="1:4" ht="81">
      <c r="A126" s="337">
        <v>94878</v>
      </c>
      <c r="B126" s="338" t="s">
        <v>519</v>
      </c>
      <c r="C126" s="337" t="s">
        <v>172</v>
      </c>
      <c r="D126" s="339">
        <v>19.07</v>
      </c>
    </row>
    <row r="127" spans="1:4" ht="81">
      <c r="A127" s="337">
        <v>94879</v>
      </c>
      <c r="B127" s="338" t="s">
        <v>520</v>
      </c>
      <c r="C127" s="337" t="s">
        <v>172</v>
      </c>
      <c r="D127" s="339">
        <v>921.42</v>
      </c>
    </row>
    <row r="128" spans="1:4" ht="81">
      <c r="A128" s="337">
        <v>94880</v>
      </c>
      <c r="B128" s="338" t="s">
        <v>521</v>
      </c>
      <c r="C128" s="337" t="s">
        <v>172</v>
      </c>
      <c r="D128" s="339">
        <v>23.35</v>
      </c>
    </row>
    <row r="129" spans="1:4" ht="81">
      <c r="A129" s="337">
        <v>94881</v>
      </c>
      <c r="B129" s="338" t="s">
        <v>522</v>
      </c>
      <c r="C129" s="337" t="s">
        <v>172</v>
      </c>
      <c r="D129" s="340">
        <v>1312.17</v>
      </c>
    </row>
    <row r="130" spans="1:4" ht="81">
      <c r="A130" s="337">
        <v>94882</v>
      </c>
      <c r="B130" s="338" t="s">
        <v>523</v>
      </c>
      <c r="C130" s="337" t="s">
        <v>172</v>
      </c>
      <c r="D130" s="339">
        <v>27.7</v>
      </c>
    </row>
    <row r="131" spans="1:4" ht="81">
      <c r="A131" s="337">
        <v>94884</v>
      </c>
      <c r="B131" s="338" t="s">
        <v>524</v>
      </c>
      <c r="C131" s="337" t="s">
        <v>172</v>
      </c>
      <c r="D131" s="339">
        <v>36.53</v>
      </c>
    </row>
    <row r="132" spans="1:4" ht="81">
      <c r="A132" s="337">
        <v>94885</v>
      </c>
      <c r="B132" s="338" t="s">
        <v>525</v>
      </c>
      <c r="C132" s="337" t="s">
        <v>172</v>
      </c>
      <c r="D132" s="339">
        <v>70.510000000000005</v>
      </c>
    </row>
    <row r="133" spans="1:4" ht="81">
      <c r="A133" s="337">
        <v>94886</v>
      </c>
      <c r="B133" s="338" t="s">
        <v>526</v>
      </c>
      <c r="C133" s="337" t="s">
        <v>172</v>
      </c>
      <c r="D133" s="339">
        <v>0.76</v>
      </c>
    </row>
    <row r="134" spans="1:4" ht="81">
      <c r="A134" s="337">
        <v>94887</v>
      </c>
      <c r="B134" s="338" t="s">
        <v>527</v>
      </c>
      <c r="C134" s="337" t="s">
        <v>172</v>
      </c>
      <c r="D134" s="339">
        <v>104.31</v>
      </c>
    </row>
    <row r="135" spans="1:4" ht="81">
      <c r="A135" s="337">
        <v>94888</v>
      </c>
      <c r="B135" s="338" t="s">
        <v>528</v>
      </c>
      <c r="C135" s="337" t="s">
        <v>172</v>
      </c>
      <c r="D135" s="339">
        <v>1.33</v>
      </c>
    </row>
    <row r="136" spans="1:4" ht="81">
      <c r="A136" s="337">
        <v>94891</v>
      </c>
      <c r="B136" s="338" t="s">
        <v>529</v>
      </c>
      <c r="C136" s="337" t="s">
        <v>172</v>
      </c>
      <c r="D136" s="339">
        <v>610.92999999999995</v>
      </c>
    </row>
    <row r="137" spans="1:4" ht="81">
      <c r="A137" s="337">
        <v>94892</v>
      </c>
      <c r="B137" s="338" t="s">
        <v>530</v>
      </c>
      <c r="C137" s="337" t="s">
        <v>172</v>
      </c>
      <c r="D137" s="339">
        <v>18.88</v>
      </c>
    </row>
    <row r="138" spans="1:4" ht="81">
      <c r="A138" s="337">
        <v>94894</v>
      </c>
      <c r="B138" s="338" t="s">
        <v>531</v>
      </c>
      <c r="C138" s="337" t="s">
        <v>172</v>
      </c>
      <c r="D138" s="339">
        <v>21.92</v>
      </c>
    </row>
    <row r="139" spans="1:4" ht="81">
      <c r="A139" s="337">
        <v>94895</v>
      </c>
      <c r="B139" s="338" t="s">
        <v>532</v>
      </c>
      <c r="C139" s="337" t="s">
        <v>172</v>
      </c>
      <c r="D139" s="339">
        <v>924.56</v>
      </c>
    </row>
    <row r="140" spans="1:4" ht="81">
      <c r="A140" s="337">
        <v>94896</v>
      </c>
      <c r="B140" s="338" t="s">
        <v>533</v>
      </c>
      <c r="C140" s="337" t="s">
        <v>172</v>
      </c>
      <c r="D140" s="339">
        <v>26.49</v>
      </c>
    </row>
    <row r="141" spans="1:4" ht="81">
      <c r="A141" s="337">
        <v>94897</v>
      </c>
      <c r="B141" s="338" t="s">
        <v>534</v>
      </c>
      <c r="C141" s="337" t="s">
        <v>172</v>
      </c>
      <c r="D141" s="340">
        <v>1315.52</v>
      </c>
    </row>
    <row r="142" spans="1:4" ht="81">
      <c r="A142" s="337">
        <v>94898</v>
      </c>
      <c r="B142" s="338" t="s">
        <v>535</v>
      </c>
      <c r="C142" s="337" t="s">
        <v>172</v>
      </c>
      <c r="D142" s="339">
        <v>31.05</v>
      </c>
    </row>
    <row r="143" spans="1:4" ht="81">
      <c r="A143" s="337">
        <v>94900</v>
      </c>
      <c r="B143" s="338" t="s">
        <v>536</v>
      </c>
      <c r="C143" s="337" t="s">
        <v>172</v>
      </c>
      <c r="D143" s="339">
        <v>40.19</v>
      </c>
    </row>
    <row r="144" spans="1:4" ht="67.5">
      <c r="A144" s="337">
        <v>97121</v>
      </c>
      <c r="B144" s="338" t="s">
        <v>537</v>
      </c>
      <c r="C144" s="337" t="s">
        <v>172</v>
      </c>
      <c r="D144" s="339">
        <v>1.34</v>
      </c>
    </row>
    <row r="145" spans="1:4" ht="67.5">
      <c r="A145" s="337">
        <v>97122</v>
      </c>
      <c r="B145" s="338" t="s">
        <v>538</v>
      </c>
      <c r="C145" s="337" t="s">
        <v>172</v>
      </c>
      <c r="D145" s="339">
        <v>1.88</v>
      </c>
    </row>
    <row r="146" spans="1:4" ht="67.5">
      <c r="A146" s="337">
        <v>97123</v>
      </c>
      <c r="B146" s="338" t="s">
        <v>539</v>
      </c>
      <c r="C146" s="337" t="s">
        <v>172</v>
      </c>
      <c r="D146" s="339">
        <v>2.38</v>
      </c>
    </row>
    <row r="147" spans="1:4" ht="67.5">
      <c r="A147" s="337">
        <v>97124</v>
      </c>
      <c r="B147" s="338" t="s">
        <v>540</v>
      </c>
      <c r="C147" s="337" t="s">
        <v>172</v>
      </c>
      <c r="D147" s="339">
        <v>0.59</v>
      </c>
    </row>
    <row r="148" spans="1:4" ht="67.5">
      <c r="A148" s="337">
        <v>97125</v>
      </c>
      <c r="B148" s="338" t="s">
        <v>541</v>
      </c>
      <c r="C148" s="337" t="s">
        <v>172</v>
      </c>
      <c r="D148" s="339">
        <v>0.85</v>
      </c>
    </row>
    <row r="149" spans="1:4" ht="67.5">
      <c r="A149" s="337">
        <v>97126</v>
      </c>
      <c r="B149" s="338" t="s">
        <v>542</v>
      </c>
      <c r="C149" s="337" t="s">
        <v>172</v>
      </c>
      <c r="D149" s="339">
        <v>1.08</v>
      </c>
    </row>
    <row r="150" spans="1:4" ht="67.5">
      <c r="A150" s="337">
        <v>92833</v>
      </c>
      <c r="B150" s="338" t="s">
        <v>543</v>
      </c>
      <c r="C150" s="337" t="s">
        <v>172</v>
      </c>
      <c r="D150" s="339">
        <v>95.27</v>
      </c>
    </row>
    <row r="151" spans="1:4" ht="81">
      <c r="A151" s="337">
        <v>92834</v>
      </c>
      <c r="B151" s="338" t="s">
        <v>544</v>
      </c>
      <c r="C151" s="337" t="s">
        <v>172</v>
      </c>
      <c r="D151" s="339">
        <v>5.76</v>
      </c>
    </row>
    <row r="152" spans="1:4" ht="67.5">
      <c r="A152" s="337">
        <v>92835</v>
      </c>
      <c r="B152" s="338" t="s">
        <v>545</v>
      </c>
      <c r="C152" s="337" t="s">
        <v>172</v>
      </c>
      <c r="D152" s="339">
        <v>125.63</v>
      </c>
    </row>
    <row r="153" spans="1:4" ht="81">
      <c r="A153" s="337">
        <v>92836</v>
      </c>
      <c r="B153" s="338" t="s">
        <v>546</v>
      </c>
      <c r="C153" s="337" t="s">
        <v>172</v>
      </c>
      <c r="D153" s="339">
        <v>7.36</v>
      </c>
    </row>
    <row r="154" spans="1:4" ht="67.5">
      <c r="A154" s="337">
        <v>92837</v>
      </c>
      <c r="B154" s="338" t="s">
        <v>547</v>
      </c>
      <c r="C154" s="337" t="s">
        <v>172</v>
      </c>
      <c r="D154" s="339">
        <v>158.24</v>
      </c>
    </row>
    <row r="155" spans="1:4" ht="81">
      <c r="A155" s="337">
        <v>92838</v>
      </c>
      <c r="B155" s="338" t="s">
        <v>548</v>
      </c>
      <c r="C155" s="337" t="s">
        <v>172</v>
      </c>
      <c r="D155" s="339">
        <v>8.82</v>
      </c>
    </row>
    <row r="156" spans="1:4" ht="67.5">
      <c r="A156" s="337">
        <v>92839</v>
      </c>
      <c r="B156" s="338" t="s">
        <v>549</v>
      </c>
      <c r="C156" s="337" t="s">
        <v>172</v>
      </c>
      <c r="D156" s="339">
        <v>207.77</v>
      </c>
    </row>
    <row r="157" spans="1:4" ht="81">
      <c r="A157" s="337">
        <v>92840</v>
      </c>
      <c r="B157" s="338" t="s">
        <v>550</v>
      </c>
      <c r="C157" s="337" t="s">
        <v>172</v>
      </c>
      <c r="D157" s="339">
        <v>10.45</v>
      </c>
    </row>
    <row r="158" spans="1:4" ht="67.5">
      <c r="A158" s="337">
        <v>92841</v>
      </c>
      <c r="B158" s="338" t="s">
        <v>551</v>
      </c>
      <c r="C158" s="337" t="s">
        <v>172</v>
      </c>
      <c r="D158" s="339">
        <v>235.63</v>
      </c>
    </row>
    <row r="159" spans="1:4" ht="81">
      <c r="A159" s="337">
        <v>92842</v>
      </c>
      <c r="B159" s="338" t="s">
        <v>552</v>
      </c>
      <c r="C159" s="337" t="s">
        <v>172</v>
      </c>
      <c r="D159" s="339">
        <v>11.94</v>
      </c>
    </row>
    <row r="160" spans="1:4" ht="81">
      <c r="A160" s="337">
        <v>92844</v>
      </c>
      <c r="B160" s="338" t="s">
        <v>553</v>
      </c>
      <c r="C160" s="337" t="s">
        <v>172</v>
      </c>
      <c r="D160" s="339">
        <v>13.58</v>
      </c>
    </row>
    <row r="161" spans="1:4" ht="81">
      <c r="A161" s="337">
        <v>92846</v>
      </c>
      <c r="B161" s="338" t="s">
        <v>554</v>
      </c>
      <c r="C161" s="337" t="s">
        <v>172</v>
      </c>
      <c r="D161" s="339">
        <v>15.05</v>
      </c>
    </row>
    <row r="162" spans="1:4" ht="67.5">
      <c r="A162" s="337">
        <v>92847</v>
      </c>
      <c r="B162" s="338" t="s">
        <v>555</v>
      </c>
      <c r="C162" s="337" t="s">
        <v>172</v>
      </c>
      <c r="D162" s="339">
        <v>411.72</v>
      </c>
    </row>
    <row r="163" spans="1:4" ht="81">
      <c r="A163" s="337">
        <v>92848</v>
      </c>
      <c r="B163" s="338" t="s">
        <v>556</v>
      </c>
      <c r="C163" s="337" t="s">
        <v>172</v>
      </c>
      <c r="D163" s="339">
        <v>16.7</v>
      </c>
    </row>
    <row r="164" spans="1:4" ht="67.5">
      <c r="A164" s="337">
        <v>92849</v>
      </c>
      <c r="B164" s="338" t="s">
        <v>557</v>
      </c>
      <c r="C164" s="337" t="s">
        <v>172</v>
      </c>
      <c r="D164" s="339">
        <v>100.34</v>
      </c>
    </row>
    <row r="165" spans="1:4" ht="81">
      <c r="A165" s="337">
        <v>92850</v>
      </c>
      <c r="B165" s="338" t="s">
        <v>558</v>
      </c>
      <c r="C165" s="337" t="s">
        <v>172</v>
      </c>
      <c r="D165" s="339">
        <v>10.9</v>
      </c>
    </row>
    <row r="166" spans="1:4" ht="67.5">
      <c r="A166" s="337">
        <v>92851</v>
      </c>
      <c r="B166" s="338" t="s">
        <v>559</v>
      </c>
      <c r="C166" s="337" t="s">
        <v>172</v>
      </c>
      <c r="D166" s="339">
        <v>131.94999999999999</v>
      </c>
    </row>
    <row r="167" spans="1:4" ht="81">
      <c r="A167" s="337">
        <v>92852</v>
      </c>
      <c r="B167" s="338" t="s">
        <v>560</v>
      </c>
      <c r="C167" s="337" t="s">
        <v>172</v>
      </c>
      <c r="D167" s="339">
        <v>13.76</v>
      </c>
    </row>
    <row r="168" spans="1:4" ht="67.5">
      <c r="A168" s="337">
        <v>92853</v>
      </c>
      <c r="B168" s="338" t="s">
        <v>561</v>
      </c>
      <c r="C168" s="337" t="s">
        <v>172</v>
      </c>
      <c r="D168" s="339">
        <v>166.07</v>
      </c>
    </row>
    <row r="169" spans="1:4" ht="81">
      <c r="A169" s="337">
        <v>92854</v>
      </c>
      <c r="B169" s="338" t="s">
        <v>562</v>
      </c>
      <c r="C169" s="337" t="s">
        <v>172</v>
      </c>
      <c r="D169" s="339">
        <v>16.760000000000002</v>
      </c>
    </row>
    <row r="170" spans="1:4" ht="67.5">
      <c r="A170" s="337">
        <v>92855</v>
      </c>
      <c r="B170" s="338" t="s">
        <v>563</v>
      </c>
      <c r="C170" s="337" t="s">
        <v>172</v>
      </c>
      <c r="D170" s="339">
        <v>216.94</v>
      </c>
    </row>
    <row r="171" spans="1:4" ht="81">
      <c r="A171" s="337">
        <v>92856</v>
      </c>
      <c r="B171" s="338" t="s">
        <v>564</v>
      </c>
      <c r="C171" s="337" t="s">
        <v>172</v>
      </c>
      <c r="D171" s="339">
        <v>19.75</v>
      </c>
    </row>
    <row r="172" spans="1:4" ht="67.5">
      <c r="A172" s="337">
        <v>92857</v>
      </c>
      <c r="B172" s="338" t="s">
        <v>565</v>
      </c>
      <c r="C172" s="337" t="s">
        <v>172</v>
      </c>
      <c r="D172" s="339">
        <v>246.15</v>
      </c>
    </row>
    <row r="173" spans="1:4" ht="81">
      <c r="A173" s="337">
        <v>92858</v>
      </c>
      <c r="B173" s="338" t="s">
        <v>566</v>
      </c>
      <c r="C173" s="337" t="s">
        <v>172</v>
      </c>
      <c r="D173" s="339">
        <v>22.61</v>
      </c>
    </row>
    <row r="174" spans="1:4" ht="81">
      <c r="A174" s="337">
        <v>92860</v>
      </c>
      <c r="B174" s="338" t="s">
        <v>567</v>
      </c>
      <c r="C174" s="337" t="s">
        <v>172</v>
      </c>
      <c r="D174" s="339">
        <v>25.68</v>
      </c>
    </row>
    <row r="175" spans="1:4" ht="81">
      <c r="A175" s="337">
        <v>92862</v>
      </c>
      <c r="B175" s="338" t="s">
        <v>568</v>
      </c>
      <c r="C175" s="337" t="s">
        <v>172</v>
      </c>
      <c r="D175" s="339">
        <v>28.65</v>
      </c>
    </row>
    <row r="176" spans="1:4" ht="67.5">
      <c r="A176" s="337">
        <v>92863</v>
      </c>
      <c r="B176" s="338" t="s">
        <v>569</v>
      </c>
      <c r="C176" s="337" t="s">
        <v>172</v>
      </c>
      <c r="D176" s="339">
        <v>426.45</v>
      </c>
    </row>
    <row r="177" spans="1:4" ht="81">
      <c r="A177" s="337">
        <v>92864</v>
      </c>
      <c r="B177" s="338" t="s">
        <v>570</v>
      </c>
      <c r="C177" s="337" t="s">
        <v>172</v>
      </c>
      <c r="D177" s="339">
        <v>31.64</v>
      </c>
    </row>
    <row r="178" spans="1:4" ht="67.5">
      <c r="A178" s="337">
        <v>92210</v>
      </c>
      <c r="B178" s="338" t="s">
        <v>571</v>
      </c>
      <c r="C178" s="337" t="s">
        <v>172</v>
      </c>
      <c r="D178" s="339">
        <v>84.63</v>
      </c>
    </row>
    <row r="179" spans="1:4" ht="67.5">
      <c r="A179" s="337">
        <v>92211</v>
      </c>
      <c r="B179" s="338" t="s">
        <v>572</v>
      </c>
      <c r="C179" s="337" t="s">
        <v>172</v>
      </c>
      <c r="D179" s="339">
        <v>108.3</v>
      </c>
    </row>
    <row r="180" spans="1:4" ht="67.5">
      <c r="A180" s="337">
        <v>92212</v>
      </c>
      <c r="B180" s="338" t="s">
        <v>573</v>
      </c>
      <c r="C180" s="337" t="s">
        <v>172</v>
      </c>
      <c r="D180" s="339">
        <v>137.94999999999999</v>
      </c>
    </row>
    <row r="181" spans="1:4" ht="67.5">
      <c r="A181" s="337">
        <v>92213</v>
      </c>
      <c r="B181" s="338" t="s">
        <v>574</v>
      </c>
      <c r="C181" s="337" t="s">
        <v>172</v>
      </c>
      <c r="D181" s="339">
        <v>181.8</v>
      </c>
    </row>
    <row r="182" spans="1:4" ht="67.5">
      <c r="A182" s="337">
        <v>92214</v>
      </c>
      <c r="B182" s="338" t="s">
        <v>575</v>
      </c>
      <c r="C182" s="337" t="s">
        <v>172</v>
      </c>
      <c r="D182" s="339">
        <v>207.68</v>
      </c>
    </row>
    <row r="183" spans="1:4" ht="67.5">
      <c r="A183" s="337">
        <v>92215</v>
      </c>
      <c r="B183" s="338" t="s">
        <v>576</v>
      </c>
      <c r="C183" s="337" t="s">
        <v>172</v>
      </c>
      <c r="D183" s="339">
        <v>250.6</v>
      </c>
    </row>
    <row r="184" spans="1:4" ht="67.5">
      <c r="A184" s="337">
        <v>92216</v>
      </c>
      <c r="B184" s="338" t="s">
        <v>577</v>
      </c>
      <c r="C184" s="337" t="s">
        <v>172</v>
      </c>
      <c r="D184" s="339">
        <v>281.25</v>
      </c>
    </row>
    <row r="185" spans="1:4" ht="67.5">
      <c r="A185" s="337">
        <v>92219</v>
      </c>
      <c r="B185" s="338" t="s">
        <v>578</v>
      </c>
      <c r="C185" s="337" t="s">
        <v>172</v>
      </c>
      <c r="D185" s="339">
        <v>91.03</v>
      </c>
    </row>
    <row r="186" spans="1:4" ht="67.5">
      <c r="A186" s="337">
        <v>92220</v>
      </c>
      <c r="B186" s="338" t="s">
        <v>579</v>
      </c>
      <c r="C186" s="337" t="s">
        <v>172</v>
      </c>
      <c r="D186" s="339">
        <v>116.24</v>
      </c>
    </row>
    <row r="187" spans="1:4" ht="67.5">
      <c r="A187" s="337">
        <v>92221</v>
      </c>
      <c r="B187" s="338" t="s">
        <v>580</v>
      </c>
      <c r="C187" s="337" t="s">
        <v>172</v>
      </c>
      <c r="D187" s="339">
        <v>147.26</v>
      </c>
    </row>
    <row r="188" spans="1:4" ht="67.5">
      <c r="A188" s="337">
        <v>92222</v>
      </c>
      <c r="B188" s="338" t="s">
        <v>581</v>
      </c>
      <c r="C188" s="337" t="s">
        <v>172</v>
      </c>
      <c r="D188" s="339">
        <v>192.6</v>
      </c>
    </row>
    <row r="189" spans="1:4" ht="67.5">
      <c r="A189" s="337">
        <v>92223</v>
      </c>
      <c r="B189" s="338" t="s">
        <v>582</v>
      </c>
      <c r="C189" s="337" t="s">
        <v>172</v>
      </c>
      <c r="D189" s="339">
        <v>219.76</v>
      </c>
    </row>
    <row r="190" spans="1:4" ht="67.5">
      <c r="A190" s="337">
        <v>92224</v>
      </c>
      <c r="B190" s="338" t="s">
        <v>583</v>
      </c>
      <c r="C190" s="337" t="s">
        <v>172</v>
      </c>
      <c r="D190" s="339">
        <v>264.02</v>
      </c>
    </row>
    <row r="191" spans="1:4" ht="67.5">
      <c r="A191" s="337">
        <v>92226</v>
      </c>
      <c r="B191" s="338" t="s">
        <v>584</v>
      </c>
      <c r="C191" s="337" t="s">
        <v>172</v>
      </c>
      <c r="D191" s="339">
        <v>296.26</v>
      </c>
    </row>
    <row r="192" spans="1:4" ht="81">
      <c r="A192" s="337">
        <v>92808</v>
      </c>
      <c r="B192" s="338" t="s">
        <v>585</v>
      </c>
      <c r="C192" s="337" t="s">
        <v>172</v>
      </c>
      <c r="D192" s="339">
        <v>25.97</v>
      </c>
    </row>
    <row r="193" spans="1:4" ht="81">
      <c r="A193" s="337">
        <v>92809</v>
      </c>
      <c r="B193" s="338" t="s">
        <v>586</v>
      </c>
      <c r="C193" s="337" t="s">
        <v>172</v>
      </c>
      <c r="D193" s="339">
        <v>33.340000000000003</v>
      </c>
    </row>
    <row r="194" spans="1:4" ht="81">
      <c r="A194" s="337">
        <v>92810</v>
      </c>
      <c r="B194" s="338" t="s">
        <v>587</v>
      </c>
      <c r="C194" s="337" t="s">
        <v>172</v>
      </c>
      <c r="D194" s="339">
        <v>40.57</v>
      </c>
    </row>
    <row r="195" spans="1:4" ht="81">
      <c r="A195" s="337">
        <v>92811</v>
      </c>
      <c r="B195" s="338" t="s">
        <v>588</v>
      </c>
      <c r="C195" s="337" t="s">
        <v>172</v>
      </c>
      <c r="D195" s="339">
        <v>48.34</v>
      </c>
    </row>
    <row r="196" spans="1:4" ht="81">
      <c r="A196" s="337">
        <v>92812</v>
      </c>
      <c r="B196" s="338" t="s">
        <v>589</v>
      </c>
      <c r="C196" s="337" t="s">
        <v>172</v>
      </c>
      <c r="D196" s="339">
        <v>56.03</v>
      </c>
    </row>
    <row r="197" spans="1:4" ht="81">
      <c r="A197" s="337">
        <v>92813</v>
      </c>
      <c r="B197" s="338" t="s">
        <v>590</v>
      </c>
      <c r="C197" s="337" t="s">
        <v>172</v>
      </c>
      <c r="D197" s="339">
        <v>65.05</v>
      </c>
    </row>
    <row r="198" spans="1:4" ht="81">
      <c r="A198" s="337">
        <v>92814</v>
      </c>
      <c r="B198" s="338" t="s">
        <v>591</v>
      </c>
      <c r="C198" s="337" t="s">
        <v>172</v>
      </c>
      <c r="D198" s="339">
        <v>74.52</v>
      </c>
    </row>
    <row r="199" spans="1:4" ht="81">
      <c r="A199" s="337">
        <v>92815</v>
      </c>
      <c r="B199" s="338" t="s">
        <v>592</v>
      </c>
      <c r="C199" s="337" t="s">
        <v>172</v>
      </c>
      <c r="D199" s="339">
        <v>85.47</v>
      </c>
    </row>
    <row r="200" spans="1:4" ht="67.5">
      <c r="A200" s="337">
        <v>92816</v>
      </c>
      <c r="B200" s="338" t="s">
        <v>593</v>
      </c>
      <c r="C200" s="337" t="s">
        <v>172</v>
      </c>
      <c r="D200" s="339">
        <v>384.4</v>
      </c>
    </row>
    <row r="201" spans="1:4" ht="81">
      <c r="A201" s="337">
        <v>92817</v>
      </c>
      <c r="B201" s="338" t="s">
        <v>594</v>
      </c>
      <c r="C201" s="337" t="s">
        <v>172</v>
      </c>
      <c r="D201" s="339">
        <v>106.94</v>
      </c>
    </row>
    <row r="202" spans="1:4" ht="67.5">
      <c r="A202" s="337">
        <v>92818</v>
      </c>
      <c r="B202" s="338" t="s">
        <v>595</v>
      </c>
      <c r="C202" s="337" t="s">
        <v>172</v>
      </c>
      <c r="D202" s="339">
        <v>556.66</v>
      </c>
    </row>
    <row r="203" spans="1:4" ht="81">
      <c r="A203" s="337">
        <v>92819</v>
      </c>
      <c r="B203" s="338" t="s">
        <v>596</v>
      </c>
      <c r="C203" s="337" t="s">
        <v>172</v>
      </c>
      <c r="D203" s="339">
        <v>143.97</v>
      </c>
    </row>
    <row r="204" spans="1:4" ht="81">
      <c r="A204" s="337">
        <v>92820</v>
      </c>
      <c r="B204" s="338" t="s">
        <v>597</v>
      </c>
      <c r="C204" s="337" t="s">
        <v>172</v>
      </c>
      <c r="D204" s="339">
        <v>30.97</v>
      </c>
    </row>
    <row r="205" spans="1:4" ht="81">
      <c r="A205" s="337">
        <v>92821</v>
      </c>
      <c r="B205" s="338" t="s">
        <v>598</v>
      </c>
      <c r="C205" s="337" t="s">
        <v>172</v>
      </c>
      <c r="D205" s="339">
        <v>39.74</v>
      </c>
    </row>
    <row r="206" spans="1:4" ht="81">
      <c r="A206" s="337">
        <v>92822</v>
      </c>
      <c r="B206" s="338" t="s">
        <v>599</v>
      </c>
      <c r="C206" s="337" t="s">
        <v>172</v>
      </c>
      <c r="D206" s="339">
        <v>48.51</v>
      </c>
    </row>
    <row r="207" spans="1:4" ht="81">
      <c r="A207" s="337">
        <v>92824</v>
      </c>
      <c r="B207" s="338" t="s">
        <v>600</v>
      </c>
      <c r="C207" s="337" t="s">
        <v>172</v>
      </c>
      <c r="D207" s="339">
        <v>57.65</v>
      </c>
    </row>
    <row r="208" spans="1:4" ht="81">
      <c r="A208" s="337">
        <v>92825</v>
      </c>
      <c r="B208" s="338" t="s">
        <v>601</v>
      </c>
      <c r="C208" s="337" t="s">
        <v>172</v>
      </c>
      <c r="D208" s="339">
        <v>66.83</v>
      </c>
    </row>
    <row r="209" spans="1:4" ht="81">
      <c r="A209" s="337">
        <v>92826</v>
      </c>
      <c r="B209" s="338" t="s">
        <v>602</v>
      </c>
      <c r="C209" s="337" t="s">
        <v>172</v>
      </c>
      <c r="D209" s="339">
        <v>77.13</v>
      </c>
    </row>
    <row r="210" spans="1:4" ht="81">
      <c r="A210" s="337">
        <v>92827</v>
      </c>
      <c r="B210" s="338" t="s">
        <v>603</v>
      </c>
      <c r="C210" s="337" t="s">
        <v>172</v>
      </c>
      <c r="D210" s="339">
        <v>87.94</v>
      </c>
    </row>
    <row r="211" spans="1:4" ht="81">
      <c r="A211" s="337">
        <v>92828</v>
      </c>
      <c r="B211" s="338" t="s">
        <v>604</v>
      </c>
      <c r="C211" s="337" t="s">
        <v>172</v>
      </c>
      <c r="D211" s="339">
        <v>100.48</v>
      </c>
    </row>
    <row r="212" spans="1:4" ht="67.5">
      <c r="A212" s="337">
        <v>92829</v>
      </c>
      <c r="B212" s="338" t="s">
        <v>605</v>
      </c>
      <c r="C212" s="337" t="s">
        <v>172</v>
      </c>
      <c r="D212" s="339">
        <v>402.1</v>
      </c>
    </row>
    <row r="213" spans="1:4" ht="81">
      <c r="A213" s="337">
        <v>92830</v>
      </c>
      <c r="B213" s="338" t="s">
        <v>606</v>
      </c>
      <c r="C213" s="337" t="s">
        <v>172</v>
      </c>
      <c r="D213" s="339">
        <v>124.64</v>
      </c>
    </row>
    <row r="214" spans="1:4" ht="67.5">
      <c r="A214" s="337">
        <v>92831</v>
      </c>
      <c r="B214" s="338" t="s">
        <v>607</v>
      </c>
      <c r="C214" s="337" t="s">
        <v>172</v>
      </c>
      <c r="D214" s="339">
        <v>578.39</v>
      </c>
    </row>
    <row r="215" spans="1:4" ht="81">
      <c r="A215" s="337">
        <v>92832</v>
      </c>
      <c r="B215" s="338" t="s">
        <v>608</v>
      </c>
      <c r="C215" s="337" t="s">
        <v>172</v>
      </c>
      <c r="D215" s="339">
        <v>165.7</v>
      </c>
    </row>
    <row r="216" spans="1:4" ht="67.5">
      <c r="A216" s="337">
        <v>95565</v>
      </c>
      <c r="B216" s="338" t="s">
        <v>609</v>
      </c>
      <c r="C216" s="337" t="s">
        <v>172</v>
      </c>
      <c r="D216" s="339">
        <v>74.16</v>
      </c>
    </row>
    <row r="217" spans="1:4" ht="67.5">
      <c r="A217" s="337">
        <v>95566</v>
      </c>
      <c r="B217" s="338" t="s">
        <v>610</v>
      </c>
      <c r="C217" s="337" t="s">
        <v>172</v>
      </c>
      <c r="D217" s="339">
        <v>79.099999999999994</v>
      </c>
    </row>
    <row r="218" spans="1:4" ht="81">
      <c r="A218" s="337">
        <v>95567</v>
      </c>
      <c r="B218" s="338" t="s">
        <v>611</v>
      </c>
      <c r="C218" s="337" t="s">
        <v>172</v>
      </c>
      <c r="D218" s="339">
        <v>55.93</v>
      </c>
    </row>
    <row r="219" spans="1:4" ht="81">
      <c r="A219" s="337">
        <v>95568</v>
      </c>
      <c r="B219" s="338" t="s">
        <v>612</v>
      </c>
      <c r="C219" s="337" t="s">
        <v>172</v>
      </c>
      <c r="D219" s="339">
        <v>72.95</v>
      </c>
    </row>
    <row r="220" spans="1:4" ht="81">
      <c r="A220" s="337">
        <v>95569</v>
      </c>
      <c r="B220" s="338" t="s">
        <v>613</v>
      </c>
      <c r="C220" s="337" t="s">
        <v>172</v>
      </c>
      <c r="D220" s="339">
        <v>98.08</v>
      </c>
    </row>
    <row r="221" spans="1:4" ht="67.5">
      <c r="A221" s="337">
        <v>95570</v>
      </c>
      <c r="B221" s="338" t="s">
        <v>614</v>
      </c>
      <c r="C221" s="337" t="s">
        <v>172</v>
      </c>
      <c r="D221" s="339">
        <v>60.87</v>
      </c>
    </row>
    <row r="222" spans="1:4" ht="67.5">
      <c r="A222" s="337">
        <v>95571</v>
      </c>
      <c r="B222" s="338" t="s">
        <v>615</v>
      </c>
      <c r="C222" s="337" t="s">
        <v>172</v>
      </c>
      <c r="D222" s="339">
        <v>79.27</v>
      </c>
    </row>
    <row r="223" spans="1:4" ht="67.5">
      <c r="A223" s="337">
        <v>95572</v>
      </c>
      <c r="B223" s="338" t="s">
        <v>616</v>
      </c>
      <c r="C223" s="337" t="s">
        <v>172</v>
      </c>
      <c r="D223" s="339">
        <v>105.91</v>
      </c>
    </row>
    <row r="224" spans="1:4" ht="27">
      <c r="A224" s="337">
        <v>73606</v>
      </c>
      <c r="B224" s="338" t="s">
        <v>617</v>
      </c>
      <c r="C224" s="337" t="s">
        <v>474</v>
      </c>
      <c r="D224" s="339">
        <v>110.2</v>
      </c>
    </row>
    <row r="225" spans="1:4" ht="27">
      <c r="A225" s="337">
        <v>73607</v>
      </c>
      <c r="B225" s="338" t="s">
        <v>618</v>
      </c>
      <c r="C225" s="337" t="s">
        <v>474</v>
      </c>
      <c r="D225" s="339">
        <v>73.47</v>
      </c>
    </row>
    <row r="226" spans="1:4" ht="40.5">
      <c r="A226" s="337">
        <v>83623</v>
      </c>
      <c r="B226" s="338" t="s">
        <v>619</v>
      </c>
      <c r="C226" s="337" t="s">
        <v>172</v>
      </c>
      <c r="D226" s="339">
        <v>246.03</v>
      </c>
    </row>
    <row r="227" spans="1:4" ht="40.5">
      <c r="A227" s="337">
        <v>83624</v>
      </c>
      <c r="B227" s="338" t="s">
        <v>620</v>
      </c>
      <c r="C227" s="337" t="s">
        <v>172</v>
      </c>
      <c r="D227" s="339">
        <v>173.18</v>
      </c>
    </row>
    <row r="228" spans="1:4" ht="40.5">
      <c r="A228" s="337">
        <v>83626</v>
      </c>
      <c r="B228" s="338" t="s">
        <v>621</v>
      </c>
      <c r="C228" s="337" t="s">
        <v>172</v>
      </c>
      <c r="D228" s="339">
        <v>136.76</v>
      </c>
    </row>
    <row r="229" spans="1:4" ht="81">
      <c r="A229" s="337">
        <v>83627</v>
      </c>
      <c r="B229" s="338" t="s">
        <v>622</v>
      </c>
      <c r="C229" s="337" t="s">
        <v>474</v>
      </c>
      <c r="D229" s="339">
        <v>463.12</v>
      </c>
    </row>
    <row r="230" spans="1:4" ht="67.5">
      <c r="A230" s="337">
        <v>83724</v>
      </c>
      <c r="B230" s="338" t="s">
        <v>623</v>
      </c>
      <c r="C230" s="337" t="s">
        <v>283</v>
      </c>
      <c r="D230" s="339">
        <v>1.28</v>
      </c>
    </row>
    <row r="231" spans="1:4" ht="67.5">
      <c r="A231" s="337">
        <v>83725</v>
      </c>
      <c r="B231" s="338" t="s">
        <v>624</v>
      </c>
      <c r="C231" s="337" t="s">
        <v>283</v>
      </c>
      <c r="D231" s="339">
        <v>0.86</v>
      </c>
    </row>
    <row r="232" spans="1:4" ht="67.5">
      <c r="A232" s="337">
        <v>83726</v>
      </c>
      <c r="B232" s="338" t="s">
        <v>625</v>
      </c>
      <c r="C232" s="337" t="s">
        <v>283</v>
      </c>
      <c r="D232" s="339">
        <v>0.62</v>
      </c>
    </row>
    <row r="233" spans="1:4" ht="81">
      <c r="A233" s="337">
        <v>97127</v>
      </c>
      <c r="B233" s="338" t="s">
        <v>626</v>
      </c>
      <c r="C233" s="337" t="s">
        <v>172</v>
      </c>
      <c r="D233" s="339">
        <v>3.42</v>
      </c>
    </row>
    <row r="234" spans="1:4" ht="81">
      <c r="A234" s="337">
        <v>97128</v>
      </c>
      <c r="B234" s="338" t="s">
        <v>627</v>
      </c>
      <c r="C234" s="337" t="s">
        <v>172</v>
      </c>
      <c r="D234" s="339">
        <v>6.68</v>
      </c>
    </row>
    <row r="235" spans="1:4" ht="81">
      <c r="A235" s="337">
        <v>97129</v>
      </c>
      <c r="B235" s="338" t="s">
        <v>628</v>
      </c>
      <c r="C235" s="337" t="s">
        <v>172</v>
      </c>
      <c r="D235" s="339">
        <v>8.2100000000000009</v>
      </c>
    </row>
    <row r="236" spans="1:4" ht="81">
      <c r="A236" s="337">
        <v>97130</v>
      </c>
      <c r="B236" s="338" t="s">
        <v>629</v>
      </c>
      <c r="C236" s="337" t="s">
        <v>172</v>
      </c>
      <c r="D236" s="339">
        <v>9.74</v>
      </c>
    </row>
    <row r="237" spans="1:4" ht="81">
      <c r="A237" s="337">
        <v>97131</v>
      </c>
      <c r="B237" s="338" t="s">
        <v>630</v>
      </c>
      <c r="C237" s="337" t="s">
        <v>172</v>
      </c>
      <c r="D237" s="339">
        <v>11.27</v>
      </c>
    </row>
    <row r="238" spans="1:4" ht="81">
      <c r="A238" s="337">
        <v>97132</v>
      </c>
      <c r="B238" s="338" t="s">
        <v>631</v>
      </c>
      <c r="C238" s="337" t="s">
        <v>172</v>
      </c>
      <c r="D238" s="339">
        <v>12.81</v>
      </c>
    </row>
    <row r="239" spans="1:4" ht="81">
      <c r="A239" s="337">
        <v>97133</v>
      </c>
      <c r="B239" s="338" t="s">
        <v>632</v>
      </c>
      <c r="C239" s="337" t="s">
        <v>172</v>
      </c>
      <c r="D239" s="339">
        <v>15.89</v>
      </c>
    </row>
    <row r="240" spans="1:4" ht="81">
      <c r="A240" s="337">
        <v>97134</v>
      </c>
      <c r="B240" s="338" t="s">
        <v>633</v>
      </c>
      <c r="C240" s="337" t="s">
        <v>172</v>
      </c>
      <c r="D240" s="339">
        <v>1.56</v>
      </c>
    </row>
    <row r="241" spans="1:4" ht="81">
      <c r="A241" s="337">
        <v>97135</v>
      </c>
      <c r="B241" s="338" t="s">
        <v>634</v>
      </c>
      <c r="C241" s="337" t="s">
        <v>172</v>
      </c>
      <c r="D241" s="339">
        <v>3.43</v>
      </c>
    </row>
    <row r="242" spans="1:4" ht="81">
      <c r="A242" s="337">
        <v>97136</v>
      </c>
      <c r="B242" s="338" t="s">
        <v>635</v>
      </c>
      <c r="C242" s="337" t="s">
        <v>172</v>
      </c>
      <c r="D242" s="339">
        <v>4.21</v>
      </c>
    </row>
    <row r="243" spans="1:4" ht="81">
      <c r="A243" s="337">
        <v>97137</v>
      </c>
      <c r="B243" s="338" t="s">
        <v>636</v>
      </c>
      <c r="C243" s="337" t="s">
        <v>172</v>
      </c>
      <c r="D243" s="339">
        <v>5</v>
      </c>
    </row>
    <row r="244" spans="1:4" ht="81">
      <c r="A244" s="337">
        <v>97138</v>
      </c>
      <c r="B244" s="338" t="s">
        <v>637</v>
      </c>
      <c r="C244" s="337" t="s">
        <v>172</v>
      </c>
      <c r="D244" s="339">
        <v>5.8</v>
      </c>
    </row>
    <row r="245" spans="1:4" ht="81">
      <c r="A245" s="337">
        <v>97139</v>
      </c>
      <c r="B245" s="338" t="s">
        <v>638</v>
      </c>
      <c r="C245" s="337" t="s">
        <v>172</v>
      </c>
      <c r="D245" s="339">
        <v>6.57</v>
      </c>
    </row>
    <row r="246" spans="1:4" ht="81">
      <c r="A246" s="337">
        <v>97140</v>
      </c>
      <c r="B246" s="338" t="s">
        <v>639</v>
      </c>
      <c r="C246" s="337" t="s">
        <v>172</v>
      </c>
      <c r="D246" s="339">
        <v>8.17</v>
      </c>
    </row>
    <row r="247" spans="1:4" ht="27">
      <c r="A247" s="337">
        <v>83520</v>
      </c>
      <c r="B247" s="338" t="s">
        <v>640</v>
      </c>
      <c r="C247" s="337" t="s">
        <v>474</v>
      </c>
      <c r="D247" s="339">
        <v>107.11</v>
      </c>
    </row>
    <row r="248" spans="1:4" ht="27">
      <c r="A248" s="337">
        <v>83531</v>
      </c>
      <c r="B248" s="338" t="s">
        <v>641</v>
      </c>
      <c r="C248" s="337" t="s">
        <v>474</v>
      </c>
      <c r="D248" s="339">
        <v>280.87</v>
      </c>
    </row>
    <row r="249" spans="1:4" ht="27">
      <c r="A249" s="337">
        <v>83535</v>
      </c>
      <c r="B249" s="338" t="s">
        <v>642</v>
      </c>
      <c r="C249" s="337" t="s">
        <v>474</v>
      </c>
      <c r="D249" s="339">
        <v>232.09</v>
      </c>
    </row>
    <row r="250" spans="1:4" ht="27">
      <c r="A250" s="337" t="s">
        <v>643</v>
      </c>
      <c r="B250" s="338" t="s">
        <v>644</v>
      </c>
      <c r="C250" s="337" t="s">
        <v>474</v>
      </c>
      <c r="D250" s="339">
        <v>40.46</v>
      </c>
    </row>
    <row r="251" spans="1:4" ht="27">
      <c r="A251" s="337" t="s">
        <v>645</v>
      </c>
      <c r="B251" s="338" t="s">
        <v>646</v>
      </c>
      <c r="C251" s="337" t="s">
        <v>474</v>
      </c>
      <c r="D251" s="339">
        <v>69.17</v>
      </c>
    </row>
    <row r="252" spans="1:4" ht="27">
      <c r="A252" s="337" t="s">
        <v>647</v>
      </c>
      <c r="B252" s="338" t="s">
        <v>648</v>
      </c>
      <c r="C252" s="337" t="s">
        <v>474</v>
      </c>
      <c r="D252" s="339">
        <v>86.48</v>
      </c>
    </row>
    <row r="253" spans="1:4" ht="27">
      <c r="A253" s="337" t="s">
        <v>649</v>
      </c>
      <c r="B253" s="338" t="s">
        <v>650</v>
      </c>
      <c r="C253" s="337" t="s">
        <v>474</v>
      </c>
      <c r="D253" s="339">
        <v>434.19</v>
      </c>
    </row>
    <row r="254" spans="1:4" ht="27">
      <c r="A254" s="337" t="s">
        <v>651</v>
      </c>
      <c r="B254" s="338" t="s">
        <v>652</v>
      </c>
      <c r="C254" s="337" t="s">
        <v>474</v>
      </c>
      <c r="D254" s="339">
        <v>506.56</v>
      </c>
    </row>
    <row r="255" spans="1:4" ht="27">
      <c r="A255" s="337" t="s">
        <v>653</v>
      </c>
      <c r="B255" s="338" t="s">
        <v>654</v>
      </c>
      <c r="C255" s="337" t="s">
        <v>474</v>
      </c>
      <c r="D255" s="339">
        <v>615.11</v>
      </c>
    </row>
    <row r="256" spans="1:4" ht="27">
      <c r="A256" s="337" t="s">
        <v>655</v>
      </c>
      <c r="B256" s="338" t="s">
        <v>656</v>
      </c>
      <c r="C256" s="337" t="s">
        <v>474</v>
      </c>
      <c r="D256" s="339">
        <v>687.48</v>
      </c>
    </row>
    <row r="257" spans="1:4" ht="27">
      <c r="A257" s="337" t="s">
        <v>657</v>
      </c>
      <c r="B257" s="338" t="s">
        <v>658</v>
      </c>
      <c r="C257" s="337" t="s">
        <v>474</v>
      </c>
      <c r="D257" s="339">
        <v>723.68</v>
      </c>
    </row>
    <row r="258" spans="1:4" ht="27">
      <c r="A258" s="337" t="s">
        <v>659</v>
      </c>
      <c r="B258" s="338" t="s">
        <v>660</v>
      </c>
      <c r="C258" s="337" t="s">
        <v>474</v>
      </c>
      <c r="D258" s="339">
        <v>796.03</v>
      </c>
    </row>
    <row r="259" spans="1:4" ht="27">
      <c r="A259" s="337" t="s">
        <v>661</v>
      </c>
      <c r="B259" s="338" t="s">
        <v>662</v>
      </c>
      <c r="C259" s="337" t="s">
        <v>474</v>
      </c>
      <c r="D259" s="339">
        <v>832.22</v>
      </c>
    </row>
    <row r="260" spans="1:4" ht="27">
      <c r="A260" s="337" t="s">
        <v>663</v>
      </c>
      <c r="B260" s="338" t="s">
        <v>664</v>
      </c>
      <c r="C260" s="337" t="s">
        <v>474</v>
      </c>
      <c r="D260" s="339">
        <v>904.6</v>
      </c>
    </row>
    <row r="261" spans="1:4" ht="27">
      <c r="A261" s="337" t="s">
        <v>665</v>
      </c>
      <c r="B261" s="338" t="s">
        <v>666</v>
      </c>
      <c r="C261" s="337" t="s">
        <v>474</v>
      </c>
      <c r="D261" s="339">
        <v>976.95</v>
      </c>
    </row>
    <row r="262" spans="1:4" ht="27">
      <c r="A262" s="337" t="s">
        <v>667</v>
      </c>
      <c r="B262" s="338" t="s">
        <v>668</v>
      </c>
      <c r="C262" s="337" t="s">
        <v>474</v>
      </c>
      <c r="D262" s="340">
        <v>1093.27</v>
      </c>
    </row>
    <row r="263" spans="1:4" ht="27">
      <c r="A263" s="337" t="s">
        <v>669</v>
      </c>
      <c r="B263" s="338" t="s">
        <v>670</v>
      </c>
      <c r="C263" s="337" t="s">
        <v>474</v>
      </c>
      <c r="D263" s="340">
        <v>1093.27</v>
      </c>
    </row>
    <row r="264" spans="1:4" ht="27">
      <c r="A264" s="337" t="s">
        <v>671</v>
      </c>
      <c r="B264" s="338" t="s">
        <v>672</v>
      </c>
      <c r="C264" s="337" t="s">
        <v>474</v>
      </c>
      <c r="D264" s="340">
        <v>1104.77</v>
      </c>
    </row>
    <row r="265" spans="1:4" ht="27">
      <c r="A265" s="337" t="s">
        <v>673</v>
      </c>
      <c r="B265" s="338" t="s">
        <v>674</v>
      </c>
      <c r="C265" s="337" t="s">
        <v>474</v>
      </c>
      <c r="D265" s="340">
        <v>1249.46</v>
      </c>
    </row>
    <row r="266" spans="1:4" ht="27">
      <c r="A266" s="337" t="s">
        <v>675</v>
      </c>
      <c r="B266" s="338" t="s">
        <v>676</v>
      </c>
      <c r="C266" s="337" t="s">
        <v>474</v>
      </c>
      <c r="D266" s="339">
        <v>21.59</v>
      </c>
    </row>
    <row r="267" spans="1:4" ht="27">
      <c r="A267" s="337" t="s">
        <v>677</v>
      </c>
      <c r="B267" s="338" t="s">
        <v>678</v>
      </c>
      <c r="C267" s="337" t="s">
        <v>474</v>
      </c>
      <c r="D267" s="339">
        <v>25.93</v>
      </c>
    </row>
    <row r="268" spans="1:4" ht="27">
      <c r="A268" s="337" t="s">
        <v>679</v>
      </c>
      <c r="B268" s="338" t="s">
        <v>680</v>
      </c>
      <c r="C268" s="337" t="s">
        <v>474</v>
      </c>
      <c r="D268" s="339">
        <v>29.4</v>
      </c>
    </row>
    <row r="269" spans="1:4" ht="27">
      <c r="A269" s="337" t="s">
        <v>681</v>
      </c>
      <c r="B269" s="338" t="s">
        <v>682</v>
      </c>
      <c r="C269" s="337" t="s">
        <v>474</v>
      </c>
      <c r="D269" s="339">
        <v>159.19999999999999</v>
      </c>
    </row>
    <row r="270" spans="1:4" ht="27">
      <c r="A270" s="337" t="s">
        <v>683</v>
      </c>
      <c r="B270" s="338" t="s">
        <v>684</v>
      </c>
      <c r="C270" s="337" t="s">
        <v>474</v>
      </c>
      <c r="D270" s="339">
        <v>206.23</v>
      </c>
    </row>
    <row r="271" spans="1:4" ht="27">
      <c r="A271" s="337" t="s">
        <v>685</v>
      </c>
      <c r="B271" s="338" t="s">
        <v>686</v>
      </c>
      <c r="C271" s="337" t="s">
        <v>474</v>
      </c>
      <c r="D271" s="339">
        <v>242.43</v>
      </c>
    </row>
    <row r="272" spans="1:4" ht="27">
      <c r="A272" s="337" t="s">
        <v>687</v>
      </c>
      <c r="B272" s="338" t="s">
        <v>688</v>
      </c>
      <c r="C272" s="337" t="s">
        <v>474</v>
      </c>
      <c r="D272" s="339">
        <v>264.13</v>
      </c>
    </row>
    <row r="273" spans="1:4" ht="27">
      <c r="A273" s="337" t="s">
        <v>689</v>
      </c>
      <c r="B273" s="338" t="s">
        <v>690</v>
      </c>
      <c r="C273" s="337" t="s">
        <v>474</v>
      </c>
      <c r="D273" s="339">
        <v>289.45999999999998</v>
      </c>
    </row>
    <row r="274" spans="1:4" ht="27">
      <c r="A274" s="337" t="s">
        <v>691</v>
      </c>
      <c r="B274" s="338" t="s">
        <v>692</v>
      </c>
      <c r="C274" s="337" t="s">
        <v>474</v>
      </c>
      <c r="D274" s="339">
        <v>318.41000000000003</v>
      </c>
    </row>
    <row r="275" spans="1:4" ht="27">
      <c r="A275" s="337" t="s">
        <v>693</v>
      </c>
      <c r="B275" s="338" t="s">
        <v>694</v>
      </c>
      <c r="C275" s="337" t="s">
        <v>474</v>
      </c>
      <c r="D275" s="339">
        <v>343.73</v>
      </c>
    </row>
    <row r="276" spans="1:4" ht="27">
      <c r="A276" s="337" t="s">
        <v>695</v>
      </c>
      <c r="B276" s="338" t="s">
        <v>696</v>
      </c>
      <c r="C276" s="337" t="s">
        <v>474</v>
      </c>
      <c r="D276" s="339">
        <v>361.84</v>
      </c>
    </row>
    <row r="277" spans="1:4" ht="27">
      <c r="A277" s="337" t="s">
        <v>697</v>
      </c>
      <c r="B277" s="338" t="s">
        <v>698</v>
      </c>
      <c r="C277" s="337" t="s">
        <v>474</v>
      </c>
      <c r="D277" s="339">
        <v>412.48</v>
      </c>
    </row>
    <row r="278" spans="1:4" ht="40.5">
      <c r="A278" s="337">
        <v>92235</v>
      </c>
      <c r="B278" s="338" t="s">
        <v>699</v>
      </c>
      <c r="C278" s="337" t="s">
        <v>145</v>
      </c>
      <c r="D278" s="339">
        <v>50.18</v>
      </c>
    </row>
    <row r="279" spans="1:4" ht="40.5">
      <c r="A279" s="337">
        <v>93206</v>
      </c>
      <c r="B279" s="338" t="s">
        <v>700</v>
      </c>
      <c r="C279" s="337" t="s">
        <v>145</v>
      </c>
      <c r="D279" s="339">
        <v>723.3</v>
      </c>
    </row>
    <row r="280" spans="1:4" ht="54">
      <c r="A280" s="337">
        <v>93207</v>
      </c>
      <c r="B280" s="338" t="s">
        <v>701</v>
      </c>
      <c r="C280" s="337" t="s">
        <v>145</v>
      </c>
      <c r="D280" s="339">
        <v>616.96</v>
      </c>
    </row>
    <row r="281" spans="1:4" ht="40.5">
      <c r="A281" s="337">
        <v>93208</v>
      </c>
      <c r="B281" s="338" t="s">
        <v>702</v>
      </c>
      <c r="C281" s="337" t="s">
        <v>145</v>
      </c>
      <c r="D281" s="339">
        <v>449.49</v>
      </c>
    </row>
    <row r="282" spans="1:4" ht="40.5">
      <c r="A282" s="337">
        <v>93209</v>
      </c>
      <c r="B282" s="338" t="s">
        <v>703</v>
      </c>
      <c r="C282" s="337" t="s">
        <v>145</v>
      </c>
      <c r="D282" s="339">
        <v>554.09</v>
      </c>
    </row>
    <row r="283" spans="1:4" ht="54">
      <c r="A283" s="337">
        <v>93210</v>
      </c>
      <c r="B283" s="338" t="s">
        <v>704</v>
      </c>
      <c r="C283" s="337" t="s">
        <v>145</v>
      </c>
      <c r="D283" s="339">
        <v>334.16</v>
      </c>
    </row>
    <row r="284" spans="1:4" ht="40.5">
      <c r="A284" s="337">
        <v>93211</v>
      </c>
      <c r="B284" s="338" t="s">
        <v>705</v>
      </c>
      <c r="C284" s="337" t="s">
        <v>145</v>
      </c>
      <c r="D284" s="339">
        <v>352.87</v>
      </c>
    </row>
    <row r="285" spans="1:4" ht="54">
      <c r="A285" s="337">
        <v>93212</v>
      </c>
      <c r="B285" s="338" t="s">
        <v>706</v>
      </c>
      <c r="C285" s="337" t="s">
        <v>145</v>
      </c>
      <c r="D285" s="339">
        <v>564.80999999999995</v>
      </c>
    </row>
    <row r="286" spans="1:4" ht="40.5">
      <c r="A286" s="337">
        <v>93213</v>
      </c>
      <c r="B286" s="338" t="s">
        <v>707</v>
      </c>
      <c r="C286" s="337" t="s">
        <v>145</v>
      </c>
      <c r="D286" s="339">
        <v>649.95000000000005</v>
      </c>
    </row>
    <row r="287" spans="1:4" ht="54">
      <c r="A287" s="337">
        <v>93214</v>
      </c>
      <c r="B287" s="338" t="s">
        <v>708</v>
      </c>
      <c r="C287" s="337" t="s">
        <v>474</v>
      </c>
      <c r="D287" s="340">
        <v>3154.65</v>
      </c>
    </row>
    <row r="288" spans="1:4" ht="54">
      <c r="A288" s="337">
        <v>93243</v>
      </c>
      <c r="B288" s="338" t="s">
        <v>709</v>
      </c>
      <c r="C288" s="337" t="s">
        <v>474</v>
      </c>
      <c r="D288" s="340">
        <v>4750.5600000000004</v>
      </c>
    </row>
    <row r="289" spans="1:4" ht="40.5">
      <c r="A289" s="337">
        <v>93582</v>
      </c>
      <c r="B289" s="338" t="s">
        <v>710</v>
      </c>
      <c r="C289" s="337" t="s">
        <v>145</v>
      </c>
      <c r="D289" s="339">
        <v>155.13999999999999</v>
      </c>
    </row>
    <row r="290" spans="1:4" ht="54">
      <c r="A290" s="337">
        <v>93583</v>
      </c>
      <c r="B290" s="338" t="s">
        <v>711</v>
      </c>
      <c r="C290" s="337" t="s">
        <v>145</v>
      </c>
      <c r="D290" s="339">
        <v>265.81</v>
      </c>
    </row>
    <row r="291" spans="1:4" ht="40.5">
      <c r="A291" s="337">
        <v>93584</v>
      </c>
      <c r="B291" s="338" t="s">
        <v>712</v>
      </c>
      <c r="C291" s="337" t="s">
        <v>145</v>
      </c>
      <c r="D291" s="339">
        <v>454.26</v>
      </c>
    </row>
    <row r="292" spans="1:4" ht="40.5">
      <c r="A292" s="337">
        <v>93585</v>
      </c>
      <c r="B292" s="338" t="s">
        <v>713</v>
      </c>
      <c r="C292" s="337" t="s">
        <v>145</v>
      </c>
      <c r="D292" s="339">
        <v>622.52</v>
      </c>
    </row>
    <row r="293" spans="1:4" ht="54">
      <c r="A293" s="337">
        <v>98441</v>
      </c>
      <c r="B293" s="338" t="s">
        <v>714</v>
      </c>
      <c r="C293" s="337" t="s">
        <v>145</v>
      </c>
      <c r="D293" s="339">
        <v>66.09</v>
      </c>
    </row>
    <row r="294" spans="1:4" ht="54">
      <c r="A294" s="337">
        <v>98442</v>
      </c>
      <c r="B294" s="338" t="s">
        <v>715</v>
      </c>
      <c r="C294" s="337" t="s">
        <v>145</v>
      </c>
      <c r="D294" s="339">
        <v>68.28</v>
      </c>
    </row>
    <row r="295" spans="1:4" ht="54">
      <c r="A295" s="337">
        <v>98443</v>
      </c>
      <c r="B295" s="338" t="s">
        <v>716</v>
      </c>
      <c r="C295" s="337" t="s">
        <v>145</v>
      </c>
      <c r="D295" s="339">
        <v>56.06</v>
      </c>
    </row>
    <row r="296" spans="1:4" ht="54">
      <c r="A296" s="337">
        <v>98444</v>
      </c>
      <c r="B296" s="338" t="s">
        <v>717</v>
      </c>
      <c r="C296" s="337" t="s">
        <v>145</v>
      </c>
      <c r="D296" s="339">
        <v>57.62</v>
      </c>
    </row>
    <row r="297" spans="1:4" ht="54">
      <c r="A297" s="337">
        <v>98445</v>
      </c>
      <c r="B297" s="338" t="s">
        <v>718</v>
      </c>
      <c r="C297" s="337" t="s">
        <v>145</v>
      </c>
      <c r="D297" s="339">
        <v>79.45</v>
      </c>
    </row>
    <row r="298" spans="1:4" ht="54">
      <c r="A298" s="337">
        <v>98446</v>
      </c>
      <c r="B298" s="338" t="s">
        <v>719</v>
      </c>
      <c r="C298" s="337" t="s">
        <v>145</v>
      </c>
      <c r="D298" s="339">
        <v>103.52</v>
      </c>
    </row>
    <row r="299" spans="1:4" ht="54">
      <c r="A299" s="337">
        <v>98447</v>
      </c>
      <c r="B299" s="338" t="s">
        <v>720</v>
      </c>
      <c r="C299" s="337" t="s">
        <v>145</v>
      </c>
      <c r="D299" s="339">
        <v>65.650000000000006</v>
      </c>
    </row>
    <row r="300" spans="1:4" ht="54">
      <c r="A300" s="337">
        <v>98448</v>
      </c>
      <c r="B300" s="338" t="s">
        <v>721</v>
      </c>
      <c r="C300" s="337" t="s">
        <v>145</v>
      </c>
      <c r="D300" s="339">
        <v>83.7</v>
      </c>
    </row>
    <row r="301" spans="1:4" ht="54">
      <c r="A301" s="337">
        <v>98449</v>
      </c>
      <c r="B301" s="338" t="s">
        <v>722</v>
      </c>
      <c r="C301" s="337" t="s">
        <v>145</v>
      </c>
      <c r="D301" s="339">
        <v>85.79</v>
      </c>
    </row>
    <row r="302" spans="1:4" ht="54">
      <c r="A302" s="337">
        <v>98450</v>
      </c>
      <c r="B302" s="338" t="s">
        <v>723</v>
      </c>
      <c r="C302" s="337" t="s">
        <v>145</v>
      </c>
      <c r="D302" s="339">
        <v>88.97</v>
      </c>
    </row>
    <row r="303" spans="1:4" ht="54">
      <c r="A303" s="337">
        <v>98451</v>
      </c>
      <c r="B303" s="338" t="s">
        <v>724</v>
      </c>
      <c r="C303" s="337" t="s">
        <v>145</v>
      </c>
      <c r="D303" s="339">
        <v>73.88</v>
      </c>
    </row>
    <row r="304" spans="1:4" ht="54">
      <c r="A304" s="337">
        <v>98452</v>
      </c>
      <c r="B304" s="338" t="s">
        <v>725</v>
      </c>
      <c r="C304" s="337" t="s">
        <v>145</v>
      </c>
      <c r="D304" s="339">
        <v>75.8</v>
      </c>
    </row>
    <row r="305" spans="1:4" ht="54">
      <c r="A305" s="337">
        <v>98453</v>
      </c>
      <c r="B305" s="338" t="s">
        <v>726</v>
      </c>
      <c r="C305" s="337" t="s">
        <v>145</v>
      </c>
      <c r="D305" s="339">
        <v>102.81</v>
      </c>
    </row>
    <row r="306" spans="1:4" ht="54">
      <c r="A306" s="337">
        <v>98454</v>
      </c>
      <c r="B306" s="338" t="s">
        <v>727</v>
      </c>
      <c r="C306" s="337" t="s">
        <v>145</v>
      </c>
      <c r="D306" s="339">
        <v>135.88999999999999</v>
      </c>
    </row>
    <row r="307" spans="1:4" ht="54">
      <c r="A307" s="337">
        <v>98455</v>
      </c>
      <c r="B307" s="338" t="s">
        <v>728</v>
      </c>
      <c r="C307" s="337" t="s">
        <v>145</v>
      </c>
      <c r="D307" s="339">
        <v>87.13</v>
      </c>
    </row>
    <row r="308" spans="1:4" ht="54">
      <c r="A308" s="337">
        <v>98456</v>
      </c>
      <c r="B308" s="338" t="s">
        <v>729</v>
      </c>
      <c r="C308" s="337" t="s">
        <v>145</v>
      </c>
      <c r="D308" s="339">
        <v>113.58</v>
      </c>
    </row>
    <row r="309" spans="1:4" ht="27">
      <c r="A309" s="337">
        <v>98458</v>
      </c>
      <c r="B309" s="338" t="s">
        <v>730</v>
      </c>
      <c r="C309" s="337" t="s">
        <v>145</v>
      </c>
      <c r="D309" s="339">
        <v>62.54</v>
      </c>
    </row>
    <row r="310" spans="1:4" ht="13.5">
      <c r="A310" s="337">
        <v>98459</v>
      </c>
      <c r="B310" s="338" t="s">
        <v>731</v>
      </c>
      <c r="C310" s="337" t="s">
        <v>145</v>
      </c>
      <c r="D310" s="339">
        <v>65.459999999999994</v>
      </c>
    </row>
    <row r="311" spans="1:4" ht="40.5">
      <c r="A311" s="337">
        <v>98460</v>
      </c>
      <c r="B311" s="338" t="s">
        <v>732</v>
      </c>
      <c r="C311" s="337" t="s">
        <v>145</v>
      </c>
      <c r="D311" s="339">
        <v>57.27</v>
      </c>
    </row>
    <row r="312" spans="1:4" ht="40.5">
      <c r="A312" s="337">
        <v>98461</v>
      </c>
      <c r="B312" s="338" t="s">
        <v>733</v>
      </c>
      <c r="C312" s="337" t="s">
        <v>474</v>
      </c>
      <c r="D312" s="340">
        <v>2633.8</v>
      </c>
    </row>
    <row r="313" spans="1:4" ht="40.5">
      <c r="A313" s="337">
        <v>98462</v>
      </c>
      <c r="B313" s="338" t="s">
        <v>734</v>
      </c>
      <c r="C313" s="337" t="s">
        <v>474</v>
      </c>
      <c r="D313" s="340">
        <v>3868.91</v>
      </c>
    </row>
    <row r="314" spans="1:4" ht="27">
      <c r="A314" s="337" t="s">
        <v>49</v>
      </c>
      <c r="B314" s="338" t="s">
        <v>735</v>
      </c>
      <c r="C314" s="337" t="s">
        <v>145</v>
      </c>
      <c r="D314" s="339">
        <v>569.71</v>
      </c>
    </row>
    <row r="315" spans="1:4" ht="81">
      <c r="A315" s="337" t="s">
        <v>29</v>
      </c>
      <c r="B315" s="338" t="s">
        <v>736</v>
      </c>
      <c r="C315" s="337" t="s">
        <v>737</v>
      </c>
      <c r="D315" s="339">
        <v>394.53</v>
      </c>
    </row>
    <row r="316" spans="1:4" ht="54">
      <c r="A316" s="337">
        <v>5631</v>
      </c>
      <c r="B316" s="338" t="s">
        <v>738</v>
      </c>
      <c r="C316" s="337" t="s">
        <v>739</v>
      </c>
      <c r="D316" s="339">
        <v>132.44</v>
      </c>
    </row>
    <row r="317" spans="1:4" ht="94.5">
      <c r="A317" s="337">
        <v>5678</v>
      </c>
      <c r="B317" s="338" t="s">
        <v>740</v>
      </c>
      <c r="C317" s="337" t="s">
        <v>739</v>
      </c>
      <c r="D317" s="339">
        <v>96.82</v>
      </c>
    </row>
    <row r="318" spans="1:4" ht="94.5">
      <c r="A318" s="337">
        <v>5680</v>
      </c>
      <c r="B318" s="338" t="s">
        <v>741</v>
      </c>
      <c r="C318" s="337" t="s">
        <v>739</v>
      </c>
      <c r="D318" s="339">
        <v>89.56</v>
      </c>
    </row>
    <row r="319" spans="1:4" ht="81">
      <c r="A319" s="337">
        <v>5684</v>
      </c>
      <c r="B319" s="338" t="s">
        <v>742</v>
      </c>
      <c r="C319" s="337" t="s">
        <v>739</v>
      </c>
      <c r="D319" s="339">
        <v>88.84</v>
      </c>
    </row>
    <row r="320" spans="1:4" ht="54">
      <c r="A320" s="337">
        <v>5689</v>
      </c>
      <c r="B320" s="338" t="s">
        <v>743</v>
      </c>
      <c r="C320" s="337" t="s">
        <v>739</v>
      </c>
      <c r="D320" s="339">
        <v>2.96</v>
      </c>
    </row>
    <row r="321" spans="1:4" ht="40.5">
      <c r="A321" s="337">
        <v>5795</v>
      </c>
      <c r="B321" s="338" t="s">
        <v>744</v>
      </c>
      <c r="C321" s="337" t="s">
        <v>739</v>
      </c>
      <c r="D321" s="339">
        <v>14.93</v>
      </c>
    </row>
    <row r="322" spans="1:4" ht="67.5">
      <c r="A322" s="337">
        <v>5811</v>
      </c>
      <c r="B322" s="338" t="s">
        <v>745</v>
      </c>
      <c r="C322" s="337" t="s">
        <v>739</v>
      </c>
      <c r="D322" s="339">
        <v>163.29</v>
      </c>
    </row>
    <row r="323" spans="1:4" ht="40.5">
      <c r="A323" s="337">
        <v>5823</v>
      </c>
      <c r="B323" s="338" t="s">
        <v>746</v>
      </c>
      <c r="C323" s="337" t="s">
        <v>739</v>
      </c>
      <c r="D323" s="339">
        <v>160.72</v>
      </c>
    </row>
    <row r="324" spans="1:4" ht="94.5">
      <c r="A324" s="337">
        <v>5824</v>
      </c>
      <c r="B324" s="338" t="s">
        <v>747</v>
      </c>
      <c r="C324" s="337" t="s">
        <v>739</v>
      </c>
      <c r="D324" s="339">
        <v>129.97999999999999</v>
      </c>
    </row>
    <row r="325" spans="1:4" ht="54">
      <c r="A325" s="337">
        <v>5835</v>
      </c>
      <c r="B325" s="338" t="s">
        <v>748</v>
      </c>
      <c r="C325" s="337" t="s">
        <v>739</v>
      </c>
      <c r="D325" s="339">
        <v>211.64</v>
      </c>
    </row>
    <row r="326" spans="1:4" ht="40.5">
      <c r="A326" s="337">
        <v>5839</v>
      </c>
      <c r="B326" s="338" t="s">
        <v>749</v>
      </c>
      <c r="C326" s="337" t="s">
        <v>739</v>
      </c>
      <c r="D326" s="339">
        <v>4.3600000000000003</v>
      </c>
    </row>
    <row r="327" spans="1:4" ht="40.5">
      <c r="A327" s="337">
        <v>5843</v>
      </c>
      <c r="B327" s="338" t="s">
        <v>750</v>
      </c>
      <c r="C327" s="337" t="s">
        <v>739</v>
      </c>
      <c r="D327" s="339">
        <v>97.24</v>
      </c>
    </row>
    <row r="328" spans="1:4" ht="40.5">
      <c r="A328" s="337">
        <v>5847</v>
      </c>
      <c r="B328" s="338" t="s">
        <v>751</v>
      </c>
      <c r="C328" s="337" t="s">
        <v>739</v>
      </c>
      <c r="D328" s="339">
        <v>165.86</v>
      </c>
    </row>
    <row r="329" spans="1:4" ht="54">
      <c r="A329" s="337">
        <v>5851</v>
      </c>
      <c r="B329" s="338" t="s">
        <v>752</v>
      </c>
      <c r="C329" s="337" t="s">
        <v>739</v>
      </c>
      <c r="D329" s="339">
        <v>156.34</v>
      </c>
    </row>
    <row r="330" spans="1:4" ht="40.5">
      <c r="A330" s="337">
        <v>5855</v>
      </c>
      <c r="B330" s="338" t="s">
        <v>753</v>
      </c>
      <c r="C330" s="337" t="s">
        <v>739</v>
      </c>
      <c r="D330" s="339">
        <v>407.58</v>
      </c>
    </row>
    <row r="331" spans="1:4" ht="67.5">
      <c r="A331" s="337">
        <v>5863</v>
      </c>
      <c r="B331" s="338" t="s">
        <v>754</v>
      </c>
      <c r="C331" s="337" t="s">
        <v>739</v>
      </c>
      <c r="D331" s="339">
        <v>10.62</v>
      </c>
    </row>
    <row r="332" spans="1:4" ht="54">
      <c r="A332" s="337">
        <v>5867</v>
      </c>
      <c r="B332" s="338" t="s">
        <v>755</v>
      </c>
      <c r="C332" s="337" t="s">
        <v>739</v>
      </c>
      <c r="D332" s="339">
        <v>85.97</v>
      </c>
    </row>
    <row r="333" spans="1:4" ht="94.5">
      <c r="A333" s="337">
        <v>5875</v>
      </c>
      <c r="B333" s="338" t="s">
        <v>756</v>
      </c>
      <c r="C333" s="337" t="s">
        <v>739</v>
      </c>
      <c r="D333" s="339">
        <v>88.68</v>
      </c>
    </row>
    <row r="334" spans="1:4" ht="67.5">
      <c r="A334" s="337">
        <v>5879</v>
      </c>
      <c r="B334" s="338" t="s">
        <v>757</v>
      </c>
      <c r="C334" s="337" t="s">
        <v>739</v>
      </c>
      <c r="D334" s="339">
        <v>70.41</v>
      </c>
    </row>
    <row r="335" spans="1:4" ht="81">
      <c r="A335" s="337">
        <v>5882</v>
      </c>
      <c r="B335" s="338" t="s">
        <v>758</v>
      </c>
      <c r="C335" s="337" t="s">
        <v>739</v>
      </c>
      <c r="D335" s="339">
        <v>74.540000000000006</v>
      </c>
    </row>
    <row r="336" spans="1:4" ht="67.5">
      <c r="A336" s="337">
        <v>5890</v>
      </c>
      <c r="B336" s="338" t="s">
        <v>759</v>
      </c>
      <c r="C336" s="337" t="s">
        <v>739</v>
      </c>
      <c r="D336" s="339">
        <v>130.47</v>
      </c>
    </row>
    <row r="337" spans="1:4" ht="67.5">
      <c r="A337" s="337">
        <v>5894</v>
      </c>
      <c r="B337" s="338" t="s">
        <v>760</v>
      </c>
      <c r="C337" s="337" t="s">
        <v>739</v>
      </c>
      <c r="D337" s="339">
        <v>128.25</v>
      </c>
    </row>
    <row r="338" spans="1:4" ht="81">
      <c r="A338" s="337">
        <v>5901</v>
      </c>
      <c r="B338" s="338" t="s">
        <v>761</v>
      </c>
      <c r="C338" s="337" t="s">
        <v>739</v>
      </c>
      <c r="D338" s="339">
        <v>163.58000000000001</v>
      </c>
    </row>
    <row r="339" spans="1:4" ht="54">
      <c r="A339" s="337">
        <v>5909</v>
      </c>
      <c r="B339" s="338" t="s">
        <v>762</v>
      </c>
      <c r="C339" s="337" t="s">
        <v>739</v>
      </c>
      <c r="D339" s="339">
        <v>21.49</v>
      </c>
    </row>
    <row r="340" spans="1:4" ht="40.5">
      <c r="A340" s="337">
        <v>5921</v>
      </c>
      <c r="B340" s="338" t="s">
        <v>763</v>
      </c>
      <c r="C340" s="337" t="s">
        <v>739</v>
      </c>
      <c r="D340" s="339">
        <v>2.31</v>
      </c>
    </row>
    <row r="341" spans="1:4" ht="81">
      <c r="A341" s="337">
        <v>5928</v>
      </c>
      <c r="B341" s="338" t="s">
        <v>764</v>
      </c>
      <c r="C341" s="337" t="s">
        <v>739</v>
      </c>
      <c r="D341" s="339">
        <v>137.74</v>
      </c>
    </row>
    <row r="342" spans="1:4" ht="54">
      <c r="A342" s="337">
        <v>5932</v>
      </c>
      <c r="B342" s="338" t="s">
        <v>765</v>
      </c>
      <c r="C342" s="337" t="s">
        <v>739</v>
      </c>
      <c r="D342" s="339">
        <v>145.05000000000001</v>
      </c>
    </row>
    <row r="343" spans="1:4" ht="54">
      <c r="A343" s="337">
        <v>5940</v>
      </c>
      <c r="B343" s="338" t="s">
        <v>766</v>
      </c>
      <c r="C343" s="337" t="s">
        <v>739</v>
      </c>
      <c r="D343" s="339">
        <v>114.8</v>
      </c>
    </row>
    <row r="344" spans="1:4" ht="54">
      <c r="A344" s="337">
        <v>5944</v>
      </c>
      <c r="B344" s="338" t="s">
        <v>767</v>
      </c>
      <c r="C344" s="337" t="s">
        <v>739</v>
      </c>
      <c r="D344" s="339">
        <v>163.07</v>
      </c>
    </row>
    <row r="345" spans="1:4" ht="54">
      <c r="A345" s="337">
        <v>5953</v>
      </c>
      <c r="B345" s="338" t="s">
        <v>768</v>
      </c>
      <c r="C345" s="337" t="s">
        <v>739</v>
      </c>
      <c r="D345" s="339">
        <v>35.630000000000003</v>
      </c>
    </row>
    <row r="346" spans="1:4" ht="67.5">
      <c r="A346" s="337">
        <v>6259</v>
      </c>
      <c r="B346" s="338" t="s">
        <v>769</v>
      </c>
      <c r="C346" s="337" t="s">
        <v>739</v>
      </c>
      <c r="D346" s="339">
        <v>135.19999999999999</v>
      </c>
    </row>
    <row r="347" spans="1:4" ht="67.5">
      <c r="A347" s="337">
        <v>6879</v>
      </c>
      <c r="B347" s="338" t="s">
        <v>770</v>
      </c>
      <c r="C347" s="337" t="s">
        <v>739</v>
      </c>
      <c r="D347" s="339">
        <v>124.04</v>
      </c>
    </row>
    <row r="348" spans="1:4" ht="40.5">
      <c r="A348" s="337">
        <v>7030</v>
      </c>
      <c r="B348" s="338" t="s">
        <v>771</v>
      </c>
      <c r="C348" s="337" t="s">
        <v>739</v>
      </c>
      <c r="D348" s="339">
        <v>166.01</v>
      </c>
    </row>
    <row r="349" spans="1:4" ht="67.5">
      <c r="A349" s="337">
        <v>7042</v>
      </c>
      <c r="B349" s="338" t="s">
        <v>772</v>
      </c>
      <c r="C349" s="337" t="s">
        <v>739</v>
      </c>
      <c r="D349" s="339">
        <v>4.8099999999999996</v>
      </c>
    </row>
    <row r="350" spans="1:4" ht="81">
      <c r="A350" s="337">
        <v>7049</v>
      </c>
      <c r="B350" s="338" t="s">
        <v>773</v>
      </c>
      <c r="C350" s="337" t="s">
        <v>739</v>
      </c>
      <c r="D350" s="339">
        <v>124.76</v>
      </c>
    </row>
    <row r="351" spans="1:4" ht="81">
      <c r="A351" s="337">
        <v>67826</v>
      </c>
      <c r="B351" s="338" t="s">
        <v>774</v>
      </c>
      <c r="C351" s="337" t="s">
        <v>739</v>
      </c>
      <c r="D351" s="339">
        <v>139.59</v>
      </c>
    </row>
    <row r="352" spans="1:4" ht="40.5">
      <c r="A352" s="337">
        <v>73417</v>
      </c>
      <c r="B352" s="338" t="s">
        <v>775</v>
      </c>
      <c r="C352" s="337" t="s">
        <v>739</v>
      </c>
      <c r="D352" s="339">
        <v>109.95</v>
      </c>
    </row>
    <row r="353" spans="1:4" ht="67.5">
      <c r="A353" s="337">
        <v>73436</v>
      </c>
      <c r="B353" s="338" t="s">
        <v>776</v>
      </c>
      <c r="C353" s="337" t="s">
        <v>739</v>
      </c>
      <c r="D353" s="339">
        <v>118.21</v>
      </c>
    </row>
    <row r="354" spans="1:4" ht="94.5">
      <c r="A354" s="337">
        <v>73467</v>
      </c>
      <c r="B354" s="338" t="s">
        <v>777</v>
      </c>
      <c r="C354" s="337" t="s">
        <v>739</v>
      </c>
      <c r="D354" s="339">
        <v>132.55000000000001</v>
      </c>
    </row>
    <row r="355" spans="1:4" ht="67.5">
      <c r="A355" s="337">
        <v>73536</v>
      </c>
      <c r="B355" s="338" t="s">
        <v>778</v>
      </c>
      <c r="C355" s="337" t="s">
        <v>739</v>
      </c>
      <c r="D355" s="339">
        <v>4.05</v>
      </c>
    </row>
    <row r="356" spans="1:4" ht="81">
      <c r="A356" s="337">
        <v>83362</v>
      </c>
      <c r="B356" s="338" t="s">
        <v>779</v>
      </c>
      <c r="C356" s="337" t="s">
        <v>739</v>
      </c>
      <c r="D356" s="339">
        <v>168.26</v>
      </c>
    </row>
    <row r="357" spans="1:4" ht="54">
      <c r="A357" s="337">
        <v>83765</v>
      </c>
      <c r="B357" s="338" t="s">
        <v>780</v>
      </c>
      <c r="C357" s="337" t="s">
        <v>739</v>
      </c>
      <c r="D357" s="339">
        <v>63.29</v>
      </c>
    </row>
    <row r="358" spans="1:4" ht="54">
      <c r="A358" s="337">
        <v>87445</v>
      </c>
      <c r="B358" s="338" t="s">
        <v>781</v>
      </c>
      <c r="C358" s="337" t="s">
        <v>739</v>
      </c>
      <c r="D358" s="339">
        <v>3.09</v>
      </c>
    </row>
    <row r="359" spans="1:4" ht="54">
      <c r="A359" s="337">
        <v>88386</v>
      </c>
      <c r="B359" s="338" t="s">
        <v>782</v>
      </c>
      <c r="C359" s="337" t="s">
        <v>739</v>
      </c>
      <c r="D359" s="339">
        <v>3.01</v>
      </c>
    </row>
    <row r="360" spans="1:4" ht="54">
      <c r="A360" s="337">
        <v>88393</v>
      </c>
      <c r="B360" s="338" t="s">
        <v>783</v>
      </c>
      <c r="C360" s="337" t="s">
        <v>739</v>
      </c>
      <c r="D360" s="339">
        <v>4.08</v>
      </c>
    </row>
    <row r="361" spans="1:4" ht="54">
      <c r="A361" s="337">
        <v>88399</v>
      </c>
      <c r="B361" s="338" t="s">
        <v>784</v>
      </c>
      <c r="C361" s="337" t="s">
        <v>739</v>
      </c>
      <c r="D361" s="339">
        <v>2.29</v>
      </c>
    </row>
    <row r="362" spans="1:4" ht="54">
      <c r="A362" s="337">
        <v>88418</v>
      </c>
      <c r="B362" s="338" t="s">
        <v>785</v>
      </c>
      <c r="C362" s="337" t="s">
        <v>739</v>
      </c>
      <c r="D362" s="339">
        <v>10.66</v>
      </c>
    </row>
    <row r="363" spans="1:4" ht="54">
      <c r="A363" s="337">
        <v>88433</v>
      </c>
      <c r="B363" s="338" t="s">
        <v>786</v>
      </c>
      <c r="C363" s="337" t="s">
        <v>739</v>
      </c>
      <c r="D363" s="339">
        <v>13.34</v>
      </c>
    </row>
    <row r="364" spans="1:4" ht="54">
      <c r="A364" s="337">
        <v>88830</v>
      </c>
      <c r="B364" s="338" t="s">
        <v>787</v>
      </c>
      <c r="C364" s="337" t="s">
        <v>739</v>
      </c>
      <c r="D364" s="339">
        <v>1.08</v>
      </c>
    </row>
    <row r="365" spans="1:4" ht="40.5">
      <c r="A365" s="337">
        <v>88843</v>
      </c>
      <c r="B365" s="338" t="s">
        <v>788</v>
      </c>
      <c r="C365" s="337" t="s">
        <v>739</v>
      </c>
      <c r="D365" s="339">
        <v>130.96</v>
      </c>
    </row>
    <row r="366" spans="1:4" ht="54">
      <c r="A366" s="337">
        <v>88907</v>
      </c>
      <c r="B366" s="338" t="s">
        <v>789</v>
      </c>
      <c r="C366" s="337" t="s">
        <v>739</v>
      </c>
      <c r="D366" s="339">
        <v>160.97999999999999</v>
      </c>
    </row>
    <row r="367" spans="1:4" ht="67.5">
      <c r="A367" s="337">
        <v>89021</v>
      </c>
      <c r="B367" s="338" t="s">
        <v>790</v>
      </c>
      <c r="C367" s="337" t="s">
        <v>739</v>
      </c>
      <c r="D367" s="339">
        <v>1.5</v>
      </c>
    </row>
    <row r="368" spans="1:4" ht="40.5">
      <c r="A368" s="337">
        <v>89028</v>
      </c>
      <c r="B368" s="338" t="s">
        <v>791</v>
      </c>
      <c r="C368" s="337" t="s">
        <v>739</v>
      </c>
      <c r="D368" s="339">
        <v>153.76</v>
      </c>
    </row>
    <row r="369" spans="1:4" ht="40.5">
      <c r="A369" s="337">
        <v>89032</v>
      </c>
      <c r="B369" s="338" t="s">
        <v>792</v>
      </c>
      <c r="C369" s="337" t="s">
        <v>739</v>
      </c>
      <c r="D369" s="339">
        <v>116.14</v>
      </c>
    </row>
    <row r="370" spans="1:4" ht="40.5">
      <c r="A370" s="337">
        <v>89035</v>
      </c>
      <c r="B370" s="338" t="s">
        <v>793</v>
      </c>
      <c r="C370" s="337" t="s">
        <v>739</v>
      </c>
      <c r="D370" s="339">
        <v>72.989999999999995</v>
      </c>
    </row>
    <row r="371" spans="1:4" ht="54">
      <c r="A371" s="337">
        <v>89225</v>
      </c>
      <c r="B371" s="338" t="s">
        <v>794</v>
      </c>
      <c r="C371" s="337" t="s">
        <v>739</v>
      </c>
      <c r="D371" s="339">
        <v>3.17</v>
      </c>
    </row>
    <row r="372" spans="1:4" ht="54">
      <c r="A372" s="337">
        <v>89234</v>
      </c>
      <c r="B372" s="338" t="s">
        <v>795</v>
      </c>
      <c r="C372" s="337" t="s">
        <v>739</v>
      </c>
      <c r="D372" s="339">
        <v>328.24</v>
      </c>
    </row>
    <row r="373" spans="1:4" ht="54">
      <c r="A373" s="337">
        <v>89242</v>
      </c>
      <c r="B373" s="338" t="s">
        <v>796</v>
      </c>
      <c r="C373" s="337" t="s">
        <v>739</v>
      </c>
      <c r="D373" s="339">
        <v>776.53</v>
      </c>
    </row>
    <row r="374" spans="1:4" ht="54">
      <c r="A374" s="337">
        <v>89250</v>
      </c>
      <c r="B374" s="338" t="s">
        <v>797</v>
      </c>
      <c r="C374" s="337" t="s">
        <v>739</v>
      </c>
      <c r="D374" s="339">
        <v>649.20000000000005</v>
      </c>
    </row>
    <row r="375" spans="1:4" ht="54">
      <c r="A375" s="337">
        <v>89257</v>
      </c>
      <c r="B375" s="338" t="s">
        <v>798</v>
      </c>
      <c r="C375" s="337" t="s">
        <v>739</v>
      </c>
      <c r="D375" s="339">
        <v>183.33</v>
      </c>
    </row>
    <row r="376" spans="1:4" ht="54">
      <c r="A376" s="337">
        <v>89272</v>
      </c>
      <c r="B376" s="338" t="s">
        <v>799</v>
      </c>
      <c r="C376" s="337" t="s">
        <v>739</v>
      </c>
      <c r="D376" s="339">
        <v>149.80000000000001</v>
      </c>
    </row>
    <row r="377" spans="1:4" ht="54">
      <c r="A377" s="337">
        <v>89278</v>
      </c>
      <c r="B377" s="338" t="s">
        <v>800</v>
      </c>
      <c r="C377" s="337" t="s">
        <v>739</v>
      </c>
      <c r="D377" s="339">
        <v>7.26</v>
      </c>
    </row>
    <row r="378" spans="1:4" ht="40.5">
      <c r="A378" s="337">
        <v>89843</v>
      </c>
      <c r="B378" s="338" t="s">
        <v>801</v>
      </c>
      <c r="C378" s="337" t="s">
        <v>739</v>
      </c>
      <c r="D378" s="339">
        <v>140.46</v>
      </c>
    </row>
    <row r="379" spans="1:4" ht="67.5">
      <c r="A379" s="337">
        <v>89876</v>
      </c>
      <c r="B379" s="338" t="s">
        <v>802</v>
      </c>
      <c r="C379" s="337" t="s">
        <v>739</v>
      </c>
      <c r="D379" s="339">
        <v>213.38</v>
      </c>
    </row>
    <row r="380" spans="1:4" ht="67.5">
      <c r="A380" s="337">
        <v>89883</v>
      </c>
      <c r="B380" s="338" t="s">
        <v>803</v>
      </c>
      <c r="C380" s="337" t="s">
        <v>739</v>
      </c>
      <c r="D380" s="339">
        <v>238.06</v>
      </c>
    </row>
    <row r="381" spans="1:4" ht="54">
      <c r="A381" s="337">
        <v>90586</v>
      </c>
      <c r="B381" s="338" t="s">
        <v>804</v>
      </c>
      <c r="C381" s="337" t="s">
        <v>739</v>
      </c>
      <c r="D381" s="339">
        <v>1.1200000000000001</v>
      </c>
    </row>
    <row r="382" spans="1:4" ht="40.5">
      <c r="A382" s="337">
        <v>90625</v>
      </c>
      <c r="B382" s="338" t="s">
        <v>805</v>
      </c>
      <c r="C382" s="337" t="s">
        <v>739</v>
      </c>
      <c r="D382" s="339">
        <v>5.6</v>
      </c>
    </row>
    <row r="383" spans="1:4" ht="54">
      <c r="A383" s="337">
        <v>90631</v>
      </c>
      <c r="B383" s="338" t="s">
        <v>806</v>
      </c>
      <c r="C383" s="337" t="s">
        <v>739</v>
      </c>
      <c r="D383" s="339">
        <v>82.08</v>
      </c>
    </row>
    <row r="384" spans="1:4" ht="67.5">
      <c r="A384" s="337">
        <v>90637</v>
      </c>
      <c r="B384" s="338" t="s">
        <v>807</v>
      </c>
      <c r="C384" s="337" t="s">
        <v>739</v>
      </c>
      <c r="D384" s="339">
        <v>9.52</v>
      </c>
    </row>
    <row r="385" spans="1:4" ht="54">
      <c r="A385" s="337">
        <v>90643</v>
      </c>
      <c r="B385" s="338" t="s">
        <v>808</v>
      </c>
      <c r="C385" s="337" t="s">
        <v>739</v>
      </c>
      <c r="D385" s="339">
        <v>14.84</v>
      </c>
    </row>
    <row r="386" spans="1:4" ht="67.5">
      <c r="A386" s="337">
        <v>90650</v>
      </c>
      <c r="B386" s="338" t="s">
        <v>809</v>
      </c>
      <c r="C386" s="337" t="s">
        <v>739</v>
      </c>
      <c r="D386" s="339">
        <v>6.04</v>
      </c>
    </row>
    <row r="387" spans="1:4" ht="40.5">
      <c r="A387" s="337">
        <v>90656</v>
      </c>
      <c r="B387" s="338" t="s">
        <v>810</v>
      </c>
      <c r="C387" s="337" t="s">
        <v>739</v>
      </c>
      <c r="D387" s="339">
        <v>9.41</v>
      </c>
    </row>
    <row r="388" spans="1:4" ht="40.5">
      <c r="A388" s="337">
        <v>90662</v>
      </c>
      <c r="B388" s="338" t="s">
        <v>811</v>
      </c>
      <c r="C388" s="337" t="s">
        <v>739</v>
      </c>
      <c r="D388" s="339">
        <v>9.85</v>
      </c>
    </row>
    <row r="389" spans="1:4" ht="81">
      <c r="A389" s="337">
        <v>90668</v>
      </c>
      <c r="B389" s="338" t="s">
        <v>812</v>
      </c>
      <c r="C389" s="337" t="s">
        <v>739</v>
      </c>
      <c r="D389" s="339">
        <v>16.96</v>
      </c>
    </row>
    <row r="390" spans="1:4" ht="81">
      <c r="A390" s="337">
        <v>90674</v>
      </c>
      <c r="B390" s="338" t="s">
        <v>813</v>
      </c>
      <c r="C390" s="337" t="s">
        <v>739</v>
      </c>
      <c r="D390" s="339">
        <v>429.59</v>
      </c>
    </row>
    <row r="391" spans="1:4" ht="81">
      <c r="A391" s="337">
        <v>90680</v>
      </c>
      <c r="B391" s="338" t="s">
        <v>814</v>
      </c>
      <c r="C391" s="337" t="s">
        <v>739</v>
      </c>
      <c r="D391" s="339">
        <v>230.35</v>
      </c>
    </row>
    <row r="392" spans="1:4" ht="54">
      <c r="A392" s="337">
        <v>90686</v>
      </c>
      <c r="B392" s="338" t="s">
        <v>815</v>
      </c>
      <c r="C392" s="337" t="s">
        <v>739</v>
      </c>
      <c r="D392" s="339">
        <v>111.09</v>
      </c>
    </row>
    <row r="393" spans="1:4" ht="54">
      <c r="A393" s="337">
        <v>90692</v>
      </c>
      <c r="B393" s="338" t="s">
        <v>816</v>
      </c>
      <c r="C393" s="337" t="s">
        <v>739</v>
      </c>
      <c r="D393" s="339">
        <v>65.5</v>
      </c>
    </row>
    <row r="394" spans="1:4" ht="54">
      <c r="A394" s="337">
        <v>90964</v>
      </c>
      <c r="B394" s="338" t="s">
        <v>817</v>
      </c>
      <c r="C394" s="337" t="s">
        <v>739</v>
      </c>
      <c r="D394" s="339">
        <v>16.21</v>
      </c>
    </row>
    <row r="395" spans="1:4" ht="54">
      <c r="A395" s="337">
        <v>90972</v>
      </c>
      <c r="B395" s="338" t="s">
        <v>818</v>
      </c>
      <c r="C395" s="337" t="s">
        <v>739</v>
      </c>
      <c r="D395" s="339">
        <v>46.05</v>
      </c>
    </row>
    <row r="396" spans="1:4" ht="54">
      <c r="A396" s="337">
        <v>90979</v>
      </c>
      <c r="B396" s="338" t="s">
        <v>819</v>
      </c>
      <c r="C396" s="337" t="s">
        <v>739</v>
      </c>
      <c r="D396" s="339">
        <v>119.08</v>
      </c>
    </row>
    <row r="397" spans="1:4" ht="54">
      <c r="A397" s="337">
        <v>90991</v>
      </c>
      <c r="B397" s="338" t="s">
        <v>820</v>
      </c>
      <c r="C397" s="337" t="s">
        <v>739</v>
      </c>
      <c r="D397" s="339">
        <v>129.13999999999999</v>
      </c>
    </row>
    <row r="398" spans="1:4" ht="54">
      <c r="A398" s="337">
        <v>90999</v>
      </c>
      <c r="B398" s="338" t="s">
        <v>821</v>
      </c>
      <c r="C398" s="337" t="s">
        <v>739</v>
      </c>
      <c r="D398" s="339">
        <v>61.43</v>
      </c>
    </row>
    <row r="399" spans="1:4" ht="67.5">
      <c r="A399" s="337">
        <v>91031</v>
      </c>
      <c r="B399" s="338" t="s">
        <v>822</v>
      </c>
      <c r="C399" s="337" t="s">
        <v>739</v>
      </c>
      <c r="D399" s="339">
        <v>160.47</v>
      </c>
    </row>
    <row r="400" spans="1:4" ht="54">
      <c r="A400" s="337">
        <v>91277</v>
      </c>
      <c r="B400" s="338" t="s">
        <v>823</v>
      </c>
      <c r="C400" s="337" t="s">
        <v>739</v>
      </c>
      <c r="D400" s="339">
        <v>4.82</v>
      </c>
    </row>
    <row r="401" spans="1:4" ht="67.5">
      <c r="A401" s="337">
        <v>91283</v>
      </c>
      <c r="B401" s="338" t="s">
        <v>824</v>
      </c>
      <c r="C401" s="337" t="s">
        <v>739</v>
      </c>
      <c r="D401" s="339">
        <v>10.88</v>
      </c>
    </row>
    <row r="402" spans="1:4" ht="81">
      <c r="A402" s="337">
        <v>91386</v>
      </c>
      <c r="B402" s="338" t="s">
        <v>825</v>
      </c>
      <c r="C402" s="337" t="s">
        <v>739</v>
      </c>
      <c r="D402" s="339">
        <v>168.17</v>
      </c>
    </row>
    <row r="403" spans="1:4" ht="54">
      <c r="A403" s="337">
        <v>91533</v>
      </c>
      <c r="B403" s="338" t="s">
        <v>826</v>
      </c>
      <c r="C403" s="337" t="s">
        <v>739</v>
      </c>
      <c r="D403" s="339">
        <v>18.329999999999998</v>
      </c>
    </row>
    <row r="404" spans="1:4" ht="81">
      <c r="A404" s="337">
        <v>91634</v>
      </c>
      <c r="B404" s="338" t="s">
        <v>827</v>
      </c>
      <c r="C404" s="337" t="s">
        <v>739</v>
      </c>
      <c r="D404" s="339">
        <v>121.37</v>
      </c>
    </row>
    <row r="405" spans="1:4" ht="81">
      <c r="A405" s="337">
        <v>91645</v>
      </c>
      <c r="B405" s="338" t="s">
        <v>828</v>
      </c>
      <c r="C405" s="337" t="s">
        <v>739</v>
      </c>
      <c r="D405" s="339">
        <v>257.48</v>
      </c>
    </row>
    <row r="406" spans="1:4" ht="40.5">
      <c r="A406" s="337">
        <v>91692</v>
      </c>
      <c r="B406" s="338" t="s">
        <v>829</v>
      </c>
      <c r="C406" s="337" t="s">
        <v>739</v>
      </c>
      <c r="D406" s="339">
        <v>15.78</v>
      </c>
    </row>
    <row r="407" spans="1:4" ht="40.5">
      <c r="A407" s="337">
        <v>92043</v>
      </c>
      <c r="B407" s="338" t="s">
        <v>830</v>
      </c>
      <c r="C407" s="337" t="s">
        <v>739</v>
      </c>
      <c r="D407" s="339">
        <v>7.76</v>
      </c>
    </row>
    <row r="408" spans="1:4" ht="94.5">
      <c r="A408" s="337">
        <v>92106</v>
      </c>
      <c r="B408" s="338" t="s">
        <v>831</v>
      </c>
      <c r="C408" s="337" t="s">
        <v>739</v>
      </c>
      <c r="D408" s="339">
        <v>166.92</v>
      </c>
    </row>
    <row r="409" spans="1:4" ht="54">
      <c r="A409" s="337">
        <v>92112</v>
      </c>
      <c r="B409" s="338" t="s">
        <v>832</v>
      </c>
      <c r="C409" s="337" t="s">
        <v>739</v>
      </c>
      <c r="D409" s="339">
        <v>1.91</v>
      </c>
    </row>
    <row r="410" spans="1:4" ht="27">
      <c r="A410" s="337">
        <v>92118</v>
      </c>
      <c r="B410" s="338" t="s">
        <v>833</v>
      </c>
      <c r="C410" s="337" t="s">
        <v>739</v>
      </c>
      <c r="D410" s="339">
        <v>0.17</v>
      </c>
    </row>
    <row r="411" spans="1:4" ht="40.5">
      <c r="A411" s="337">
        <v>92138</v>
      </c>
      <c r="B411" s="338" t="s">
        <v>834</v>
      </c>
      <c r="C411" s="337" t="s">
        <v>739</v>
      </c>
      <c r="D411" s="339">
        <v>119.37</v>
      </c>
    </row>
    <row r="412" spans="1:4" ht="54">
      <c r="A412" s="337">
        <v>92145</v>
      </c>
      <c r="B412" s="338" t="s">
        <v>835</v>
      </c>
      <c r="C412" s="337" t="s">
        <v>739</v>
      </c>
      <c r="D412" s="339">
        <v>87.15</v>
      </c>
    </row>
    <row r="413" spans="1:4" ht="81">
      <c r="A413" s="337">
        <v>92242</v>
      </c>
      <c r="B413" s="338" t="s">
        <v>836</v>
      </c>
      <c r="C413" s="337" t="s">
        <v>739</v>
      </c>
      <c r="D413" s="339">
        <v>225.39</v>
      </c>
    </row>
    <row r="414" spans="1:4" ht="54">
      <c r="A414" s="337">
        <v>92716</v>
      </c>
      <c r="B414" s="338" t="s">
        <v>837</v>
      </c>
      <c r="C414" s="337" t="s">
        <v>739</v>
      </c>
      <c r="D414" s="339">
        <v>22.31</v>
      </c>
    </row>
    <row r="415" spans="1:4" ht="40.5">
      <c r="A415" s="337">
        <v>92960</v>
      </c>
      <c r="B415" s="338" t="s">
        <v>838</v>
      </c>
      <c r="C415" s="337" t="s">
        <v>739</v>
      </c>
      <c r="D415" s="339">
        <v>15.31</v>
      </c>
    </row>
    <row r="416" spans="1:4" ht="40.5">
      <c r="A416" s="337">
        <v>92966</v>
      </c>
      <c r="B416" s="338" t="s">
        <v>839</v>
      </c>
      <c r="C416" s="337" t="s">
        <v>739</v>
      </c>
      <c r="D416" s="339">
        <v>15.02</v>
      </c>
    </row>
    <row r="417" spans="1:4" ht="94.5">
      <c r="A417" s="337">
        <v>93224</v>
      </c>
      <c r="B417" s="338" t="s">
        <v>840</v>
      </c>
      <c r="C417" s="337" t="s">
        <v>739</v>
      </c>
      <c r="D417" s="339">
        <v>627.16</v>
      </c>
    </row>
    <row r="418" spans="1:4" ht="54">
      <c r="A418" s="337">
        <v>93233</v>
      </c>
      <c r="B418" s="338" t="s">
        <v>841</v>
      </c>
      <c r="C418" s="337" t="s">
        <v>739</v>
      </c>
      <c r="D418" s="339">
        <v>4.3600000000000003</v>
      </c>
    </row>
    <row r="419" spans="1:4" ht="40.5">
      <c r="A419" s="337">
        <v>93272</v>
      </c>
      <c r="B419" s="338" t="s">
        <v>842</v>
      </c>
      <c r="C419" s="337" t="s">
        <v>739</v>
      </c>
      <c r="D419" s="339">
        <v>68.77</v>
      </c>
    </row>
    <row r="420" spans="1:4" ht="40.5">
      <c r="A420" s="337">
        <v>93281</v>
      </c>
      <c r="B420" s="338" t="s">
        <v>843</v>
      </c>
      <c r="C420" s="337" t="s">
        <v>739</v>
      </c>
      <c r="D420" s="339">
        <v>14.47</v>
      </c>
    </row>
    <row r="421" spans="1:4" ht="54">
      <c r="A421" s="337">
        <v>93287</v>
      </c>
      <c r="B421" s="338" t="s">
        <v>844</v>
      </c>
      <c r="C421" s="337" t="s">
        <v>739</v>
      </c>
      <c r="D421" s="339">
        <v>264.41000000000003</v>
      </c>
    </row>
    <row r="422" spans="1:4" ht="81">
      <c r="A422" s="337">
        <v>93402</v>
      </c>
      <c r="B422" s="338" t="s">
        <v>845</v>
      </c>
      <c r="C422" s="337" t="s">
        <v>739</v>
      </c>
      <c r="D422" s="339">
        <v>135.54</v>
      </c>
    </row>
    <row r="423" spans="1:4" ht="108">
      <c r="A423" s="337">
        <v>93408</v>
      </c>
      <c r="B423" s="338" t="s">
        <v>846</v>
      </c>
      <c r="C423" s="337" t="s">
        <v>739</v>
      </c>
      <c r="D423" s="339">
        <v>57.93</v>
      </c>
    </row>
    <row r="424" spans="1:4" ht="40.5">
      <c r="A424" s="337">
        <v>93415</v>
      </c>
      <c r="B424" s="338" t="s">
        <v>847</v>
      </c>
      <c r="C424" s="337" t="s">
        <v>739</v>
      </c>
      <c r="D424" s="339">
        <v>9.15</v>
      </c>
    </row>
    <row r="425" spans="1:4" ht="40.5">
      <c r="A425" s="337">
        <v>93421</v>
      </c>
      <c r="B425" s="338" t="s">
        <v>848</v>
      </c>
      <c r="C425" s="337" t="s">
        <v>739</v>
      </c>
      <c r="D425" s="339">
        <v>43.56</v>
      </c>
    </row>
    <row r="426" spans="1:4" ht="40.5">
      <c r="A426" s="337">
        <v>93427</v>
      </c>
      <c r="B426" s="338" t="s">
        <v>849</v>
      </c>
      <c r="C426" s="337" t="s">
        <v>739</v>
      </c>
      <c r="D426" s="339">
        <v>99.85</v>
      </c>
    </row>
    <row r="427" spans="1:4" ht="40.5">
      <c r="A427" s="337">
        <v>93433</v>
      </c>
      <c r="B427" s="338" t="s">
        <v>850</v>
      </c>
      <c r="C427" s="337" t="s">
        <v>739</v>
      </c>
      <c r="D427" s="340">
        <v>2033.18</v>
      </c>
    </row>
    <row r="428" spans="1:4" ht="40.5">
      <c r="A428" s="337">
        <v>93439</v>
      </c>
      <c r="B428" s="338" t="s">
        <v>851</v>
      </c>
      <c r="C428" s="337" t="s">
        <v>739</v>
      </c>
      <c r="D428" s="339">
        <v>100.78</v>
      </c>
    </row>
    <row r="429" spans="1:4" ht="40.5">
      <c r="A429" s="337">
        <v>95121</v>
      </c>
      <c r="B429" s="338" t="s">
        <v>852</v>
      </c>
      <c r="C429" s="337" t="s">
        <v>739</v>
      </c>
      <c r="D429" s="339">
        <v>190.63</v>
      </c>
    </row>
    <row r="430" spans="1:4" ht="40.5">
      <c r="A430" s="337">
        <v>95127</v>
      </c>
      <c r="B430" s="338" t="s">
        <v>853</v>
      </c>
      <c r="C430" s="337" t="s">
        <v>739</v>
      </c>
      <c r="D430" s="339">
        <v>125.32</v>
      </c>
    </row>
    <row r="431" spans="1:4" ht="40.5">
      <c r="A431" s="337">
        <v>95133</v>
      </c>
      <c r="B431" s="338" t="s">
        <v>854</v>
      </c>
      <c r="C431" s="337" t="s">
        <v>739</v>
      </c>
      <c r="D431" s="339">
        <v>95.12</v>
      </c>
    </row>
    <row r="432" spans="1:4" ht="40.5">
      <c r="A432" s="337">
        <v>95139</v>
      </c>
      <c r="B432" s="338" t="s">
        <v>855</v>
      </c>
      <c r="C432" s="337" t="s">
        <v>739</v>
      </c>
      <c r="D432" s="339">
        <v>0.06</v>
      </c>
    </row>
    <row r="433" spans="1:4" ht="40.5">
      <c r="A433" s="337">
        <v>95212</v>
      </c>
      <c r="B433" s="338" t="s">
        <v>856</v>
      </c>
      <c r="C433" s="337" t="s">
        <v>739</v>
      </c>
      <c r="D433" s="339">
        <v>75.489999999999995</v>
      </c>
    </row>
    <row r="434" spans="1:4" ht="40.5">
      <c r="A434" s="337">
        <v>95218</v>
      </c>
      <c r="B434" s="338" t="s">
        <v>857</v>
      </c>
      <c r="C434" s="337" t="s">
        <v>739</v>
      </c>
      <c r="D434" s="339">
        <v>19.47</v>
      </c>
    </row>
    <row r="435" spans="1:4" ht="27">
      <c r="A435" s="337">
        <v>95258</v>
      </c>
      <c r="B435" s="338" t="s">
        <v>858</v>
      </c>
      <c r="C435" s="337" t="s">
        <v>739</v>
      </c>
      <c r="D435" s="339">
        <v>14.59</v>
      </c>
    </row>
    <row r="436" spans="1:4" ht="40.5">
      <c r="A436" s="337">
        <v>95264</v>
      </c>
      <c r="B436" s="338" t="s">
        <v>859</v>
      </c>
      <c r="C436" s="337" t="s">
        <v>739</v>
      </c>
      <c r="D436" s="339">
        <v>3.9</v>
      </c>
    </row>
    <row r="437" spans="1:4" ht="54">
      <c r="A437" s="337">
        <v>95270</v>
      </c>
      <c r="B437" s="338" t="s">
        <v>860</v>
      </c>
      <c r="C437" s="337" t="s">
        <v>739</v>
      </c>
      <c r="D437" s="339">
        <v>4.67</v>
      </c>
    </row>
    <row r="438" spans="1:4" ht="40.5">
      <c r="A438" s="337">
        <v>95276</v>
      </c>
      <c r="B438" s="338" t="s">
        <v>861</v>
      </c>
      <c r="C438" s="337" t="s">
        <v>739</v>
      </c>
      <c r="D438" s="339">
        <v>2.09</v>
      </c>
    </row>
    <row r="439" spans="1:4" ht="40.5">
      <c r="A439" s="337">
        <v>95282</v>
      </c>
      <c r="B439" s="338" t="s">
        <v>862</v>
      </c>
      <c r="C439" s="337" t="s">
        <v>739</v>
      </c>
      <c r="D439" s="339">
        <v>4.6500000000000004</v>
      </c>
    </row>
    <row r="440" spans="1:4" ht="67.5">
      <c r="A440" s="337">
        <v>95620</v>
      </c>
      <c r="B440" s="338" t="s">
        <v>863</v>
      </c>
      <c r="C440" s="337" t="s">
        <v>739</v>
      </c>
      <c r="D440" s="339">
        <v>14.11</v>
      </c>
    </row>
    <row r="441" spans="1:4" ht="67.5">
      <c r="A441" s="337">
        <v>95631</v>
      </c>
      <c r="B441" s="338" t="s">
        <v>864</v>
      </c>
      <c r="C441" s="337" t="s">
        <v>739</v>
      </c>
      <c r="D441" s="339">
        <v>128.63</v>
      </c>
    </row>
    <row r="442" spans="1:4" ht="40.5">
      <c r="A442" s="337">
        <v>95702</v>
      </c>
      <c r="B442" s="338" t="s">
        <v>865</v>
      </c>
      <c r="C442" s="337" t="s">
        <v>739</v>
      </c>
      <c r="D442" s="339">
        <v>24.51</v>
      </c>
    </row>
    <row r="443" spans="1:4" ht="54">
      <c r="A443" s="337">
        <v>95708</v>
      </c>
      <c r="B443" s="338" t="s">
        <v>866</v>
      </c>
      <c r="C443" s="337" t="s">
        <v>739</v>
      </c>
      <c r="D443" s="339">
        <v>90.84</v>
      </c>
    </row>
    <row r="444" spans="1:4" ht="67.5">
      <c r="A444" s="337">
        <v>95714</v>
      </c>
      <c r="B444" s="338" t="s">
        <v>867</v>
      </c>
      <c r="C444" s="337" t="s">
        <v>739</v>
      </c>
      <c r="D444" s="339">
        <v>164.62</v>
      </c>
    </row>
    <row r="445" spans="1:4" ht="81">
      <c r="A445" s="337">
        <v>95720</v>
      </c>
      <c r="B445" s="338" t="s">
        <v>868</v>
      </c>
      <c r="C445" s="337" t="s">
        <v>739</v>
      </c>
      <c r="D445" s="339">
        <v>161.97</v>
      </c>
    </row>
    <row r="446" spans="1:4" ht="40.5">
      <c r="A446" s="337">
        <v>95872</v>
      </c>
      <c r="B446" s="338" t="s">
        <v>869</v>
      </c>
      <c r="C446" s="337" t="s">
        <v>739</v>
      </c>
      <c r="D446" s="339">
        <v>169.47</v>
      </c>
    </row>
    <row r="447" spans="1:4" ht="40.5">
      <c r="A447" s="337">
        <v>96013</v>
      </c>
      <c r="B447" s="338" t="s">
        <v>870</v>
      </c>
      <c r="C447" s="337" t="s">
        <v>739</v>
      </c>
      <c r="D447" s="339">
        <v>101.14</v>
      </c>
    </row>
    <row r="448" spans="1:4" ht="40.5">
      <c r="A448" s="337">
        <v>96020</v>
      </c>
      <c r="B448" s="338" t="s">
        <v>871</v>
      </c>
      <c r="C448" s="337" t="s">
        <v>739</v>
      </c>
      <c r="D448" s="339">
        <v>100.92</v>
      </c>
    </row>
    <row r="449" spans="1:4" ht="40.5">
      <c r="A449" s="337">
        <v>96028</v>
      </c>
      <c r="B449" s="338" t="s">
        <v>872</v>
      </c>
      <c r="C449" s="337" t="s">
        <v>739</v>
      </c>
      <c r="D449" s="339">
        <v>76.67</v>
      </c>
    </row>
    <row r="450" spans="1:4" ht="54">
      <c r="A450" s="337">
        <v>96035</v>
      </c>
      <c r="B450" s="338" t="s">
        <v>873</v>
      </c>
      <c r="C450" s="337" t="s">
        <v>739</v>
      </c>
      <c r="D450" s="339">
        <v>175.16</v>
      </c>
    </row>
    <row r="451" spans="1:4" ht="40.5">
      <c r="A451" s="337">
        <v>96157</v>
      </c>
      <c r="B451" s="338" t="s">
        <v>874</v>
      </c>
      <c r="C451" s="337" t="s">
        <v>739</v>
      </c>
      <c r="D451" s="339">
        <v>76.89</v>
      </c>
    </row>
    <row r="452" spans="1:4" ht="54">
      <c r="A452" s="337">
        <v>96158</v>
      </c>
      <c r="B452" s="338" t="s">
        <v>875</v>
      </c>
      <c r="C452" s="337" t="s">
        <v>739</v>
      </c>
      <c r="D452" s="339">
        <v>71.59</v>
      </c>
    </row>
    <row r="453" spans="1:4" ht="54">
      <c r="A453" s="337">
        <v>96245</v>
      </c>
      <c r="B453" s="338" t="s">
        <v>876</v>
      </c>
      <c r="C453" s="337" t="s">
        <v>739</v>
      </c>
      <c r="D453" s="339">
        <v>61.76</v>
      </c>
    </row>
    <row r="454" spans="1:4" ht="54">
      <c r="A454" s="337">
        <v>96303</v>
      </c>
      <c r="B454" s="338" t="s">
        <v>877</v>
      </c>
      <c r="C454" s="337" t="s">
        <v>739</v>
      </c>
      <c r="D454" s="339">
        <v>160.69999999999999</v>
      </c>
    </row>
    <row r="455" spans="1:4" ht="67.5">
      <c r="A455" s="337">
        <v>96309</v>
      </c>
      <c r="B455" s="338" t="s">
        <v>878</v>
      </c>
      <c r="C455" s="337" t="s">
        <v>739</v>
      </c>
      <c r="D455" s="339">
        <v>0.86</v>
      </c>
    </row>
    <row r="456" spans="1:4" ht="54">
      <c r="A456" s="337">
        <v>96463</v>
      </c>
      <c r="B456" s="338" t="s">
        <v>879</v>
      </c>
      <c r="C456" s="337" t="s">
        <v>739</v>
      </c>
      <c r="D456" s="339">
        <v>126.92</v>
      </c>
    </row>
    <row r="457" spans="1:4" ht="67.5">
      <c r="A457" s="337">
        <v>98764</v>
      </c>
      <c r="B457" s="338" t="s">
        <v>880</v>
      </c>
      <c r="C457" s="337" t="s">
        <v>739</v>
      </c>
      <c r="D457" s="339">
        <v>2.48</v>
      </c>
    </row>
    <row r="458" spans="1:4" ht="54">
      <c r="A458" s="337">
        <v>5632</v>
      </c>
      <c r="B458" s="338" t="s">
        <v>881</v>
      </c>
      <c r="C458" s="337" t="s">
        <v>882</v>
      </c>
      <c r="D458" s="339">
        <v>47.33</v>
      </c>
    </row>
    <row r="459" spans="1:4" ht="94.5">
      <c r="A459" s="337">
        <v>5679</v>
      </c>
      <c r="B459" s="338" t="s">
        <v>883</v>
      </c>
      <c r="C459" s="337" t="s">
        <v>882</v>
      </c>
      <c r="D459" s="339">
        <v>34.200000000000003</v>
      </c>
    </row>
    <row r="460" spans="1:4" ht="94.5">
      <c r="A460" s="337">
        <v>5681</v>
      </c>
      <c r="B460" s="338" t="s">
        <v>884</v>
      </c>
      <c r="C460" s="337" t="s">
        <v>882</v>
      </c>
      <c r="D460" s="339">
        <v>32.299999999999997</v>
      </c>
    </row>
    <row r="461" spans="1:4" ht="81">
      <c r="A461" s="337">
        <v>5685</v>
      </c>
      <c r="B461" s="338" t="s">
        <v>885</v>
      </c>
      <c r="C461" s="337" t="s">
        <v>882</v>
      </c>
      <c r="D461" s="339">
        <v>31.68</v>
      </c>
    </row>
    <row r="462" spans="1:4" ht="54">
      <c r="A462" s="337">
        <v>5690</v>
      </c>
      <c r="B462" s="338" t="s">
        <v>886</v>
      </c>
      <c r="C462" s="337" t="s">
        <v>882</v>
      </c>
      <c r="D462" s="339">
        <v>1.91</v>
      </c>
    </row>
    <row r="463" spans="1:4" ht="67.5">
      <c r="A463" s="337">
        <v>5806</v>
      </c>
      <c r="B463" s="338" t="s">
        <v>887</v>
      </c>
      <c r="C463" s="337" t="s">
        <v>882</v>
      </c>
      <c r="D463" s="339">
        <v>0.16</v>
      </c>
    </row>
    <row r="464" spans="1:4" ht="94.5">
      <c r="A464" s="337">
        <v>5826</v>
      </c>
      <c r="B464" s="338" t="s">
        <v>888</v>
      </c>
      <c r="C464" s="337" t="s">
        <v>882</v>
      </c>
      <c r="D464" s="339">
        <v>24.18</v>
      </c>
    </row>
    <row r="465" spans="1:4" ht="40.5">
      <c r="A465" s="337">
        <v>5829</v>
      </c>
      <c r="B465" s="338" t="s">
        <v>889</v>
      </c>
      <c r="C465" s="337" t="s">
        <v>882</v>
      </c>
      <c r="D465" s="339">
        <v>113.59</v>
      </c>
    </row>
    <row r="466" spans="1:4" ht="54">
      <c r="A466" s="337">
        <v>5837</v>
      </c>
      <c r="B466" s="338" t="s">
        <v>890</v>
      </c>
      <c r="C466" s="337" t="s">
        <v>882</v>
      </c>
      <c r="D466" s="339">
        <v>81.63</v>
      </c>
    </row>
    <row r="467" spans="1:4" ht="40.5">
      <c r="A467" s="337">
        <v>5841</v>
      </c>
      <c r="B467" s="338" t="s">
        <v>891</v>
      </c>
      <c r="C467" s="337" t="s">
        <v>882</v>
      </c>
      <c r="D467" s="339">
        <v>2.1800000000000002</v>
      </c>
    </row>
    <row r="468" spans="1:4" ht="40.5">
      <c r="A468" s="337">
        <v>5845</v>
      </c>
      <c r="B468" s="338" t="s">
        <v>892</v>
      </c>
      <c r="C468" s="337" t="s">
        <v>882</v>
      </c>
      <c r="D468" s="339">
        <v>26.9</v>
      </c>
    </row>
    <row r="469" spans="1:4" ht="40.5">
      <c r="A469" s="337">
        <v>5849</v>
      </c>
      <c r="B469" s="338" t="s">
        <v>893</v>
      </c>
      <c r="C469" s="337" t="s">
        <v>882</v>
      </c>
      <c r="D469" s="339">
        <v>44.32</v>
      </c>
    </row>
    <row r="470" spans="1:4" ht="54">
      <c r="A470" s="337">
        <v>5853</v>
      </c>
      <c r="B470" s="338" t="s">
        <v>894</v>
      </c>
      <c r="C470" s="337" t="s">
        <v>882</v>
      </c>
      <c r="D470" s="339">
        <v>44.5</v>
      </c>
    </row>
    <row r="471" spans="1:4" ht="40.5">
      <c r="A471" s="337">
        <v>5857</v>
      </c>
      <c r="B471" s="338" t="s">
        <v>895</v>
      </c>
      <c r="C471" s="337" t="s">
        <v>882</v>
      </c>
      <c r="D471" s="339">
        <v>112.7</v>
      </c>
    </row>
    <row r="472" spans="1:4" ht="67.5">
      <c r="A472" s="337">
        <v>5865</v>
      </c>
      <c r="B472" s="338" t="s">
        <v>896</v>
      </c>
      <c r="C472" s="337" t="s">
        <v>882</v>
      </c>
      <c r="D472" s="339">
        <v>5.33</v>
      </c>
    </row>
    <row r="473" spans="1:4" ht="54">
      <c r="A473" s="337">
        <v>5869</v>
      </c>
      <c r="B473" s="338" t="s">
        <v>897</v>
      </c>
      <c r="C473" s="337" t="s">
        <v>882</v>
      </c>
      <c r="D473" s="339">
        <v>35.700000000000003</v>
      </c>
    </row>
    <row r="474" spans="1:4" ht="94.5">
      <c r="A474" s="337">
        <v>5877</v>
      </c>
      <c r="B474" s="338" t="s">
        <v>898</v>
      </c>
      <c r="C474" s="337" t="s">
        <v>882</v>
      </c>
      <c r="D474" s="339">
        <v>33.6</v>
      </c>
    </row>
    <row r="475" spans="1:4" ht="67.5">
      <c r="A475" s="337">
        <v>5881</v>
      </c>
      <c r="B475" s="338" t="s">
        <v>899</v>
      </c>
      <c r="C475" s="337" t="s">
        <v>882</v>
      </c>
      <c r="D475" s="339">
        <v>38.15</v>
      </c>
    </row>
    <row r="476" spans="1:4" ht="81">
      <c r="A476" s="337">
        <v>5884</v>
      </c>
      <c r="B476" s="338" t="s">
        <v>900</v>
      </c>
      <c r="C476" s="337" t="s">
        <v>882</v>
      </c>
      <c r="D476" s="339">
        <v>33.159999999999997</v>
      </c>
    </row>
    <row r="477" spans="1:4" ht="67.5">
      <c r="A477" s="337">
        <v>5892</v>
      </c>
      <c r="B477" s="338" t="s">
        <v>901</v>
      </c>
      <c r="C477" s="337" t="s">
        <v>882</v>
      </c>
      <c r="D477" s="339">
        <v>25.26</v>
      </c>
    </row>
    <row r="478" spans="1:4" ht="67.5">
      <c r="A478" s="337">
        <v>5896</v>
      </c>
      <c r="B478" s="338" t="s">
        <v>902</v>
      </c>
      <c r="C478" s="337" t="s">
        <v>882</v>
      </c>
      <c r="D478" s="339">
        <v>23.42</v>
      </c>
    </row>
    <row r="479" spans="1:4" ht="81">
      <c r="A479" s="337">
        <v>5903</v>
      </c>
      <c r="B479" s="338" t="s">
        <v>903</v>
      </c>
      <c r="C479" s="337" t="s">
        <v>882</v>
      </c>
      <c r="D479" s="339">
        <v>30.16</v>
      </c>
    </row>
    <row r="480" spans="1:4" ht="54">
      <c r="A480" s="337">
        <v>5911</v>
      </c>
      <c r="B480" s="338" t="s">
        <v>904</v>
      </c>
      <c r="C480" s="337" t="s">
        <v>882</v>
      </c>
      <c r="D480" s="339">
        <v>17.36</v>
      </c>
    </row>
    <row r="481" spans="1:4" ht="40.5">
      <c r="A481" s="337">
        <v>5923</v>
      </c>
      <c r="B481" s="338" t="s">
        <v>905</v>
      </c>
      <c r="C481" s="337" t="s">
        <v>882</v>
      </c>
      <c r="D481" s="339">
        <v>1.49</v>
      </c>
    </row>
    <row r="482" spans="1:4" ht="81">
      <c r="A482" s="337">
        <v>5930</v>
      </c>
      <c r="B482" s="338" t="s">
        <v>906</v>
      </c>
      <c r="C482" s="337" t="s">
        <v>882</v>
      </c>
      <c r="D482" s="339">
        <v>28.67</v>
      </c>
    </row>
    <row r="483" spans="1:4" ht="54">
      <c r="A483" s="337">
        <v>5934</v>
      </c>
      <c r="B483" s="338" t="s">
        <v>907</v>
      </c>
      <c r="C483" s="337" t="s">
        <v>882</v>
      </c>
      <c r="D483" s="339">
        <v>48.06</v>
      </c>
    </row>
    <row r="484" spans="1:4" ht="54">
      <c r="A484" s="337">
        <v>5942</v>
      </c>
      <c r="B484" s="338" t="s">
        <v>908</v>
      </c>
      <c r="C484" s="337" t="s">
        <v>882</v>
      </c>
      <c r="D484" s="339">
        <v>33.17</v>
      </c>
    </row>
    <row r="485" spans="1:4" ht="54">
      <c r="A485" s="337">
        <v>5946</v>
      </c>
      <c r="B485" s="338" t="s">
        <v>909</v>
      </c>
      <c r="C485" s="337" t="s">
        <v>882</v>
      </c>
      <c r="D485" s="339">
        <v>40.24</v>
      </c>
    </row>
    <row r="486" spans="1:4" ht="40.5">
      <c r="A486" s="337">
        <v>5952</v>
      </c>
      <c r="B486" s="338" t="s">
        <v>910</v>
      </c>
      <c r="C486" s="337" t="s">
        <v>882</v>
      </c>
      <c r="D486" s="339">
        <v>13.41</v>
      </c>
    </row>
    <row r="487" spans="1:4" ht="54">
      <c r="A487" s="337">
        <v>5954</v>
      </c>
      <c r="B487" s="338" t="s">
        <v>911</v>
      </c>
      <c r="C487" s="337" t="s">
        <v>882</v>
      </c>
      <c r="D487" s="339">
        <v>2.42</v>
      </c>
    </row>
    <row r="488" spans="1:4" ht="67.5">
      <c r="A488" s="337">
        <v>5961</v>
      </c>
      <c r="B488" s="338" t="s">
        <v>912</v>
      </c>
      <c r="C488" s="337" t="s">
        <v>882</v>
      </c>
      <c r="D488" s="339">
        <v>29.32</v>
      </c>
    </row>
    <row r="489" spans="1:4" ht="67.5">
      <c r="A489" s="337">
        <v>6260</v>
      </c>
      <c r="B489" s="338" t="s">
        <v>913</v>
      </c>
      <c r="C489" s="337" t="s">
        <v>882</v>
      </c>
      <c r="D489" s="339">
        <v>26.48</v>
      </c>
    </row>
    <row r="490" spans="1:4" ht="67.5">
      <c r="A490" s="337">
        <v>6880</v>
      </c>
      <c r="B490" s="338" t="s">
        <v>914</v>
      </c>
      <c r="C490" s="337" t="s">
        <v>882</v>
      </c>
      <c r="D490" s="339">
        <v>41.63</v>
      </c>
    </row>
    <row r="491" spans="1:4" ht="40.5">
      <c r="A491" s="337">
        <v>7031</v>
      </c>
      <c r="B491" s="338" t="s">
        <v>915</v>
      </c>
      <c r="C491" s="337" t="s">
        <v>882</v>
      </c>
      <c r="D491" s="339">
        <v>3.36</v>
      </c>
    </row>
    <row r="492" spans="1:4" ht="67.5">
      <c r="A492" s="337">
        <v>7043</v>
      </c>
      <c r="B492" s="338" t="s">
        <v>916</v>
      </c>
      <c r="C492" s="337" t="s">
        <v>882</v>
      </c>
      <c r="D492" s="339">
        <v>0.2</v>
      </c>
    </row>
    <row r="493" spans="1:4" ht="81">
      <c r="A493" s="337">
        <v>7050</v>
      </c>
      <c r="B493" s="338" t="s">
        <v>917</v>
      </c>
      <c r="C493" s="337" t="s">
        <v>882</v>
      </c>
      <c r="D493" s="339">
        <v>38.51</v>
      </c>
    </row>
    <row r="494" spans="1:4" ht="81">
      <c r="A494" s="337">
        <v>67827</v>
      </c>
      <c r="B494" s="338" t="s">
        <v>918</v>
      </c>
      <c r="C494" s="337" t="s">
        <v>882</v>
      </c>
      <c r="D494" s="339">
        <v>28.59</v>
      </c>
    </row>
    <row r="495" spans="1:4" ht="40.5">
      <c r="A495" s="337">
        <v>73395</v>
      </c>
      <c r="B495" s="338" t="s">
        <v>919</v>
      </c>
      <c r="C495" s="337" t="s">
        <v>882</v>
      </c>
      <c r="D495" s="339">
        <v>4.18</v>
      </c>
    </row>
    <row r="496" spans="1:4" ht="54">
      <c r="A496" s="337">
        <v>83766</v>
      </c>
      <c r="B496" s="338" t="s">
        <v>920</v>
      </c>
      <c r="C496" s="337" t="s">
        <v>882</v>
      </c>
      <c r="D496" s="339">
        <v>25.64</v>
      </c>
    </row>
    <row r="497" spans="1:4" ht="54">
      <c r="A497" s="337">
        <v>84013</v>
      </c>
      <c r="B497" s="338" t="s">
        <v>921</v>
      </c>
      <c r="C497" s="337" t="s">
        <v>882</v>
      </c>
      <c r="D497" s="339">
        <v>45.93</v>
      </c>
    </row>
    <row r="498" spans="1:4" ht="54">
      <c r="A498" s="337">
        <v>87446</v>
      </c>
      <c r="B498" s="338" t="s">
        <v>922</v>
      </c>
      <c r="C498" s="337" t="s">
        <v>882</v>
      </c>
      <c r="D498" s="339">
        <v>0.35</v>
      </c>
    </row>
    <row r="499" spans="1:4" ht="54">
      <c r="A499" s="337">
        <v>88392</v>
      </c>
      <c r="B499" s="338" t="s">
        <v>923</v>
      </c>
      <c r="C499" s="337" t="s">
        <v>882</v>
      </c>
      <c r="D499" s="339">
        <v>0.7</v>
      </c>
    </row>
    <row r="500" spans="1:4" ht="54">
      <c r="A500" s="337">
        <v>88398</v>
      </c>
      <c r="B500" s="338" t="s">
        <v>924</v>
      </c>
      <c r="C500" s="337" t="s">
        <v>882</v>
      </c>
      <c r="D500" s="339">
        <v>0.83</v>
      </c>
    </row>
    <row r="501" spans="1:4" ht="54">
      <c r="A501" s="337">
        <v>88404</v>
      </c>
      <c r="B501" s="338" t="s">
        <v>925</v>
      </c>
      <c r="C501" s="337" t="s">
        <v>882</v>
      </c>
      <c r="D501" s="339">
        <v>0.66</v>
      </c>
    </row>
    <row r="502" spans="1:4" ht="54">
      <c r="A502" s="337">
        <v>88430</v>
      </c>
      <c r="B502" s="338" t="s">
        <v>926</v>
      </c>
      <c r="C502" s="337" t="s">
        <v>882</v>
      </c>
      <c r="D502" s="339">
        <v>4.3499999999999996</v>
      </c>
    </row>
    <row r="503" spans="1:4" ht="54">
      <c r="A503" s="337">
        <v>88438</v>
      </c>
      <c r="B503" s="338" t="s">
        <v>927</v>
      </c>
      <c r="C503" s="337" t="s">
        <v>882</v>
      </c>
      <c r="D503" s="339">
        <v>5.77</v>
      </c>
    </row>
    <row r="504" spans="1:4" ht="54">
      <c r="A504" s="337">
        <v>88831</v>
      </c>
      <c r="B504" s="338" t="s">
        <v>928</v>
      </c>
      <c r="C504" s="337" t="s">
        <v>882</v>
      </c>
      <c r="D504" s="339">
        <v>0.25</v>
      </c>
    </row>
    <row r="505" spans="1:4" ht="40.5">
      <c r="A505" s="337">
        <v>88844</v>
      </c>
      <c r="B505" s="338" t="s">
        <v>929</v>
      </c>
      <c r="C505" s="337" t="s">
        <v>882</v>
      </c>
      <c r="D505" s="339">
        <v>38.72</v>
      </c>
    </row>
    <row r="506" spans="1:4" ht="54">
      <c r="A506" s="337">
        <v>88908</v>
      </c>
      <c r="B506" s="338" t="s">
        <v>930</v>
      </c>
      <c r="C506" s="337" t="s">
        <v>882</v>
      </c>
      <c r="D506" s="339">
        <v>50.72</v>
      </c>
    </row>
    <row r="507" spans="1:4" ht="67.5">
      <c r="A507" s="337">
        <v>89022</v>
      </c>
      <c r="B507" s="338" t="s">
        <v>931</v>
      </c>
      <c r="C507" s="337" t="s">
        <v>882</v>
      </c>
      <c r="D507" s="339">
        <v>0.28000000000000003</v>
      </c>
    </row>
    <row r="508" spans="1:4" ht="40.5">
      <c r="A508" s="337">
        <v>89027</v>
      </c>
      <c r="B508" s="338" t="s">
        <v>932</v>
      </c>
      <c r="C508" s="337" t="s">
        <v>882</v>
      </c>
      <c r="D508" s="339">
        <v>2.73</v>
      </c>
    </row>
    <row r="509" spans="1:4" ht="40.5">
      <c r="A509" s="337">
        <v>89031</v>
      </c>
      <c r="B509" s="338" t="s">
        <v>933</v>
      </c>
      <c r="C509" s="337" t="s">
        <v>882</v>
      </c>
      <c r="D509" s="339">
        <v>37.65</v>
      </c>
    </row>
    <row r="510" spans="1:4" ht="40.5">
      <c r="A510" s="337">
        <v>89036</v>
      </c>
      <c r="B510" s="338" t="s">
        <v>934</v>
      </c>
      <c r="C510" s="337" t="s">
        <v>882</v>
      </c>
      <c r="D510" s="339">
        <v>23.6</v>
      </c>
    </row>
    <row r="511" spans="1:4" ht="40.5">
      <c r="A511" s="337">
        <v>89218</v>
      </c>
      <c r="B511" s="338" t="s">
        <v>935</v>
      </c>
      <c r="C511" s="337" t="s">
        <v>882</v>
      </c>
      <c r="D511" s="339">
        <v>48.35</v>
      </c>
    </row>
    <row r="512" spans="1:4" ht="54">
      <c r="A512" s="337">
        <v>89226</v>
      </c>
      <c r="B512" s="338" t="s">
        <v>936</v>
      </c>
      <c r="C512" s="337" t="s">
        <v>882</v>
      </c>
      <c r="D512" s="339">
        <v>1.07</v>
      </c>
    </row>
    <row r="513" spans="1:4" ht="54">
      <c r="A513" s="337">
        <v>89235</v>
      </c>
      <c r="B513" s="338" t="s">
        <v>937</v>
      </c>
      <c r="C513" s="337" t="s">
        <v>882</v>
      </c>
      <c r="D513" s="339">
        <v>104.46</v>
      </c>
    </row>
    <row r="514" spans="1:4" ht="54">
      <c r="A514" s="337">
        <v>89243</v>
      </c>
      <c r="B514" s="338" t="s">
        <v>938</v>
      </c>
      <c r="C514" s="337" t="s">
        <v>882</v>
      </c>
      <c r="D514" s="339">
        <v>221.99</v>
      </c>
    </row>
    <row r="515" spans="1:4" ht="54">
      <c r="A515" s="337">
        <v>89251</v>
      </c>
      <c r="B515" s="338" t="s">
        <v>939</v>
      </c>
      <c r="C515" s="337" t="s">
        <v>882</v>
      </c>
      <c r="D515" s="339">
        <v>195.05</v>
      </c>
    </row>
    <row r="516" spans="1:4" ht="54">
      <c r="A516" s="337">
        <v>89258</v>
      </c>
      <c r="B516" s="338" t="s">
        <v>940</v>
      </c>
      <c r="C516" s="337" t="s">
        <v>882</v>
      </c>
      <c r="D516" s="339">
        <v>69.87</v>
      </c>
    </row>
    <row r="517" spans="1:4" ht="54">
      <c r="A517" s="337">
        <v>89273</v>
      </c>
      <c r="B517" s="338" t="s">
        <v>941</v>
      </c>
      <c r="C517" s="337" t="s">
        <v>882</v>
      </c>
      <c r="D517" s="339">
        <v>47.14</v>
      </c>
    </row>
    <row r="518" spans="1:4" ht="54">
      <c r="A518" s="337">
        <v>89279</v>
      </c>
      <c r="B518" s="338" t="s">
        <v>942</v>
      </c>
      <c r="C518" s="337" t="s">
        <v>882</v>
      </c>
      <c r="D518" s="339">
        <v>1.31</v>
      </c>
    </row>
    <row r="519" spans="1:4" ht="67.5">
      <c r="A519" s="337">
        <v>89877</v>
      </c>
      <c r="B519" s="338" t="s">
        <v>943</v>
      </c>
      <c r="C519" s="337" t="s">
        <v>882</v>
      </c>
      <c r="D519" s="339">
        <v>39.119999999999997</v>
      </c>
    </row>
    <row r="520" spans="1:4" ht="67.5">
      <c r="A520" s="337">
        <v>89884</v>
      </c>
      <c r="B520" s="338" t="s">
        <v>944</v>
      </c>
      <c r="C520" s="337" t="s">
        <v>882</v>
      </c>
      <c r="D520" s="339">
        <v>40.49</v>
      </c>
    </row>
    <row r="521" spans="1:4" ht="54">
      <c r="A521" s="337">
        <v>90587</v>
      </c>
      <c r="B521" s="338" t="s">
        <v>945</v>
      </c>
      <c r="C521" s="337" t="s">
        <v>882</v>
      </c>
      <c r="D521" s="339">
        <v>0.3</v>
      </c>
    </row>
    <row r="522" spans="1:4" ht="40.5">
      <c r="A522" s="337">
        <v>90626</v>
      </c>
      <c r="B522" s="338" t="s">
        <v>946</v>
      </c>
      <c r="C522" s="337" t="s">
        <v>882</v>
      </c>
      <c r="D522" s="339">
        <v>1.98</v>
      </c>
    </row>
    <row r="523" spans="1:4" ht="54">
      <c r="A523" s="337">
        <v>90632</v>
      </c>
      <c r="B523" s="338" t="s">
        <v>947</v>
      </c>
      <c r="C523" s="337" t="s">
        <v>882</v>
      </c>
      <c r="D523" s="339">
        <v>44.95</v>
      </c>
    </row>
    <row r="524" spans="1:4" ht="67.5">
      <c r="A524" s="337">
        <v>90638</v>
      </c>
      <c r="B524" s="338" t="s">
        <v>948</v>
      </c>
      <c r="C524" s="337" t="s">
        <v>882</v>
      </c>
      <c r="D524" s="339">
        <v>3.34</v>
      </c>
    </row>
    <row r="525" spans="1:4" ht="54">
      <c r="A525" s="337">
        <v>90644</v>
      </c>
      <c r="B525" s="338" t="s">
        <v>949</v>
      </c>
      <c r="C525" s="337" t="s">
        <v>882</v>
      </c>
      <c r="D525" s="339">
        <v>4.99</v>
      </c>
    </row>
    <row r="526" spans="1:4" ht="67.5">
      <c r="A526" s="337">
        <v>90651</v>
      </c>
      <c r="B526" s="338" t="s">
        <v>950</v>
      </c>
      <c r="C526" s="337" t="s">
        <v>882</v>
      </c>
      <c r="D526" s="339">
        <v>0.57999999999999996</v>
      </c>
    </row>
    <row r="527" spans="1:4" ht="40.5">
      <c r="A527" s="337">
        <v>90657</v>
      </c>
      <c r="B527" s="338" t="s">
        <v>951</v>
      </c>
      <c r="C527" s="337" t="s">
        <v>882</v>
      </c>
      <c r="D527" s="339">
        <v>3.25</v>
      </c>
    </row>
    <row r="528" spans="1:4" ht="40.5">
      <c r="A528" s="337">
        <v>90663</v>
      </c>
      <c r="B528" s="338" t="s">
        <v>952</v>
      </c>
      <c r="C528" s="337" t="s">
        <v>882</v>
      </c>
      <c r="D528" s="339">
        <v>3.49</v>
      </c>
    </row>
    <row r="529" spans="1:4" ht="81">
      <c r="A529" s="337">
        <v>90669</v>
      </c>
      <c r="B529" s="338" t="s">
        <v>953</v>
      </c>
      <c r="C529" s="337" t="s">
        <v>882</v>
      </c>
      <c r="D529" s="339">
        <v>3.79</v>
      </c>
    </row>
    <row r="530" spans="1:4" ht="81">
      <c r="A530" s="337">
        <v>90675</v>
      </c>
      <c r="B530" s="338" t="s">
        <v>954</v>
      </c>
      <c r="C530" s="337" t="s">
        <v>882</v>
      </c>
      <c r="D530" s="339">
        <v>156.03</v>
      </c>
    </row>
    <row r="531" spans="1:4" ht="81">
      <c r="A531" s="337">
        <v>90681</v>
      </c>
      <c r="B531" s="338" t="s">
        <v>955</v>
      </c>
      <c r="C531" s="337" t="s">
        <v>882</v>
      </c>
      <c r="D531" s="339">
        <v>90.12</v>
      </c>
    </row>
    <row r="532" spans="1:4" ht="54">
      <c r="A532" s="337">
        <v>90687</v>
      </c>
      <c r="B532" s="338" t="s">
        <v>956</v>
      </c>
      <c r="C532" s="337" t="s">
        <v>882</v>
      </c>
      <c r="D532" s="339">
        <v>43.46</v>
      </c>
    </row>
    <row r="533" spans="1:4" ht="54">
      <c r="A533" s="337">
        <v>90693</v>
      </c>
      <c r="B533" s="338" t="s">
        <v>957</v>
      </c>
      <c r="C533" s="337" t="s">
        <v>882</v>
      </c>
      <c r="D533" s="339">
        <v>28.22</v>
      </c>
    </row>
    <row r="534" spans="1:4" ht="54">
      <c r="A534" s="337">
        <v>90965</v>
      </c>
      <c r="B534" s="338" t="s">
        <v>958</v>
      </c>
      <c r="C534" s="337" t="s">
        <v>882</v>
      </c>
      <c r="D534" s="339">
        <v>3.23</v>
      </c>
    </row>
    <row r="535" spans="1:4" ht="54">
      <c r="A535" s="337">
        <v>90973</v>
      </c>
      <c r="B535" s="338" t="s">
        <v>959</v>
      </c>
      <c r="C535" s="337" t="s">
        <v>882</v>
      </c>
      <c r="D535" s="339">
        <v>3.24</v>
      </c>
    </row>
    <row r="536" spans="1:4" ht="54">
      <c r="A536" s="337">
        <v>90982</v>
      </c>
      <c r="B536" s="338" t="s">
        <v>960</v>
      </c>
      <c r="C536" s="337" t="s">
        <v>882</v>
      </c>
      <c r="D536" s="339">
        <v>8.25</v>
      </c>
    </row>
    <row r="537" spans="1:4" ht="54">
      <c r="A537" s="337">
        <v>91001</v>
      </c>
      <c r="B537" s="338" t="s">
        <v>961</v>
      </c>
      <c r="C537" s="337" t="s">
        <v>882</v>
      </c>
      <c r="D537" s="339">
        <v>3.85</v>
      </c>
    </row>
    <row r="538" spans="1:4" ht="67.5">
      <c r="A538" s="337">
        <v>91032</v>
      </c>
      <c r="B538" s="338" t="s">
        <v>962</v>
      </c>
      <c r="C538" s="337" t="s">
        <v>882</v>
      </c>
      <c r="D538" s="339">
        <v>28.57</v>
      </c>
    </row>
    <row r="539" spans="1:4" ht="54">
      <c r="A539" s="337">
        <v>91278</v>
      </c>
      <c r="B539" s="338" t="s">
        <v>963</v>
      </c>
      <c r="C539" s="337" t="s">
        <v>882</v>
      </c>
      <c r="D539" s="339">
        <v>0.54</v>
      </c>
    </row>
    <row r="540" spans="1:4" ht="67.5">
      <c r="A540" s="337">
        <v>91285</v>
      </c>
      <c r="B540" s="338" t="s">
        <v>964</v>
      </c>
      <c r="C540" s="337" t="s">
        <v>882</v>
      </c>
      <c r="D540" s="339">
        <v>0.94</v>
      </c>
    </row>
    <row r="541" spans="1:4" ht="81">
      <c r="A541" s="337">
        <v>91387</v>
      </c>
      <c r="B541" s="338" t="s">
        <v>965</v>
      </c>
      <c r="C541" s="337" t="s">
        <v>882</v>
      </c>
      <c r="D541" s="339">
        <v>31.43</v>
      </c>
    </row>
    <row r="542" spans="1:4" ht="94.5">
      <c r="A542" s="337">
        <v>91395</v>
      </c>
      <c r="B542" s="338" t="s">
        <v>966</v>
      </c>
      <c r="C542" s="337" t="s">
        <v>882</v>
      </c>
      <c r="D542" s="339">
        <v>26.17</v>
      </c>
    </row>
    <row r="543" spans="1:4" ht="81">
      <c r="A543" s="337">
        <v>91486</v>
      </c>
      <c r="B543" s="338" t="s">
        <v>967</v>
      </c>
      <c r="C543" s="337" t="s">
        <v>882</v>
      </c>
      <c r="D543" s="339">
        <v>31.17</v>
      </c>
    </row>
    <row r="544" spans="1:4" ht="54">
      <c r="A544" s="337">
        <v>91534</v>
      </c>
      <c r="B544" s="338" t="s">
        <v>968</v>
      </c>
      <c r="C544" s="337" t="s">
        <v>882</v>
      </c>
      <c r="D544" s="339">
        <v>14.81</v>
      </c>
    </row>
    <row r="545" spans="1:4" ht="81">
      <c r="A545" s="337">
        <v>91635</v>
      </c>
      <c r="B545" s="338" t="s">
        <v>969</v>
      </c>
      <c r="C545" s="337" t="s">
        <v>882</v>
      </c>
      <c r="D545" s="339">
        <v>27.7</v>
      </c>
    </row>
    <row r="546" spans="1:4" ht="81">
      <c r="A546" s="337">
        <v>91646</v>
      </c>
      <c r="B546" s="338" t="s">
        <v>970</v>
      </c>
      <c r="C546" s="337" t="s">
        <v>882</v>
      </c>
      <c r="D546" s="339">
        <v>45.53</v>
      </c>
    </row>
    <row r="547" spans="1:4" ht="40.5">
      <c r="A547" s="337">
        <v>91693</v>
      </c>
      <c r="B547" s="338" t="s">
        <v>971</v>
      </c>
      <c r="C547" s="337" t="s">
        <v>882</v>
      </c>
      <c r="D547" s="339">
        <v>14.11</v>
      </c>
    </row>
    <row r="548" spans="1:4" ht="40.5">
      <c r="A548" s="337">
        <v>92044</v>
      </c>
      <c r="B548" s="338" t="s">
        <v>972</v>
      </c>
      <c r="C548" s="337" t="s">
        <v>882</v>
      </c>
      <c r="D548" s="339">
        <v>4.58</v>
      </c>
    </row>
    <row r="549" spans="1:4" ht="94.5">
      <c r="A549" s="337">
        <v>92107</v>
      </c>
      <c r="B549" s="338" t="s">
        <v>973</v>
      </c>
      <c r="C549" s="337" t="s">
        <v>882</v>
      </c>
      <c r="D549" s="339">
        <v>31.63</v>
      </c>
    </row>
    <row r="550" spans="1:4" ht="54">
      <c r="A550" s="337">
        <v>92113</v>
      </c>
      <c r="B550" s="338" t="s">
        <v>974</v>
      </c>
      <c r="C550" s="337" t="s">
        <v>882</v>
      </c>
      <c r="D550" s="339">
        <v>0.78</v>
      </c>
    </row>
    <row r="551" spans="1:4" ht="27">
      <c r="A551" s="337">
        <v>92119</v>
      </c>
      <c r="B551" s="338" t="s">
        <v>975</v>
      </c>
      <c r="C551" s="337" t="s">
        <v>882</v>
      </c>
      <c r="D551" s="339">
        <v>0.08</v>
      </c>
    </row>
    <row r="552" spans="1:4" ht="40.5">
      <c r="A552" s="337">
        <v>92139</v>
      </c>
      <c r="B552" s="338" t="s">
        <v>976</v>
      </c>
      <c r="C552" s="337" t="s">
        <v>882</v>
      </c>
      <c r="D552" s="339">
        <v>22.5</v>
      </c>
    </row>
    <row r="553" spans="1:4" ht="54">
      <c r="A553" s="337">
        <v>92146</v>
      </c>
      <c r="B553" s="338" t="s">
        <v>977</v>
      </c>
      <c r="C553" s="337" t="s">
        <v>882</v>
      </c>
      <c r="D553" s="339">
        <v>15.76</v>
      </c>
    </row>
    <row r="554" spans="1:4" ht="81">
      <c r="A554" s="337">
        <v>92243</v>
      </c>
      <c r="B554" s="338" t="s">
        <v>978</v>
      </c>
      <c r="C554" s="337" t="s">
        <v>882</v>
      </c>
      <c r="D554" s="339">
        <v>37.83</v>
      </c>
    </row>
    <row r="555" spans="1:4" ht="54">
      <c r="A555" s="337">
        <v>92717</v>
      </c>
      <c r="B555" s="338" t="s">
        <v>979</v>
      </c>
      <c r="C555" s="337" t="s">
        <v>882</v>
      </c>
      <c r="D555" s="339">
        <v>0.2</v>
      </c>
    </row>
    <row r="556" spans="1:4" ht="40.5">
      <c r="A556" s="337">
        <v>92961</v>
      </c>
      <c r="B556" s="338" t="s">
        <v>980</v>
      </c>
      <c r="C556" s="337" t="s">
        <v>882</v>
      </c>
      <c r="D556" s="339">
        <v>4.4800000000000004</v>
      </c>
    </row>
    <row r="557" spans="1:4" ht="40.5">
      <c r="A557" s="337">
        <v>92967</v>
      </c>
      <c r="B557" s="338" t="s">
        <v>981</v>
      </c>
      <c r="C557" s="337" t="s">
        <v>882</v>
      </c>
      <c r="D557" s="339">
        <v>13.45</v>
      </c>
    </row>
    <row r="558" spans="1:4" ht="94.5">
      <c r="A558" s="337">
        <v>93225</v>
      </c>
      <c r="B558" s="338" t="s">
        <v>982</v>
      </c>
      <c r="C558" s="337" t="s">
        <v>882</v>
      </c>
      <c r="D558" s="339">
        <v>234.85</v>
      </c>
    </row>
    <row r="559" spans="1:4" ht="54">
      <c r="A559" s="337">
        <v>93234</v>
      </c>
      <c r="B559" s="338" t="s">
        <v>983</v>
      </c>
      <c r="C559" s="337" t="s">
        <v>882</v>
      </c>
      <c r="D559" s="339">
        <v>0.33</v>
      </c>
    </row>
    <row r="560" spans="1:4" ht="67.5">
      <c r="A560" s="337">
        <v>93244</v>
      </c>
      <c r="B560" s="338" t="s">
        <v>984</v>
      </c>
      <c r="C560" s="337" t="s">
        <v>882</v>
      </c>
      <c r="D560" s="339">
        <v>32.369999999999997</v>
      </c>
    </row>
    <row r="561" spans="1:4" ht="40.5">
      <c r="A561" s="337">
        <v>93274</v>
      </c>
      <c r="B561" s="338" t="s">
        <v>985</v>
      </c>
      <c r="C561" s="337" t="s">
        <v>882</v>
      </c>
      <c r="D561" s="339">
        <v>40.21</v>
      </c>
    </row>
    <row r="562" spans="1:4" ht="40.5">
      <c r="A562" s="337">
        <v>93282</v>
      </c>
      <c r="B562" s="338" t="s">
        <v>986</v>
      </c>
      <c r="C562" s="337" t="s">
        <v>882</v>
      </c>
      <c r="D562" s="339">
        <v>13.83</v>
      </c>
    </row>
    <row r="563" spans="1:4" ht="54">
      <c r="A563" s="337">
        <v>93288</v>
      </c>
      <c r="B563" s="338" t="s">
        <v>987</v>
      </c>
      <c r="C563" s="337" t="s">
        <v>882</v>
      </c>
      <c r="D563" s="339">
        <v>78.16</v>
      </c>
    </row>
    <row r="564" spans="1:4" ht="81">
      <c r="A564" s="337">
        <v>93403</v>
      </c>
      <c r="B564" s="338" t="s">
        <v>988</v>
      </c>
      <c r="C564" s="337" t="s">
        <v>882</v>
      </c>
      <c r="D564" s="339">
        <v>27.7</v>
      </c>
    </row>
    <row r="565" spans="1:4" ht="108">
      <c r="A565" s="337">
        <v>93409</v>
      </c>
      <c r="B565" s="338" t="s">
        <v>989</v>
      </c>
      <c r="C565" s="337" t="s">
        <v>882</v>
      </c>
      <c r="D565" s="339">
        <v>22.6</v>
      </c>
    </row>
    <row r="566" spans="1:4" ht="40.5">
      <c r="A566" s="337">
        <v>93416</v>
      </c>
      <c r="B566" s="338" t="s">
        <v>990</v>
      </c>
      <c r="C566" s="337" t="s">
        <v>882</v>
      </c>
      <c r="D566" s="339">
        <v>0.2</v>
      </c>
    </row>
    <row r="567" spans="1:4" ht="40.5">
      <c r="A567" s="337">
        <v>93422</v>
      </c>
      <c r="B567" s="338" t="s">
        <v>991</v>
      </c>
      <c r="C567" s="337" t="s">
        <v>882</v>
      </c>
      <c r="D567" s="339">
        <v>2.63</v>
      </c>
    </row>
    <row r="568" spans="1:4" ht="40.5">
      <c r="A568" s="337">
        <v>93428</v>
      </c>
      <c r="B568" s="338" t="s">
        <v>992</v>
      </c>
      <c r="C568" s="337" t="s">
        <v>882</v>
      </c>
      <c r="D568" s="339">
        <v>3.72</v>
      </c>
    </row>
    <row r="569" spans="1:4" ht="40.5">
      <c r="A569" s="337">
        <v>93434</v>
      </c>
      <c r="B569" s="338" t="s">
        <v>993</v>
      </c>
      <c r="C569" s="337" t="s">
        <v>882</v>
      </c>
      <c r="D569" s="339">
        <v>158.46</v>
      </c>
    </row>
    <row r="570" spans="1:4" ht="40.5">
      <c r="A570" s="337">
        <v>93440</v>
      </c>
      <c r="B570" s="338" t="s">
        <v>994</v>
      </c>
      <c r="C570" s="337" t="s">
        <v>882</v>
      </c>
      <c r="D570" s="339">
        <v>76.88</v>
      </c>
    </row>
    <row r="571" spans="1:4" ht="40.5">
      <c r="A571" s="337">
        <v>95122</v>
      </c>
      <c r="B571" s="338" t="s">
        <v>995</v>
      </c>
      <c r="C571" s="337" t="s">
        <v>882</v>
      </c>
      <c r="D571" s="339">
        <v>116.6</v>
      </c>
    </row>
    <row r="572" spans="1:4" ht="40.5">
      <c r="A572" s="337">
        <v>95128</v>
      </c>
      <c r="B572" s="338" t="s">
        <v>996</v>
      </c>
      <c r="C572" s="337" t="s">
        <v>882</v>
      </c>
      <c r="D572" s="339">
        <v>27.72</v>
      </c>
    </row>
    <row r="573" spans="1:4" ht="40.5">
      <c r="A573" s="337">
        <v>95140</v>
      </c>
      <c r="B573" s="338" t="s">
        <v>997</v>
      </c>
      <c r="C573" s="337" t="s">
        <v>882</v>
      </c>
      <c r="D573" s="339">
        <v>0.04</v>
      </c>
    </row>
    <row r="574" spans="1:4" ht="40.5">
      <c r="A574" s="337">
        <v>95213</v>
      </c>
      <c r="B574" s="338" t="s">
        <v>998</v>
      </c>
      <c r="C574" s="337" t="s">
        <v>882</v>
      </c>
      <c r="D574" s="339">
        <v>43.76</v>
      </c>
    </row>
    <row r="575" spans="1:4" ht="40.5">
      <c r="A575" s="337">
        <v>95219</v>
      </c>
      <c r="B575" s="338" t="s">
        <v>999</v>
      </c>
      <c r="C575" s="337" t="s">
        <v>882</v>
      </c>
      <c r="D575" s="339">
        <v>18.559999999999999</v>
      </c>
    </row>
    <row r="576" spans="1:4" ht="27">
      <c r="A576" s="337">
        <v>95259</v>
      </c>
      <c r="B576" s="338" t="s">
        <v>1000</v>
      </c>
      <c r="C576" s="337" t="s">
        <v>882</v>
      </c>
      <c r="D576" s="339">
        <v>13.24</v>
      </c>
    </row>
    <row r="577" spans="1:4" ht="40.5">
      <c r="A577" s="337">
        <v>95265</v>
      </c>
      <c r="B577" s="338" t="s">
        <v>1001</v>
      </c>
      <c r="C577" s="337" t="s">
        <v>882</v>
      </c>
      <c r="D577" s="339">
        <v>0.74</v>
      </c>
    </row>
    <row r="578" spans="1:4" ht="54">
      <c r="A578" s="337">
        <v>95271</v>
      </c>
      <c r="B578" s="338" t="s">
        <v>1002</v>
      </c>
      <c r="C578" s="337" t="s">
        <v>882</v>
      </c>
      <c r="D578" s="339">
        <v>0.49</v>
      </c>
    </row>
    <row r="579" spans="1:4" ht="40.5">
      <c r="A579" s="337">
        <v>95277</v>
      </c>
      <c r="B579" s="338" t="s">
        <v>1003</v>
      </c>
      <c r="C579" s="337" t="s">
        <v>882</v>
      </c>
      <c r="D579" s="339">
        <v>0.49</v>
      </c>
    </row>
    <row r="580" spans="1:4" ht="40.5">
      <c r="A580" s="337">
        <v>95283</v>
      </c>
      <c r="B580" s="338" t="s">
        <v>1004</v>
      </c>
      <c r="C580" s="337" t="s">
        <v>882</v>
      </c>
      <c r="D580" s="339">
        <v>0.53</v>
      </c>
    </row>
    <row r="581" spans="1:4" ht="67.5">
      <c r="A581" s="337">
        <v>95621</v>
      </c>
      <c r="B581" s="338" t="s">
        <v>1005</v>
      </c>
      <c r="C581" s="337" t="s">
        <v>882</v>
      </c>
      <c r="D581" s="339">
        <v>13</v>
      </c>
    </row>
    <row r="582" spans="1:4" ht="67.5">
      <c r="A582" s="337">
        <v>95632</v>
      </c>
      <c r="B582" s="338" t="s">
        <v>1006</v>
      </c>
      <c r="C582" s="337" t="s">
        <v>882</v>
      </c>
      <c r="D582" s="339">
        <v>40.450000000000003</v>
      </c>
    </row>
    <row r="583" spans="1:4" ht="40.5">
      <c r="A583" s="337">
        <v>95703</v>
      </c>
      <c r="B583" s="338" t="s">
        <v>1007</v>
      </c>
      <c r="C583" s="337" t="s">
        <v>882</v>
      </c>
      <c r="D583" s="339">
        <v>18.420000000000002</v>
      </c>
    </row>
    <row r="584" spans="1:4" ht="54">
      <c r="A584" s="337">
        <v>95709</v>
      </c>
      <c r="B584" s="338" t="s">
        <v>1008</v>
      </c>
      <c r="C584" s="337" t="s">
        <v>882</v>
      </c>
      <c r="D584" s="339">
        <v>43.67</v>
      </c>
    </row>
    <row r="585" spans="1:4" ht="67.5">
      <c r="A585" s="337">
        <v>95715</v>
      </c>
      <c r="B585" s="338" t="s">
        <v>1009</v>
      </c>
      <c r="C585" s="337" t="s">
        <v>882</v>
      </c>
      <c r="D585" s="339">
        <v>52.55</v>
      </c>
    </row>
    <row r="586" spans="1:4" ht="81">
      <c r="A586" s="337">
        <v>95721</v>
      </c>
      <c r="B586" s="338" t="s">
        <v>1010</v>
      </c>
      <c r="C586" s="337" t="s">
        <v>882</v>
      </c>
      <c r="D586" s="339">
        <v>51.22</v>
      </c>
    </row>
    <row r="587" spans="1:4" ht="40.5">
      <c r="A587" s="337">
        <v>95873</v>
      </c>
      <c r="B587" s="338" t="s">
        <v>1011</v>
      </c>
      <c r="C587" s="337" t="s">
        <v>882</v>
      </c>
      <c r="D587" s="339">
        <v>5.96</v>
      </c>
    </row>
    <row r="588" spans="1:4" ht="40.5">
      <c r="A588" s="337">
        <v>96014</v>
      </c>
      <c r="B588" s="338" t="s">
        <v>1012</v>
      </c>
      <c r="C588" s="337" t="s">
        <v>882</v>
      </c>
      <c r="D588" s="339">
        <v>28.99</v>
      </c>
    </row>
    <row r="589" spans="1:4" ht="40.5">
      <c r="A589" s="337">
        <v>96021</v>
      </c>
      <c r="B589" s="338" t="s">
        <v>1013</v>
      </c>
      <c r="C589" s="337" t="s">
        <v>882</v>
      </c>
      <c r="D589" s="339">
        <v>28.87</v>
      </c>
    </row>
    <row r="590" spans="1:4" ht="40.5">
      <c r="A590" s="337">
        <v>96029</v>
      </c>
      <c r="B590" s="338" t="s">
        <v>1014</v>
      </c>
      <c r="C590" s="337" t="s">
        <v>882</v>
      </c>
      <c r="D590" s="339">
        <v>25.57</v>
      </c>
    </row>
    <row r="591" spans="1:4" ht="54">
      <c r="A591" s="337">
        <v>96036</v>
      </c>
      <c r="B591" s="338" t="s">
        <v>1015</v>
      </c>
      <c r="C591" s="337" t="s">
        <v>882</v>
      </c>
      <c r="D591" s="339">
        <v>34.44</v>
      </c>
    </row>
    <row r="592" spans="1:4" ht="40.5">
      <c r="A592" s="337">
        <v>96155</v>
      </c>
      <c r="B592" s="338" t="s">
        <v>1016</v>
      </c>
      <c r="C592" s="337" t="s">
        <v>882</v>
      </c>
      <c r="D592" s="339">
        <v>25.69</v>
      </c>
    </row>
    <row r="593" spans="1:4" ht="54">
      <c r="A593" s="337">
        <v>96156</v>
      </c>
      <c r="B593" s="338" t="s">
        <v>1017</v>
      </c>
      <c r="C593" s="337" t="s">
        <v>882</v>
      </c>
      <c r="D593" s="339">
        <v>31.19</v>
      </c>
    </row>
    <row r="594" spans="1:4" ht="40.5">
      <c r="A594" s="337">
        <v>96159</v>
      </c>
      <c r="B594" s="338" t="s">
        <v>1018</v>
      </c>
      <c r="C594" s="337" t="s">
        <v>882</v>
      </c>
      <c r="D594" s="339">
        <v>41.19</v>
      </c>
    </row>
    <row r="595" spans="1:4" ht="54">
      <c r="A595" s="337">
        <v>96246</v>
      </c>
      <c r="B595" s="338" t="s">
        <v>1019</v>
      </c>
      <c r="C595" s="337" t="s">
        <v>882</v>
      </c>
      <c r="D595" s="339">
        <v>32.020000000000003</v>
      </c>
    </row>
    <row r="596" spans="1:4" ht="54">
      <c r="A596" s="337">
        <v>96302</v>
      </c>
      <c r="B596" s="338" t="s">
        <v>1020</v>
      </c>
      <c r="C596" s="337" t="s">
        <v>882</v>
      </c>
      <c r="D596" s="339">
        <v>60.31</v>
      </c>
    </row>
    <row r="597" spans="1:4" ht="67.5">
      <c r="A597" s="337">
        <v>96308</v>
      </c>
      <c r="B597" s="338" t="s">
        <v>1021</v>
      </c>
      <c r="C597" s="337" t="s">
        <v>882</v>
      </c>
      <c r="D597" s="339">
        <v>0.11</v>
      </c>
    </row>
    <row r="598" spans="1:4" ht="54">
      <c r="A598" s="337">
        <v>96464</v>
      </c>
      <c r="B598" s="338" t="s">
        <v>1022</v>
      </c>
      <c r="C598" s="337" t="s">
        <v>882</v>
      </c>
      <c r="D598" s="339">
        <v>43.33</v>
      </c>
    </row>
    <row r="599" spans="1:4" ht="67.5">
      <c r="A599" s="337">
        <v>98765</v>
      </c>
      <c r="B599" s="338" t="s">
        <v>1023</v>
      </c>
      <c r="C599" s="337" t="s">
        <v>882</v>
      </c>
      <c r="D599" s="339">
        <v>7.0000000000000007E-2</v>
      </c>
    </row>
    <row r="600" spans="1:4" ht="67.5">
      <c r="A600" s="337">
        <v>5089</v>
      </c>
      <c r="B600" s="338" t="s">
        <v>1024</v>
      </c>
      <c r="C600" s="337" t="s">
        <v>9</v>
      </c>
      <c r="D600" s="339">
        <v>18.23</v>
      </c>
    </row>
    <row r="601" spans="1:4" ht="54">
      <c r="A601" s="337">
        <v>5627</v>
      </c>
      <c r="B601" s="338" t="s">
        <v>1025</v>
      </c>
      <c r="C601" s="337" t="s">
        <v>9</v>
      </c>
      <c r="D601" s="339">
        <v>24.08</v>
      </c>
    </row>
    <row r="602" spans="1:4" ht="54">
      <c r="A602" s="337">
        <v>5628</v>
      </c>
      <c r="B602" s="338" t="s">
        <v>1026</v>
      </c>
      <c r="C602" s="337" t="s">
        <v>9</v>
      </c>
      <c r="D602" s="339">
        <v>6.19</v>
      </c>
    </row>
    <row r="603" spans="1:4" ht="54">
      <c r="A603" s="337">
        <v>5629</v>
      </c>
      <c r="B603" s="338" t="s">
        <v>1027</v>
      </c>
      <c r="C603" s="337" t="s">
        <v>9</v>
      </c>
      <c r="D603" s="339">
        <v>30.1</v>
      </c>
    </row>
    <row r="604" spans="1:4" ht="54">
      <c r="A604" s="337">
        <v>5630</v>
      </c>
      <c r="B604" s="338" t="s">
        <v>1028</v>
      </c>
      <c r="C604" s="337" t="s">
        <v>9</v>
      </c>
      <c r="D604" s="339">
        <v>55.01</v>
      </c>
    </row>
    <row r="605" spans="1:4" ht="54">
      <c r="A605" s="337">
        <v>5658</v>
      </c>
      <c r="B605" s="338" t="s">
        <v>1029</v>
      </c>
      <c r="C605" s="337" t="s">
        <v>9</v>
      </c>
      <c r="D605" s="339">
        <v>1.05</v>
      </c>
    </row>
    <row r="606" spans="1:4" ht="94.5">
      <c r="A606" s="337">
        <v>5664</v>
      </c>
      <c r="B606" s="338" t="s">
        <v>1030</v>
      </c>
      <c r="C606" s="337" t="s">
        <v>9</v>
      </c>
      <c r="D606" s="339">
        <v>17.05</v>
      </c>
    </row>
    <row r="607" spans="1:4" ht="94.5">
      <c r="A607" s="337">
        <v>5667</v>
      </c>
      <c r="B607" s="338" t="s">
        <v>1031</v>
      </c>
      <c r="C607" s="337" t="s">
        <v>9</v>
      </c>
      <c r="D607" s="339">
        <v>15.16</v>
      </c>
    </row>
    <row r="608" spans="1:4" ht="94.5">
      <c r="A608" s="337">
        <v>5668</v>
      </c>
      <c r="B608" s="338" t="s">
        <v>1032</v>
      </c>
      <c r="C608" s="337" t="s">
        <v>9</v>
      </c>
      <c r="D608" s="339">
        <v>42.1</v>
      </c>
    </row>
    <row r="609" spans="1:4" ht="81">
      <c r="A609" s="337">
        <v>5674</v>
      </c>
      <c r="B609" s="338" t="s">
        <v>1033</v>
      </c>
      <c r="C609" s="337" t="s">
        <v>9</v>
      </c>
      <c r="D609" s="339">
        <v>17.53</v>
      </c>
    </row>
    <row r="610" spans="1:4" ht="67.5">
      <c r="A610" s="337">
        <v>5692</v>
      </c>
      <c r="B610" s="338" t="s">
        <v>1034</v>
      </c>
      <c r="C610" s="337" t="s">
        <v>9</v>
      </c>
      <c r="D610" s="339">
        <v>0.15</v>
      </c>
    </row>
    <row r="611" spans="1:4" ht="67.5">
      <c r="A611" s="337">
        <v>5693</v>
      </c>
      <c r="B611" s="338" t="s">
        <v>1035</v>
      </c>
      <c r="C611" s="337" t="s">
        <v>9</v>
      </c>
      <c r="D611" s="339">
        <v>3.74</v>
      </c>
    </row>
    <row r="612" spans="1:4" ht="67.5">
      <c r="A612" s="337">
        <v>5695</v>
      </c>
      <c r="B612" s="338" t="s">
        <v>1036</v>
      </c>
      <c r="C612" s="337" t="s">
        <v>9</v>
      </c>
      <c r="D612" s="339">
        <v>21.54</v>
      </c>
    </row>
    <row r="613" spans="1:4" ht="40.5">
      <c r="A613" s="337">
        <v>5703</v>
      </c>
      <c r="B613" s="338" t="s">
        <v>1037</v>
      </c>
      <c r="C613" s="337" t="s">
        <v>9</v>
      </c>
      <c r="D613" s="339">
        <v>12.13</v>
      </c>
    </row>
    <row r="614" spans="1:4" ht="94.5">
      <c r="A614" s="337">
        <v>5705</v>
      </c>
      <c r="B614" s="338" t="s">
        <v>1038</v>
      </c>
      <c r="C614" s="337" t="s">
        <v>9</v>
      </c>
      <c r="D614" s="339">
        <v>13.41</v>
      </c>
    </row>
    <row r="615" spans="1:4" ht="40.5">
      <c r="A615" s="337">
        <v>5707</v>
      </c>
      <c r="B615" s="338" t="s">
        <v>1039</v>
      </c>
      <c r="C615" s="337" t="s">
        <v>9</v>
      </c>
      <c r="D615" s="339">
        <v>41.52</v>
      </c>
    </row>
    <row r="616" spans="1:4" ht="54">
      <c r="A616" s="337">
        <v>5710</v>
      </c>
      <c r="B616" s="338" t="s">
        <v>1040</v>
      </c>
      <c r="C616" s="337" t="s">
        <v>9</v>
      </c>
      <c r="D616" s="339">
        <v>77.989999999999995</v>
      </c>
    </row>
    <row r="617" spans="1:4" ht="67.5">
      <c r="A617" s="337">
        <v>5711</v>
      </c>
      <c r="B617" s="338" t="s">
        <v>1041</v>
      </c>
      <c r="C617" s="337" t="s">
        <v>9</v>
      </c>
      <c r="D617" s="339">
        <v>52.02</v>
      </c>
    </row>
    <row r="618" spans="1:4" ht="40.5">
      <c r="A618" s="337">
        <v>5714</v>
      </c>
      <c r="B618" s="338" t="s">
        <v>1042</v>
      </c>
      <c r="C618" s="337" t="s">
        <v>9</v>
      </c>
      <c r="D618" s="339">
        <v>7.85</v>
      </c>
    </row>
    <row r="619" spans="1:4" ht="40.5">
      <c r="A619" s="337">
        <v>5715</v>
      </c>
      <c r="B619" s="338" t="s">
        <v>1043</v>
      </c>
      <c r="C619" s="337" t="s">
        <v>9</v>
      </c>
      <c r="D619" s="339">
        <v>41.54</v>
      </c>
    </row>
    <row r="620" spans="1:4" ht="40.5">
      <c r="A620" s="337">
        <v>5718</v>
      </c>
      <c r="B620" s="338" t="s">
        <v>1044</v>
      </c>
      <c r="C620" s="337" t="s">
        <v>9</v>
      </c>
      <c r="D620" s="339">
        <v>84.24</v>
      </c>
    </row>
    <row r="621" spans="1:4" ht="54">
      <c r="A621" s="337">
        <v>5721</v>
      </c>
      <c r="B621" s="338" t="s">
        <v>1045</v>
      </c>
      <c r="C621" s="337" t="s">
        <v>9</v>
      </c>
      <c r="D621" s="339">
        <v>74.31</v>
      </c>
    </row>
    <row r="622" spans="1:4" ht="54">
      <c r="A622" s="337">
        <v>5722</v>
      </c>
      <c r="B622" s="338" t="s">
        <v>1046</v>
      </c>
      <c r="C622" s="337" t="s">
        <v>9</v>
      </c>
      <c r="D622" s="339">
        <v>171.95</v>
      </c>
    </row>
    <row r="623" spans="1:4" ht="40.5">
      <c r="A623" s="337">
        <v>5724</v>
      </c>
      <c r="B623" s="338" t="s">
        <v>1047</v>
      </c>
      <c r="C623" s="337" t="s">
        <v>9</v>
      </c>
      <c r="D623" s="339">
        <v>28.94</v>
      </c>
    </row>
    <row r="624" spans="1:4" ht="67.5">
      <c r="A624" s="337">
        <v>5727</v>
      </c>
      <c r="B624" s="338" t="s">
        <v>1048</v>
      </c>
      <c r="C624" s="337" t="s">
        <v>9</v>
      </c>
      <c r="D624" s="339">
        <v>5.29</v>
      </c>
    </row>
    <row r="625" spans="1:4" ht="54">
      <c r="A625" s="337">
        <v>5729</v>
      </c>
      <c r="B625" s="338" t="s">
        <v>1049</v>
      </c>
      <c r="C625" s="337" t="s">
        <v>9</v>
      </c>
      <c r="D625" s="339">
        <v>21.53</v>
      </c>
    </row>
    <row r="626" spans="1:4" ht="67.5">
      <c r="A626" s="337">
        <v>5730</v>
      </c>
      <c r="B626" s="338" t="s">
        <v>1050</v>
      </c>
      <c r="C626" s="337" t="s">
        <v>9</v>
      </c>
      <c r="D626" s="339">
        <v>28.74</v>
      </c>
    </row>
    <row r="627" spans="1:4" ht="94.5">
      <c r="A627" s="337">
        <v>5735</v>
      </c>
      <c r="B627" s="338" t="s">
        <v>1051</v>
      </c>
      <c r="C627" s="337" t="s">
        <v>9</v>
      </c>
      <c r="D627" s="339">
        <v>16.45</v>
      </c>
    </row>
    <row r="628" spans="1:4" ht="94.5">
      <c r="A628" s="337">
        <v>5736</v>
      </c>
      <c r="B628" s="338" t="s">
        <v>1052</v>
      </c>
      <c r="C628" s="337" t="s">
        <v>9</v>
      </c>
      <c r="D628" s="339">
        <v>38.630000000000003</v>
      </c>
    </row>
    <row r="629" spans="1:4" ht="67.5">
      <c r="A629" s="337">
        <v>5738</v>
      </c>
      <c r="B629" s="338" t="s">
        <v>1053</v>
      </c>
      <c r="C629" s="337" t="s">
        <v>9</v>
      </c>
      <c r="D629" s="339">
        <v>19.14</v>
      </c>
    </row>
    <row r="630" spans="1:4" ht="67.5">
      <c r="A630" s="337">
        <v>5739</v>
      </c>
      <c r="B630" s="338" t="s">
        <v>1054</v>
      </c>
      <c r="C630" s="337" t="s">
        <v>9</v>
      </c>
      <c r="D630" s="339">
        <v>23.96</v>
      </c>
    </row>
    <row r="631" spans="1:4" ht="81">
      <c r="A631" s="337">
        <v>5741</v>
      </c>
      <c r="B631" s="338" t="s">
        <v>1055</v>
      </c>
      <c r="C631" s="337" t="s">
        <v>9</v>
      </c>
      <c r="D631" s="339">
        <v>25.26</v>
      </c>
    </row>
    <row r="632" spans="1:4" ht="81">
      <c r="A632" s="337">
        <v>5742</v>
      </c>
      <c r="B632" s="338" t="s">
        <v>1056</v>
      </c>
      <c r="C632" s="337" t="s">
        <v>9</v>
      </c>
      <c r="D632" s="339">
        <v>16.12</v>
      </c>
    </row>
    <row r="633" spans="1:4" ht="81">
      <c r="A633" s="337">
        <v>5747</v>
      </c>
      <c r="B633" s="338" t="s">
        <v>1057</v>
      </c>
      <c r="C633" s="337" t="s">
        <v>9</v>
      </c>
      <c r="D633" s="339">
        <v>92.39</v>
      </c>
    </row>
    <row r="634" spans="1:4" ht="67.5">
      <c r="A634" s="337">
        <v>5751</v>
      </c>
      <c r="B634" s="338" t="s">
        <v>1058</v>
      </c>
      <c r="C634" s="337" t="s">
        <v>9</v>
      </c>
      <c r="D634" s="339">
        <v>14.77</v>
      </c>
    </row>
    <row r="635" spans="1:4" ht="67.5">
      <c r="A635" s="337">
        <v>5754</v>
      </c>
      <c r="B635" s="338" t="s">
        <v>1059</v>
      </c>
      <c r="C635" s="337" t="s">
        <v>9</v>
      </c>
      <c r="D635" s="339">
        <v>12.44</v>
      </c>
    </row>
    <row r="636" spans="1:4" ht="81">
      <c r="A636" s="337">
        <v>5763</v>
      </c>
      <c r="B636" s="338" t="s">
        <v>1060</v>
      </c>
      <c r="C636" s="337" t="s">
        <v>9</v>
      </c>
      <c r="D636" s="339">
        <v>20.99</v>
      </c>
    </row>
    <row r="637" spans="1:4" ht="54">
      <c r="A637" s="337">
        <v>5765</v>
      </c>
      <c r="B637" s="338" t="s">
        <v>1061</v>
      </c>
      <c r="C637" s="337" t="s">
        <v>9</v>
      </c>
      <c r="D637" s="339">
        <v>1.78</v>
      </c>
    </row>
    <row r="638" spans="1:4" ht="54">
      <c r="A638" s="337">
        <v>5766</v>
      </c>
      <c r="B638" s="338" t="s">
        <v>1062</v>
      </c>
      <c r="C638" s="337" t="s">
        <v>9</v>
      </c>
      <c r="D638" s="339">
        <v>2.35</v>
      </c>
    </row>
    <row r="639" spans="1:4" ht="54">
      <c r="A639" s="337">
        <v>5779</v>
      </c>
      <c r="B639" s="338" t="s">
        <v>1063</v>
      </c>
      <c r="C639" s="337" t="s">
        <v>9</v>
      </c>
      <c r="D639" s="339">
        <v>35.04</v>
      </c>
    </row>
    <row r="640" spans="1:4" ht="54">
      <c r="A640" s="337">
        <v>5787</v>
      </c>
      <c r="B640" s="338" t="s">
        <v>1064</v>
      </c>
      <c r="C640" s="337" t="s">
        <v>9</v>
      </c>
      <c r="D640" s="339">
        <v>97.6</v>
      </c>
    </row>
    <row r="641" spans="1:4" ht="54">
      <c r="A641" s="337">
        <v>5797</v>
      </c>
      <c r="B641" s="338" t="s">
        <v>1065</v>
      </c>
      <c r="C641" s="337" t="s">
        <v>9</v>
      </c>
      <c r="D641" s="339">
        <v>2.4</v>
      </c>
    </row>
    <row r="642" spans="1:4" ht="67.5">
      <c r="A642" s="337">
        <v>5800</v>
      </c>
      <c r="B642" s="338" t="s">
        <v>1066</v>
      </c>
      <c r="C642" s="337" t="s">
        <v>9</v>
      </c>
      <c r="D642" s="339">
        <v>0.25</v>
      </c>
    </row>
    <row r="643" spans="1:4" ht="40.5">
      <c r="A643" s="337">
        <v>7032</v>
      </c>
      <c r="B643" s="338" t="s">
        <v>1067</v>
      </c>
      <c r="C643" s="337" t="s">
        <v>9</v>
      </c>
      <c r="D643" s="339">
        <v>2.4</v>
      </c>
    </row>
    <row r="644" spans="1:4" ht="40.5">
      <c r="A644" s="337">
        <v>7033</v>
      </c>
      <c r="B644" s="338" t="s">
        <v>1068</v>
      </c>
      <c r="C644" s="337" t="s">
        <v>9</v>
      </c>
      <c r="D644" s="339">
        <v>0.96</v>
      </c>
    </row>
    <row r="645" spans="1:4" ht="40.5">
      <c r="A645" s="337">
        <v>7034</v>
      </c>
      <c r="B645" s="338" t="s">
        <v>1069</v>
      </c>
      <c r="C645" s="337" t="s">
        <v>9</v>
      </c>
      <c r="D645" s="339">
        <v>4.5</v>
      </c>
    </row>
    <row r="646" spans="1:4" ht="40.5">
      <c r="A646" s="337">
        <v>7035</v>
      </c>
      <c r="B646" s="338" t="s">
        <v>1070</v>
      </c>
      <c r="C646" s="337" t="s">
        <v>9</v>
      </c>
      <c r="D646" s="339">
        <v>158.15</v>
      </c>
    </row>
    <row r="647" spans="1:4" ht="67.5">
      <c r="A647" s="337">
        <v>7038</v>
      </c>
      <c r="B647" s="338" t="s">
        <v>1071</v>
      </c>
      <c r="C647" s="337" t="s">
        <v>9</v>
      </c>
      <c r="D647" s="339">
        <v>21.89</v>
      </c>
    </row>
    <row r="648" spans="1:4" ht="54">
      <c r="A648" s="337">
        <v>7039</v>
      </c>
      <c r="B648" s="338" t="s">
        <v>1072</v>
      </c>
      <c r="C648" s="337" t="s">
        <v>9</v>
      </c>
      <c r="D648" s="339">
        <v>5.75</v>
      </c>
    </row>
    <row r="649" spans="1:4" ht="67.5">
      <c r="A649" s="337">
        <v>7040</v>
      </c>
      <c r="B649" s="338" t="s">
        <v>1073</v>
      </c>
      <c r="C649" s="337" t="s">
        <v>9</v>
      </c>
      <c r="D649" s="339">
        <v>27.4</v>
      </c>
    </row>
    <row r="650" spans="1:4" ht="67.5">
      <c r="A650" s="337">
        <v>7044</v>
      </c>
      <c r="B650" s="338" t="s">
        <v>1074</v>
      </c>
      <c r="C650" s="337" t="s">
        <v>9</v>
      </c>
      <c r="D650" s="339">
        <v>0.17</v>
      </c>
    </row>
    <row r="651" spans="1:4" ht="67.5">
      <c r="A651" s="337">
        <v>7045</v>
      </c>
      <c r="B651" s="338" t="s">
        <v>1075</v>
      </c>
      <c r="C651" s="337" t="s">
        <v>9</v>
      </c>
      <c r="D651" s="339">
        <v>0.03</v>
      </c>
    </row>
    <row r="652" spans="1:4" ht="67.5">
      <c r="A652" s="337">
        <v>7046</v>
      </c>
      <c r="B652" s="338" t="s">
        <v>1076</v>
      </c>
      <c r="C652" s="337" t="s">
        <v>9</v>
      </c>
      <c r="D652" s="339">
        <v>0.18</v>
      </c>
    </row>
    <row r="653" spans="1:4" ht="81">
      <c r="A653" s="337">
        <v>7047</v>
      </c>
      <c r="B653" s="338" t="s">
        <v>1077</v>
      </c>
      <c r="C653" s="337" t="s">
        <v>9</v>
      </c>
      <c r="D653" s="339">
        <v>4.43</v>
      </c>
    </row>
    <row r="654" spans="1:4" ht="81">
      <c r="A654" s="337">
        <v>7051</v>
      </c>
      <c r="B654" s="338" t="s">
        <v>1078</v>
      </c>
      <c r="C654" s="337" t="s">
        <v>9</v>
      </c>
      <c r="D654" s="339">
        <v>19.420000000000002</v>
      </c>
    </row>
    <row r="655" spans="1:4" ht="81">
      <c r="A655" s="337">
        <v>7052</v>
      </c>
      <c r="B655" s="338" t="s">
        <v>1079</v>
      </c>
      <c r="C655" s="337" t="s">
        <v>9</v>
      </c>
      <c r="D655" s="339">
        <v>5.0999999999999996</v>
      </c>
    </row>
    <row r="656" spans="1:4" ht="81">
      <c r="A656" s="337">
        <v>7053</v>
      </c>
      <c r="B656" s="338" t="s">
        <v>1080</v>
      </c>
      <c r="C656" s="337" t="s">
        <v>9</v>
      </c>
      <c r="D656" s="339">
        <v>24.3</v>
      </c>
    </row>
    <row r="657" spans="1:4" ht="81">
      <c r="A657" s="337">
        <v>7054</v>
      </c>
      <c r="B657" s="338" t="s">
        <v>1081</v>
      </c>
      <c r="C657" s="337" t="s">
        <v>9</v>
      </c>
      <c r="D657" s="339">
        <v>61.95</v>
      </c>
    </row>
    <row r="658" spans="1:4" ht="81">
      <c r="A658" s="337">
        <v>7058</v>
      </c>
      <c r="B658" s="338" t="s">
        <v>1082</v>
      </c>
      <c r="C658" s="337" t="s">
        <v>9</v>
      </c>
      <c r="D658" s="339">
        <v>10.96</v>
      </c>
    </row>
    <row r="659" spans="1:4" ht="67.5">
      <c r="A659" s="337">
        <v>7059</v>
      </c>
      <c r="B659" s="338" t="s">
        <v>1083</v>
      </c>
      <c r="C659" s="337" t="s">
        <v>9</v>
      </c>
      <c r="D659" s="339">
        <v>3.83</v>
      </c>
    </row>
    <row r="660" spans="1:4" ht="81">
      <c r="A660" s="337">
        <v>7060</v>
      </c>
      <c r="B660" s="338" t="s">
        <v>1084</v>
      </c>
      <c r="C660" s="337" t="s">
        <v>9</v>
      </c>
      <c r="D660" s="339">
        <v>20.56</v>
      </c>
    </row>
    <row r="661" spans="1:4" ht="81">
      <c r="A661" s="337">
        <v>7061</v>
      </c>
      <c r="B661" s="338" t="s">
        <v>1085</v>
      </c>
      <c r="C661" s="337" t="s">
        <v>9</v>
      </c>
      <c r="D661" s="339">
        <v>90.44</v>
      </c>
    </row>
    <row r="662" spans="1:4" ht="40.5">
      <c r="A662" s="337">
        <v>7063</v>
      </c>
      <c r="B662" s="338" t="s">
        <v>1086</v>
      </c>
      <c r="C662" s="337" t="s">
        <v>9</v>
      </c>
      <c r="D662" s="339">
        <v>9.7899999999999991</v>
      </c>
    </row>
    <row r="663" spans="1:4" ht="40.5">
      <c r="A663" s="337">
        <v>7064</v>
      </c>
      <c r="B663" s="338" t="s">
        <v>1087</v>
      </c>
      <c r="C663" s="337" t="s">
        <v>9</v>
      </c>
      <c r="D663" s="339">
        <v>2.57</v>
      </c>
    </row>
    <row r="664" spans="1:4" ht="40.5">
      <c r="A664" s="337">
        <v>7065</v>
      </c>
      <c r="B664" s="338" t="s">
        <v>1088</v>
      </c>
      <c r="C664" s="337" t="s">
        <v>9</v>
      </c>
      <c r="D664" s="339">
        <v>10.71</v>
      </c>
    </row>
    <row r="665" spans="1:4" ht="40.5">
      <c r="A665" s="337">
        <v>7066</v>
      </c>
      <c r="B665" s="338" t="s">
        <v>1089</v>
      </c>
      <c r="C665" s="337" t="s">
        <v>9</v>
      </c>
      <c r="D665" s="339">
        <v>59.63</v>
      </c>
    </row>
    <row r="666" spans="1:4" ht="94.5">
      <c r="A666" s="337">
        <v>53786</v>
      </c>
      <c r="B666" s="338" t="s">
        <v>1090</v>
      </c>
      <c r="C666" s="337" t="s">
        <v>9</v>
      </c>
      <c r="D666" s="339">
        <v>45.57</v>
      </c>
    </row>
    <row r="667" spans="1:4" ht="81">
      <c r="A667" s="337">
        <v>53788</v>
      </c>
      <c r="B667" s="338" t="s">
        <v>1091</v>
      </c>
      <c r="C667" s="337" t="s">
        <v>9</v>
      </c>
      <c r="D667" s="339">
        <v>39.630000000000003</v>
      </c>
    </row>
    <row r="668" spans="1:4" ht="81">
      <c r="A668" s="337">
        <v>53792</v>
      </c>
      <c r="B668" s="338" t="s">
        <v>1092</v>
      </c>
      <c r="C668" s="337" t="s">
        <v>9</v>
      </c>
      <c r="D668" s="339">
        <v>112.43</v>
      </c>
    </row>
    <row r="669" spans="1:4" ht="40.5">
      <c r="A669" s="337">
        <v>53794</v>
      </c>
      <c r="B669" s="338" t="s">
        <v>1093</v>
      </c>
      <c r="C669" s="337" t="s">
        <v>9</v>
      </c>
      <c r="D669" s="339">
        <v>35</v>
      </c>
    </row>
    <row r="670" spans="1:4" ht="94.5">
      <c r="A670" s="337">
        <v>53797</v>
      </c>
      <c r="B670" s="338" t="s">
        <v>1094</v>
      </c>
      <c r="C670" s="337" t="s">
        <v>9</v>
      </c>
      <c r="D670" s="339">
        <v>92.39</v>
      </c>
    </row>
    <row r="671" spans="1:4" ht="40.5">
      <c r="A671" s="337">
        <v>53804</v>
      </c>
      <c r="B671" s="338" t="s">
        <v>1095</v>
      </c>
      <c r="C671" s="337" t="s">
        <v>9</v>
      </c>
      <c r="D671" s="339">
        <v>2.1800000000000002</v>
      </c>
    </row>
    <row r="672" spans="1:4" ht="40.5">
      <c r="A672" s="337">
        <v>53806</v>
      </c>
      <c r="B672" s="338" t="s">
        <v>1096</v>
      </c>
      <c r="C672" s="337" t="s">
        <v>9</v>
      </c>
      <c r="D672" s="339">
        <v>37.299999999999997</v>
      </c>
    </row>
    <row r="673" spans="1:4" ht="54">
      <c r="A673" s="337">
        <v>53810</v>
      </c>
      <c r="B673" s="338" t="s">
        <v>1097</v>
      </c>
      <c r="C673" s="337" t="s">
        <v>9</v>
      </c>
      <c r="D673" s="339">
        <v>37.53</v>
      </c>
    </row>
    <row r="674" spans="1:4" ht="40.5">
      <c r="A674" s="337">
        <v>53814</v>
      </c>
      <c r="B674" s="338" t="s">
        <v>1098</v>
      </c>
      <c r="C674" s="337" t="s">
        <v>9</v>
      </c>
      <c r="D674" s="339">
        <v>122.93</v>
      </c>
    </row>
    <row r="675" spans="1:4" ht="40.5">
      <c r="A675" s="337">
        <v>53817</v>
      </c>
      <c r="B675" s="338" t="s">
        <v>1099</v>
      </c>
      <c r="C675" s="337" t="s">
        <v>9</v>
      </c>
      <c r="D675" s="339">
        <v>49.55</v>
      </c>
    </row>
    <row r="676" spans="1:4" ht="67.5">
      <c r="A676" s="337">
        <v>53818</v>
      </c>
      <c r="B676" s="338" t="s">
        <v>1100</v>
      </c>
      <c r="C676" s="337" t="s">
        <v>9</v>
      </c>
      <c r="D676" s="339">
        <v>4.22</v>
      </c>
    </row>
    <row r="677" spans="1:4" ht="67.5">
      <c r="A677" s="337">
        <v>53827</v>
      </c>
      <c r="B677" s="338" t="s">
        <v>1101</v>
      </c>
      <c r="C677" s="337" t="s">
        <v>9</v>
      </c>
      <c r="D677" s="339">
        <v>90.44</v>
      </c>
    </row>
    <row r="678" spans="1:4" ht="67.5">
      <c r="A678" s="337">
        <v>53829</v>
      </c>
      <c r="B678" s="338" t="s">
        <v>1102</v>
      </c>
      <c r="C678" s="337" t="s">
        <v>9</v>
      </c>
      <c r="D678" s="339">
        <v>92.39</v>
      </c>
    </row>
    <row r="679" spans="1:4" ht="81">
      <c r="A679" s="337">
        <v>53831</v>
      </c>
      <c r="B679" s="338" t="s">
        <v>1103</v>
      </c>
      <c r="C679" s="337" t="s">
        <v>9</v>
      </c>
      <c r="D679" s="339">
        <v>112.43</v>
      </c>
    </row>
    <row r="680" spans="1:4" ht="40.5">
      <c r="A680" s="337">
        <v>53840</v>
      </c>
      <c r="B680" s="338" t="s">
        <v>1104</v>
      </c>
      <c r="C680" s="337" t="s">
        <v>9</v>
      </c>
      <c r="D680" s="339">
        <v>1.18</v>
      </c>
    </row>
    <row r="681" spans="1:4" ht="40.5">
      <c r="A681" s="337">
        <v>53841</v>
      </c>
      <c r="B681" s="338" t="s">
        <v>1105</v>
      </c>
      <c r="C681" s="337" t="s">
        <v>9</v>
      </c>
      <c r="D681" s="339">
        <v>0.82</v>
      </c>
    </row>
    <row r="682" spans="1:4" ht="54">
      <c r="A682" s="337">
        <v>53849</v>
      </c>
      <c r="B682" s="338" t="s">
        <v>1106</v>
      </c>
      <c r="C682" s="337" t="s">
        <v>9</v>
      </c>
      <c r="D682" s="339">
        <v>61.95</v>
      </c>
    </row>
    <row r="683" spans="1:4" ht="54">
      <c r="A683" s="337">
        <v>53857</v>
      </c>
      <c r="B683" s="338" t="s">
        <v>1107</v>
      </c>
      <c r="C683" s="337" t="s">
        <v>9</v>
      </c>
      <c r="D683" s="339">
        <v>18.2</v>
      </c>
    </row>
    <row r="684" spans="1:4" ht="54">
      <c r="A684" s="337">
        <v>53858</v>
      </c>
      <c r="B684" s="338" t="s">
        <v>1108</v>
      </c>
      <c r="C684" s="337" t="s">
        <v>9</v>
      </c>
      <c r="D684" s="339">
        <v>63.43</v>
      </c>
    </row>
    <row r="685" spans="1:4" ht="54">
      <c r="A685" s="337">
        <v>53861</v>
      </c>
      <c r="B685" s="338" t="s">
        <v>1109</v>
      </c>
      <c r="C685" s="337" t="s">
        <v>9</v>
      </c>
      <c r="D685" s="339">
        <v>25.23</v>
      </c>
    </row>
    <row r="686" spans="1:4" ht="40.5">
      <c r="A686" s="337">
        <v>53863</v>
      </c>
      <c r="B686" s="338" t="s">
        <v>1110</v>
      </c>
      <c r="C686" s="337" t="s">
        <v>9</v>
      </c>
      <c r="D686" s="339">
        <v>1.52</v>
      </c>
    </row>
    <row r="687" spans="1:4" ht="54">
      <c r="A687" s="337">
        <v>53865</v>
      </c>
      <c r="B687" s="338" t="s">
        <v>1111</v>
      </c>
      <c r="C687" s="337" t="s">
        <v>9</v>
      </c>
      <c r="D687" s="339">
        <v>30.81</v>
      </c>
    </row>
    <row r="688" spans="1:4" ht="67.5">
      <c r="A688" s="337">
        <v>53866</v>
      </c>
      <c r="B688" s="338" t="s">
        <v>1112</v>
      </c>
      <c r="C688" s="337" t="s">
        <v>9</v>
      </c>
      <c r="D688" s="339">
        <v>0.97</v>
      </c>
    </row>
    <row r="689" spans="1:4" ht="67.5">
      <c r="A689" s="337">
        <v>53882</v>
      </c>
      <c r="B689" s="338" t="s">
        <v>1113</v>
      </c>
      <c r="C689" s="337" t="s">
        <v>9</v>
      </c>
      <c r="D689" s="339">
        <v>16.329999999999998</v>
      </c>
    </row>
    <row r="690" spans="1:4" ht="67.5">
      <c r="A690" s="337">
        <v>55263</v>
      </c>
      <c r="B690" s="338" t="s">
        <v>1114</v>
      </c>
      <c r="C690" s="337" t="s">
        <v>9</v>
      </c>
      <c r="D690" s="339">
        <v>55.01</v>
      </c>
    </row>
    <row r="691" spans="1:4" ht="40.5">
      <c r="A691" s="337">
        <v>73303</v>
      </c>
      <c r="B691" s="338" t="s">
        <v>1115</v>
      </c>
      <c r="C691" s="337" t="s">
        <v>9</v>
      </c>
      <c r="D691" s="339">
        <v>3.12</v>
      </c>
    </row>
    <row r="692" spans="1:4" ht="40.5">
      <c r="A692" s="337">
        <v>73307</v>
      </c>
      <c r="B692" s="338" t="s">
        <v>1116</v>
      </c>
      <c r="C692" s="337" t="s">
        <v>9</v>
      </c>
      <c r="D692" s="339">
        <v>2.78</v>
      </c>
    </row>
    <row r="693" spans="1:4" ht="67.5">
      <c r="A693" s="337">
        <v>73309</v>
      </c>
      <c r="B693" s="338" t="s">
        <v>1117</v>
      </c>
      <c r="C693" s="337" t="s">
        <v>9</v>
      </c>
      <c r="D693" s="339">
        <v>14.56</v>
      </c>
    </row>
    <row r="694" spans="1:4" ht="40.5">
      <c r="A694" s="337">
        <v>73311</v>
      </c>
      <c r="B694" s="338" t="s">
        <v>1118</v>
      </c>
      <c r="C694" s="337" t="s">
        <v>9</v>
      </c>
      <c r="D694" s="339">
        <v>104.05</v>
      </c>
    </row>
    <row r="695" spans="1:4" ht="67.5">
      <c r="A695" s="337">
        <v>73313</v>
      </c>
      <c r="B695" s="338" t="s">
        <v>1119</v>
      </c>
      <c r="C695" s="337" t="s">
        <v>9</v>
      </c>
      <c r="D695" s="339">
        <v>3.82</v>
      </c>
    </row>
    <row r="696" spans="1:4" ht="67.5">
      <c r="A696" s="337">
        <v>73315</v>
      </c>
      <c r="B696" s="338" t="s">
        <v>1120</v>
      </c>
      <c r="C696" s="337" t="s">
        <v>9</v>
      </c>
      <c r="D696" s="339">
        <v>39.630000000000003</v>
      </c>
    </row>
    <row r="697" spans="1:4" ht="94.5">
      <c r="A697" s="337">
        <v>73335</v>
      </c>
      <c r="B697" s="338" t="s">
        <v>1121</v>
      </c>
      <c r="C697" s="337" t="s">
        <v>9</v>
      </c>
      <c r="D697" s="339">
        <v>15.94</v>
      </c>
    </row>
    <row r="698" spans="1:4" ht="94.5">
      <c r="A698" s="337">
        <v>73340</v>
      </c>
      <c r="B698" s="338" t="s">
        <v>1122</v>
      </c>
      <c r="C698" s="337" t="s">
        <v>9</v>
      </c>
      <c r="D698" s="339">
        <v>90.44</v>
      </c>
    </row>
    <row r="699" spans="1:4" ht="81">
      <c r="A699" s="337">
        <v>83361</v>
      </c>
      <c r="B699" s="338" t="s">
        <v>1123</v>
      </c>
      <c r="C699" s="337" t="s">
        <v>9</v>
      </c>
      <c r="D699" s="339">
        <v>9.75</v>
      </c>
    </row>
    <row r="700" spans="1:4" ht="54">
      <c r="A700" s="337">
        <v>83761</v>
      </c>
      <c r="B700" s="338" t="s">
        <v>1124</v>
      </c>
      <c r="C700" s="337" t="s">
        <v>9</v>
      </c>
      <c r="D700" s="339">
        <v>6.65</v>
      </c>
    </row>
    <row r="701" spans="1:4" ht="54">
      <c r="A701" s="337">
        <v>83762</v>
      </c>
      <c r="B701" s="338" t="s">
        <v>1125</v>
      </c>
      <c r="C701" s="337" t="s">
        <v>9</v>
      </c>
      <c r="D701" s="339">
        <v>8.32</v>
      </c>
    </row>
    <row r="702" spans="1:4" ht="54">
      <c r="A702" s="337">
        <v>83763</v>
      </c>
      <c r="B702" s="338" t="s">
        <v>1126</v>
      </c>
      <c r="C702" s="337" t="s">
        <v>9</v>
      </c>
      <c r="D702" s="339">
        <v>29.33</v>
      </c>
    </row>
    <row r="703" spans="1:4" ht="54">
      <c r="A703" s="337">
        <v>83764</v>
      </c>
      <c r="B703" s="338" t="s">
        <v>1127</v>
      </c>
      <c r="C703" s="337" t="s">
        <v>9</v>
      </c>
      <c r="D703" s="339">
        <v>1.49</v>
      </c>
    </row>
    <row r="704" spans="1:4" ht="40.5">
      <c r="A704" s="337">
        <v>87026</v>
      </c>
      <c r="B704" s="338" t="s">
        <v>1128</v>
      </c>
      <c r="C704" s="337" t="s">
        <v>9</v>
      </c>
      <c r="D704" s="339">
        <v>0.31</v>
      </c>
    </row>
    <row r="705" spans="1:4" ht="54">
      <c r="A705" s="337">
        <v>87441</v>
      </c>
      <c r="B705" s="338" t="s">
        <v>1129</v>
      </c>
      <c r="C705" s="337" t="s">
        <v>9</v>
      </c>
      <c r="D705" s="339">
        <v>0.28999999999999998</v>
      </c>
    </row>
    <row r="706" spans="1:4" ht="54">
      <c r="A706" s="337">
        <v>87442</v>
      </c>
      <c r="B706" s="338" t="s">
        <v>1130</v>
      </c>
      <c r="C706" s="337" t="s">
        <v>9</v>
      </c>
      <c r="D706" s="339">
        <v>0.06</v>
      </c>
    </row>
    <row r="707" spans="1:4" ht="54">
      <c r="A707" s="337">
        <v>87443</v>
      </c>
      <c r="B707" s="338" t="s">
        <v>1131</v>
      </c>
      <c r="C707" s="337" t="s">
        <v>9</v>
      </c>
      <c r="D707" s="339">
        <v>0.27</v>
      </c>
    </row>
    <row r="708" spans="1:4" ht="54">
      <c r="A708" s="337">
        <v>87444</v>
      </c>
      <c r="B708" s="338" t="s">
        <v>1132</v>
      </c>
      <c r="C708" s="337" t="s">
        <v>9</v>
      </c>
      <c r="D708" s="339">
        <v>2.4700000000000002</v>
      </c>
    </row>
    <row r="709" spans="1:4" ht="54">
      <c r="A709" s="337">
        <v>88387</v>
      </c>
      <c r="B709" s="338" t="s">
        <v>1133</v>
      </c>
      <c r="C709" s="337" t="s">
        <v>9</v>
      </c>
      <c r="D709" s="339">
        <v>0.56999999999999995</v>
      </c>
    </row>
    <row r="710" spans="1:4" ht="54">
      <c r="A710" s="337">
        <v>88389</v>
      </c>
      <c r="B710" s="338" t="s">
        <v>1134</v>
      </c>
      <c r="C710" s="337" t="s">
        <v>9</v>
      </c>
      <c r="D710" s="339">
        <v>0.13</v>
      </c>
    </row>
    <row r="711" spans="1:4" ht="54">
      <c r="A711" s="337">
        <v>88390</v>
      </c>
      <c r="B711" s="338" t="s">
        <v>1135</v>
      </c>
      <c r="C711" s="337" t="s">
        <v>9</v>
      </c>
      <c r="D711" s="339">
        <v>0.72</v>
      </c>
    </row>
    <row r="712" spans="1:4" ht="54">
      <c r="A712" s="337">
        <v>88391</v>
      </c>
      <c r="B712" s="338" t="s">
        <v>1136</v>
      </c>
      <c r="C712" s="337" t="s">
        <v>9</v>
      </c>
      <c r="D712" s="339">
        <v>1.59</v>
      </c>
    </row>
    <row r="713" spans="1:4" ht="54">
      <c r="A713" s="337">
        <v>88394</v>
      </c>
      <c r="B713" s="338" t="s">
        <v>1137</v>
      </c>
      <c r="C713" s="337" t="s">
        <v>9</v>
      </c>
      <c r="D713" s="339">
        <v>0.68</v>
      </c>
    </row>
    <row r="714" spans="1:4" ht="54">
      <c r="A714" s="337">
        <v>88395</v>
      </c>
      <c r="B714" s="338" t="s">
        <v>1138</v>
      </c>
      <c r="C714" s="337" t="s">
        <v>9</v>
      </c>
      <c r="D714" s="339">
        <v>0.15</v>
      </c>
    </row>
    <row r="715" spans="1:4" ht="54">
      <c r="A715" s="337">
        <v>88396</v>
      </c>
      <c r="B715" s="338" t="s">
        <v>1139</v>
      </c>
      <c r="C715" s="337" t="s">
        <v>9</v>
      </c>
      <c r="D715" s="339">
        <v>0.86</v>
      </c>
    </row>
    <row r="716" spans="1:4" ht="54">
      <c r="A716" s="337">
        <v>88397</v>
      </c>
      <c r="B716" s="338" t="s">
        <v>1140</v>
      </c>
      <c r="C716" s="337" t="s">
        <v>9</v>
      </c>
      <c r="D716" s="339">
        <v>2.39</v>
      </c>
    </row>
    <row r="717" spans="1:4" ht="54">
      <c r="A717" s="337">
        <v>88400</v>
      </c>
      <c r="B717" s="338" t="s">
        <v>1141</v>
      </c>
      <c r="C717" s="337" t="s">
        <v>9</v>
      </c>
      <c r="D717" s="339">
        <v>0.54</v>
      </c>
    </row>
    <row r="718" spans="1:4" ht="54">
      <c r="A718" s="337">
        <v>88401</v>
      </c>
      <c r="B718" s="338" t="s">
        <v>1142</v>
      </c>
      <c r="C718" s="337" t="s">
        <v>9</v>
      </c>
      <c r="D718" s="339">
        <v>0.12</v>
      </c>
    </row>
    <row r="719" spans="1:4" ht="54">
      <c r="A719" s="337">
        <v>88402</v>
      </c>
      <c r="B719" s="338" t="s">
        <v>1143</v>
      </c>
      <c r="C719" s="337" t="s">
        <v>9</v>
      </c>
      <c r="D719" s="339">
        <v>0.68</v>
      </c>
    </row>
    <row r="720" spans="1:4" ht="54">
      <c r="A720" s="337">
        <v>88403</v>
      </c>
      <c r="B720" s="338" t="s">
        <v>1144</v>
      </c>
      <c r="C720" s="337" t="s">
        <v>9</v>
      </c>
      <c r="D720" s="339">
        <v>0.95</v>
      </c>
    </row>
    <row r="721" spans="1:4" ht="54">
      <c r="A721" s="337">
        <v>88419</v>
      </c>
      <c r="B721" s="338" t="s">
        <v>1145</v>
      </c>
      <c r="C721" s="337" t="s">
        <v>9</v>
      </c>
      <c r="D721" s="339">
        <v>3.55</v>
      </c>
    </row>
    <row r="722" spans="1:4" ht="54">
      <c r="A722" s="337">
        <v>88422</v>
      </c>
      <c r="B722" s="338" t="s">
        <v>1146</v>
      </c>
      <c r="C722" s="337" t="s">
        <v>9</v>
      </c>
      <c r="D722" s="339">
        <v>0.8</v>
      </c>
    </row>
    <row r="723" spans="1:4" ht="54">
      <c r="A723" s="337">
        <v>88425</v>
      </c>
      <c r="B723" s="338" t="s">
        <v>1147</v>
      </c>
      <c r="C723" s="337" t="s">
        <v>9</v>
      </c>
      <c r="D723" s="339">
        <v>3.89</v>
      </c>
    </row>
    <row r="724" spans="1:4" ht="54">
      <c r="A724" s="337">
        <v>88427</v>
      </c>
      <c r="B724" s="338" t="s">
        <v>1148</v>
      </c>
      <c r="C724" s="337" t="s">
        <v>9</v>
      </c>
      <c r="D724" s="339">
        <v>2.42</v>
      </c>
    </row>
    <row r="725" spans="1:4" ht="54">
      <c r="A725" s="337">
        <v>88434</v>
      </c>
      <c r="B725" s="338" t="s">
        <v>1149</v>
      </c>
      <c r="C725" s="337" t="s">
        <v>9</v>
      </c>
      <c r="D725" s="339">
        <v>4.71</v>
      </c>
    </row>
    <row r="726" spans="1:4" ht="54">
      <c r="A726" s="337">
        <v>88435</v>
      </c>
      <c r="B726" s="338" t="s">
        <v>1150</v>
      </c>
      <c r="C726" s="337" t="s">
        <v>9</v>
      </c>
      <c r="D726" s="339">
        <v>1.06</v>
      </c>
    </row>
    <row r="727" spans="1:4" ht="54">
      <c r="A727" s="337">
        <v>88436</v>
      </c>
      <c r="B727" s="338" t="s">
        <v>1151</v>
      </c>
      <c r="C727" s="337" t="s">
        <v>9</v>
      </c>
      <c r="D727" s="339">
        <v>5.15</v>
      </c>
    </row>
    <row r="728" spans="1:4" ht="54">
      <c r="A728" s="337">
        <v>88437</v>
      </c>
      <c r="B728" s="338" t="s">
        <v>1152</v>
      </c>
      <c r="C728" s="337" t="s">
        <v>9</v>
      </c>
      <c r="D728" s="339">
        <v>2.42</v>
      </c>
    </row>
    <row r="729" spans="1:4" ht="54">
      <c r="A729" s="337">
        <v>88569</v>
      </c>
      <c r="B729" s="338" t="s">
        <v>1153</v>
      </c>
      <c r="C729" s="337" t="s">
        <v>9</v>
      </c>
      <c r="D729" s="339">
        <v>2.2799999999999998</v>
      </c>
    </row>
    <row r="730" spans="1:4" ht="54">
      <c r="A730" s="337">
        <v>88570</v>
      </c>
      <c r="B730" s="338" t="s">
        <v>1154</v>
      </c>
      <c r="C730" s="337" t="s">
        <v>9</v>
      </c>
      <c r="D730" s="339">
        <v>0.77</v>
      </c>
    </row>
    <row r="731" spans="1:4" ht="67.5">
      <c r="A731" s="337">
        <v>88826</v>
      </c>
      <c r="B731" s="338" t="s">
        <v>1155</v>
      </c>
      <c r="C731" s="337" t="s">
        <v>9</v>
      </c>
      <c r="D731" s="339">
        <v>0.21</v>
      </c>
    </row>
    <row r="732" spans="1:4" ht="54">
      <c r="A732" s="337">
        <v>88827</v>
      </c>
      <c r="B732" s="338" t="s">
        <v>1156</v>
      </c>
      <c r="C732" s="337" t="s">
        <v>9</v>
      </c>
      <c r="D732" s="339">
        <v>0.04</v>
      </c>
    </row>
    <row r="733" spans="1:4" ht="54">
      <c r="A733" s="337">
        <v>88828</v>
      </c>
      <c r="B733" s="338" t="s">
        <v>1157</v>
      </c>
      <c r="C733" s="337" t="s">
        <v>9</v>
      </c>
      <c r="D733" s="339">
        <v>0.2</v>
      </c>
    </row>
    <row r="734" spans="1:4" ht="67.5">
      <c r="A734" s="337">
        <v>88829</v>
      </c>
      <c r="B734" s="338" t="s">
        <v>1158</v>
      </c>
      <c r="C734" s="337" t="s">
        <v>9</v>
      </c>
      <c r="D734" s="339">
        <v>0.63</v>
      </c>
    </row>
    <row r="735" spans="1:4" ht="54">
      <c r="A735" s="337">
        <v>88832</v>
      </c>
      <c r="B735" s="338" t="s">
        <v>1159</v>
      </c>
      <c r="C735" s="337" t="s">
        <v>9</v>
      </c>
      <c r="D735" s="339">
        <v>22.97</v>
      </c>
    </row>
    <row r="736" spans="1:4" ht="54">
      <c r="A736" s="337">
        <v>88834</v>
      </c>
      <c r="B736" s="338" t="s">
        <v>1160</v>
      </c>
      <c r="C736" s="337" t="s">
        <v>9</v>
      </c>
      <c r="D736" s="339">
        <v>5.9</v>
      </c>
    </row>
    <row r="737" spans="1:4" ht="54">
      <c r="A737" s="337">
        <v>88835</v>
      </c>
      <c r="B737" s="338" t="s">
        <v>1161</v>
      </c>
      <c r="C737" s="337" t="s">
        <v>9</v>
      </c>
      <c r="D737" s="339">
        <v>28.71</v>
      </c>
    </row>
    <row r="738" spans="1:4" ht="54">
      <c r="A738" s="337">
        <v>88836</v>
      </c>
      <c r="B738" s="338" t="s">
        <v>1162</v>
      </c>
      <c r="C738" s="337" t="s">
        <v>9</v>
      </c>
      <c r="D738" s="339">
        <v>54.5</v>
      </c>
    </row>
    <row r="739" spans="1:4" ht="40.5">
      <c r="A739" s="337">
        <v>88839</v>
      </c>
      <c r="B739" s="338" t="s">
        <v>1163</v>
      </c>
      <c r="C739" s="337" t="s">
        <v>9</v>
      </c>
      <c r="D739" s="339">
        <v>16.940000000000001</v>
      </c>
    </row>
    <row r="740" spans="1:4" ht="40.5">
      <c r="A740" s="337">
        <v>88840</v>
      </c>
      <c r="B740" s="338" t="s">
        <v>1164</v>
      </c>
      <c r="C740" s="337" t="s">
        <v>9</v>
      </c>
      <c r="D740" s="339">
        <v>7.24</v>
      </c>
    </row>
    <row r="741" spans="1:4" ht="40.5">
      <c r="A741" s="337">
        <v>88841</v>
      </c>
      <c r="B741" s="338" t="s">
        <v>1165</v>
      </c>
      <c r="C741" s="337" t="s">
        <v>9</v>
      </c>
      <c r="D741" s="339">
        <v>30.29</v>
      </c>
    </row>
    <row r="742" spans="1:4" ht="40.5">
      <c r="A742" s="337">
        <v>88842</v>
      </c>
      <c r="B742" s="338" t="s">
        <v>1166</v>
      </c>
      <c r="C742" s="337" t="s">
        <v>9</v>
      </c>
      <c r="D742" s="339">
        <v>61.95</v>
      </c>
    </row>
    <row r="743" spans="1:4" ht="81">
      <c r="A743" s="337">
        <v>88847</v>
      </c>
      <c r="B743" s="338" t="s">
        <v>1167</v>
      </c>
      <c r="C743" s="337" t="s">
        <v>9</v>
      </c>
      <c r="D743" s="339">
        <v>13.47</v>
      </c>
    </row>
    <row r="744" spans="1:4" ht="81">
      <c r="A744" s="337">
        <v>88848</v>
      </c>
      <c r="B744" s="338" t="s">
        <v>1168</v>
      </c>
      <c r="C744" s="337" t="s">
        <v>9</v>
      </c>
      <c r="D744" s="339">
        <v>5.38</v>
      </c>
    </row>
    <row r="745" spans="1:4" ht="67.5">
      <c r="A745" s="337">
        <v>88853</v>
      </c>
      <c r="B745" s="338" t="s">
        <v>1169</v>
      </c>
      <c r="C745" s="337" t="s">
        <v>9</v>
      </c>
      <c r="D745" s="339">
        <v>0.13</v>
      </c>
    </row>
    <row r="746" spans="1:4" ht="67.5">
      <c r="A746" s="337">
        <v>88854</v>
      </c>
      <c r="B746" s="338" t="s">
        <v>1170</v>
      </c>
      <c r="C746" s="337" t="s">
        <v>9</v>
      </c>
      <c r="D746" s="339">
        <v>0.03</v>
      </c>
    </row>
    <row r="747" spans="1:4" ht="54">
      <c r="A747" s="337">
        <v>88855</v>
      </c>
      <c r="B747" s="338" t="s">
        <v>1171</v>
      </c>
      <c r="C747" s="337" t="s">
        <v>9</v>
      </c>
      <c r="D747" s="339">
        <v>1.51</v>
      </c>
    </row>
    <row r="748" spans="1:4" ht="54">
      <c r="A748" s="337">
        <v>88856</v>
      </c>
      <c r="B748" s="338" t="s">
        <v>1172</v>
      </c>
      <c r="C748" s="337" t="s">
        <v>9</v>
      </c>
      <c r="D748" s="339">
        <v>0.4</v>
      </c>
    </row>
    <row r="749" spans="1:4" ht="94.5">
      <c r="A749" s="337">
        <v>88857</v>
      </c>
      <c r="B749" s="338" t="s">
        <v>1173</v>
      </c>
      <c r="C749" s="337" t="s">
        <v>9</v>
      </c>
      <c r="D749" s="339">
        <v>13.64</v>
      </c>
    </row>
    <row r="750" spans="1:4" ht="94.5">
      <c r="A750" s="337">
        <v>88858</v>
      </c>
      <c r="B750" s="338" t="s">
        <v>1174</v>
      </c>
      <c r="C750" s="337" t="s">
        <v>9</v>
      </c>
      <c r="D750" s="339">
        <v>3.5</v>
      </c>
    </row>
    <row r="751" spans="1:4" ht="94.5">
      <c r="A751" s="337">
        <v>88859</v>
      </c>
      <c r="B751" s="338" t="s">
        <v>1175</v>
      </c>
      <c r="C751" s="337" t="s">
        <v>9</v>
      </c>
      <c r="D751" s="339">
        <v>12.13</v>
      </c>
    </row>
    <row r="752" spans="1:4" ht="94.5">
      <c r="A752" s="337">
        <v>88860</v>
      </c>
      <c r="B752" s="338" t="s">
        <v>1176</v>
      </c>
      <c r="C752" s="337" t="s">
        <v>9</v>
      </c>
      <c r="D752" s="339">
        <v>3.11</v>
      </c>
    </row>
    <row r="753" spans="1:4" ht="54">
      <c r="A753" s="337">
        <v>88900</v>
      </c>
      <c r="B753" s="338" t="s">
        <v>1177</v>
      </c>
      <c r="C753" s="337" t="s">
        <v>9</v>
      </c>
      <c r="D753" s="339">
        <v>26.78</v>
      </c>
    </row>
    <row r="754" spans="1:4" ht="54">
      <c r="A754" s="337">
        <v>88902</v>
      </c>
      <c r="B754" s="338" t="s">
        <v>1178</v>
      </c>
      <c r="C754" s="337" t="s">
        <v>9</v>
      </c>
      <c r="D754" s="339">
        <v>6.88</v>
      </c>
    </row>
    <row r="755" spans="1:4" ht="54">
      <c r="A755" s="337">
        <v>88903</v>
      </c>
      <c r="B755" s="338" t="s">
        <v>1179</v>
      </c>
      <c r="C755" s="337" t="s">
        <v>9</v>
      </c>
      <c r="D755" s="339">
        <v>33.479999999999997</v>
      </c>
    </row>
    <row r="756" spans="1:4" ht="54">
      <c r="A756" s="337">
        <v>88904</v>
      </c>
      <c r="B756" s="338" t="s">
        <v>1180</v>
      </c>
      <c r="C756" s="337" t="s">
        <v>9</v>
      </c>
      <c r="D756" s="339">
        <v>76.78</v>
      </c>
    </row>
    <row r="757" spans="1:4" ht="54">
      <c r="A757" s="337">
        <v>89009</v>
      </c>
      <c r="B757" s="338" t="s">
        <v>1181</v>
      </c>
      <c r="C757" s="337" t="s">
        <v>9</v>
      </c>
      <c r="D757" s="339">
        <v>20.99</v>
      </c>
    </row>
    <row r="758" spans="1:4" ht="54">
      <c r="A758" s="337">
        <v>89010</v>
      </c>
      <c r="B758" s="338" t="s">
        <v>1182</v>
      </c>
      <c r="C758" s="337" t="s">
        <v>9</v>
      </c>
      <c r="D758" s="339">
        <v>8.9700000000000006</v>
      </c>
    </row>
    <row r="759" spans="1:4" ht="94.5">
      <c r="A759" s="337">
        <v>89011</v>
      </c>
      <c r="B759" s="338" t="s">
        <v>1183</v>
      </c>
      <c r="C759" s="337" t="s">
        <v>9</v>
      </c>
      <c r="D759" s="339">
        <v>13.16</v>
      </c>
    </row>
    <row r="760" spans="1:4" ht="94.5">
      <c r="A760" s="337">
        <v>89012</v>
      </c>
      <c r="B760" s="338" t="s">
        <v>1184</v>
      </c>
      <c r="C760" s="337" t="s">
        <v>9</v>
      </c>
      <c r="D760" s="339">
        <v>3.38</v>
      </c>
    </row>
    <row r="761" spans="1:4" ht="40.5">
      <c r="A761" s="337">
        <v>89013</v>
      </c>
      <c r="B761" s="338" t="s">
        <v>1185</v>
      </c>
      <c r="C761" s="337" t="s">
        <v>9</v>
      </c>
      <c r="D761" s="339">
        <v>68.760000000000005</v>
      </c>
    </row>
    <row r="762" spans="1:4" ht="40.5">
      <c r="A762" s="337">
        <v>89014</v>
      </c>
      <c r="B762" s="338" t="s">
        <v>1186</v>
      </c>
      <c r="C762" s="337" t="s">
        <v>9</v>
      </c>
      <c r="D762" s="339">
        <v>29.4</v>
      </c>
    </row>
    <row r="763" spans="1:4" ht="40.5">
      <c r="A763" s="337">
        <v>89015</v>
      </c>
      <c r="B763" s="338" t="s">
        <v>1187</v>
      </c>
      <c r="C763" s="337" t="s">
        <v>9</v>
      </c>
      <c r="D763" s="339">
        <v>1.74</v>
      </c>
    </row>
    <row r="764" spans="1:4" ht="40.5">
      <c r="A764" s="337">
        <v>89016</v>
      </c>
      <c r="B764" s="338" t="s">
        <v>1188</v>
      </c>
      <c r="C764" s="337" t="s">
        <v>9</v>
      </c>
      <c r="D764" s="339">
        <v>0.44</v>
      </c>
    </row>
    <row r="765" spans="1:4" ht="40.5">
      <c r="A765" s="337">
        <v>89017</v>
      </c>
      <c r="B765" s="338" t="s">
        <v>1189</v>
      </c>
      <c r="C765" s="337" t="s">
        <v>9</v>
      </c>
      <c r="D765" s="339">
        <v>20.86</v>
      </c>
    </row>
    <row r="766" spans="1:4" ht="40.5">
      <c r="A766" s="337">
        <v>89018</v>
      </c>
      <c r="B766" s="338" t="s">
        <v>1190</v>
      </c>
      <c r="C766" s="337" t="s">
        <v>9</v>
      </c>
      <c r="D766" s="339">
        <v>8.92</v>
      </c>
    </row>
    <row r="767" spans="1:4" ht="67.5">
      <c r="A767" s="337">
        <v>89019</v>
      </c>
      <c r="B767" s="338" t="s">
        <v>1191</v>
      </c>
      <c r="C767" s="337" t="s">
        <v>9</v>
      </c>
      <c r="D767" s="339">
        <v>0.23</v>
      </c>
    </row>
    <row r="768" spans="1:4" ht="67.5">
      <c r="A768" s="337">
        <v>89020</v>
      </c>
      <c r="B768" s="338" t="s">
        <v>1192</v>
      </c>
      <c r="C768" s="337" t="s">
        <v>9</v>
      </c>
      <c r="D768" s="339">
        <v>0.05</v>
      </c>
    </row>
    <row r="769" spans="1:4" ht="40.5">
      <c r="A769" s="337">
        <v>89023</v>
      </c>
      <c r="B769" s="338" t="s">
        <v>1193</v>
      </c>
      <c r="C769" s="337" t="s">
        <v>9</v>
      </c>
      <c r="D769" s="339">
        <v>1.95</v>
      </c>
    </row>
    <row r="770" spans="1:4" ht="40.5">
      <c r="A770" s="337">
        <v>89024</v>
      </c>
      <c r="B770" s="338" t="s">
        <v>1194</v>
      </c>
      <c r="C770" s="337" t="s">
        <v>9</v>
      </c>
      <c r="D770" s="339">
        <v>0.78</v>
      </c>
    </row>
    <row r="771" spans="1:4" ht="40.5">
      <c r="A771" s="337">
        <v>89025</v>
      </c>
      <c r="B771" s="338" t="s">
        <v>1195</v>
      </c>
      <c r="C771" s="337" t="s">
        <v>9</v>
      </c>
      <c r="D771" s="339">
        <v>3.66</v>
      </c>
    </row>
    <row r="772" spans="1:4" ht="40.5">
      <c r="A772" s="337">
        <v>89026</v>
      </c>
      <c r="B772" s="338" t="s">
        <v>1196</v>
      </c>
      <c r="C772" s="337" t="s">
        <v>9</v>
      </c>
      <c r="D772" s="339">
        <v>147.37</v>
      </c>
    </row>
    <row r="773" spans="1:4" ht="40.5">
      <c r="A773" s="337">
        <v>89029</v>
      </c>
      <c r="B773" s="338" t="s">
        <v>1197</v>
      </c>
      <c r="C773" s="337" t="s">
        <v>9</v>
      </c>
      <c r="D773" s="339">
        <v>16.190000000000001</v>
      </c>
    </row>
    <row r="774" spans="1:4" ht="40.5">
      <c r="A774" s="337">
        <v>89030</v>
      </c>
      <c r="B774" s="338" t="s">
        <v>1198</v>
      </c>
      <c r="C774" s="337" t="s">
        <v>9</v>
      </c>
      <c r="D774" s="339">
        <v>6.92</v>
      </c>
    </row>
    <row r="775" spans="1:4" ht="40.5">
      <c r="A775" s="337">
        <v>89033</v>
      </c>
      <c r="B775" s="338" t="s">
        <v>1199</v>
      </c>
      <c r="C775" s="337" t="s">
        <v>9</v>
      </c>
      <c r="D775" s="339">
        <v>7.18</v>
      </c>
    </row>
    <row r="776" spans="1:4" ht="40.5">
      <c r="A776" s="337">
        <v>89034</v>
      </c>
      <c r="B776" s="338" t="s">
        <v>1200</v>
      </c>
      <c r="C776" s="337" t="s">
        <v>9</v>
      </c>
      <c r="D776" s="339">
        <v>1.88</v>
      </c>
    </row>
    <row r="777" spans="1:4" ht="54">
      <c r="A777" s="337">
        <v>89128</v>
      </c>
      <c r="B777" s="338" t="s">
        <v>1201</v>
      </c>
      <c r="C777" s="337" t="s">
        <v>9</v>
      </c>
      <c r="D777" s="339">
        <v>14.56</v>
      </c>
    </row>
    <row r="778" spans="1:4" ht="54">
      <c r="A778" s="337">
        <v>89129</v>
      </c>
      <c r="B778" s="338" t="s">
        <v>1202</v>
      </c>
      <c r="C778" s="337" t="s">
        <v>9</v>
      </c>
      <c r="D778" s="339">
        <v>3.74</v>
      </c>
    </row>
    <row r="779" spans="1:4" ht="54">
      <c r="A779" s="337">
        <v>89130</v>
      </c>
      <c r="B779" s="338" t="s">
        <v>1203</v>
      </c>
      <c r="C779" s="337" t="s">
        <v>9</v>
      </c>
      <c r="D779" s="339">
        <v>20.18</v>
      </c>
    </row>
    <row r="780" spans="1:4" ht="54">
      <c r="A780" s="337">
        <v>89131</v>
      </c>
      <c r="B780" s="338" t="s">
        <v>1204</v>
      </c>
      <c r="C780" s="337" t="s">
        <v>9</v>
      </c>
      <c r="D780" s="339">
        <v>5.19</v>
      </c>
    </row>
    <row r="781" spans="1:4" ht="81">
      <c r="A781" s="337">
        <v>89210</v>
      </c>
      <c r="B781" s="338" t="s">
        <v>1205</v>
      </c>
      <c r="C781" s="337" t="s">
        <v>9</v>
      </c>
      <c r="D781" s="339">
        <v>14.01</v>
      </c>
    </row>
    <row r="782" spans="1:4" ht="67.5">
      <c r="A782" s="337">
        <v>89211</v>
      </c>
      <c r="B782" s="338" t="s">
        <v>1206</v>
      </c>
      <c r="C782" s="337" t="s">
        <v>9</v>
      </c>
      <c r="D782" s="339">
        <v>3.68</v>
      </c>
    </row>
    <row r="783" spans="1:4" ht="40.5">
      <c r="A783" s="337">
        <v>89212</v>
      </c>
      <c r="B783" s="338" t="s">
        <v>1207</v>
      </c>
      <c r="C783" s="337" t="s">
        <v>9</v>
      </c>
      <c r="D783" s="339">
        <v>13.66</v>
      </c>
    </row>
    <row r="784" spans="1:4" ht="40.5">
      <c r="A784" s="337">
        <v>89213</v>
      </c>
      <c r="B784" s="338" t="s">
        <v>1208</v>
      </c>
      <c r="C784" s="337" t="s">
        <v>9</v>
      </c>
      <c r="D784" s="339">
        <v>4.09</v>
      </c>
    </row>
    <row r="785" spans="1:4" ht="40.5">
      <c r="A785" s="337">
        <v>89214</v>
      </c>
      <c r="B785" s="338" t="s">
        <v>1209</v>
      </c>
      <c r="C785" s="337" t="s">
        <v>9</v>
      </c>
      <c r="D785" s="339">
        <v>12.82</v>
      </c>
    </row>
    <row r="786" spans="1:4" ht="40.5">
      <c r="A786" s="337">
        <v>89215</v>
      </c>
      <c r="B786" s="338" t="s">
        <v>1210</v>
      </c>
      <c r="C786" s="337" t="s">
        <v>9</v>
      </c>
      <c r="D786" s="339">
        <v>79.290000000000006</v>
      </c>
    </row>
    <row r="787" spans="1:4" ht="67.5">
      <c r="A787" s="337">
        <v>89221</v>
      </c>
      <c r="B787" s="338" t="s">
        <v>1211</v>
      </c>
      <c r="C787" s="337" t="s">
        <v>9</v>
      </c>
      <c r="D787" s="339">
        <v>0.88</v>
      </c>
    </row>
    <row r="788" spans="1:4" ht="54">
      <c r="A788" s="337">
        <v>89222</v>
      </c>
      <c r="B788" s="338" t="s">
        <v>1212</v>
      </c>
      <c r="C788" s="337" t="s">
        <v>9</v>
      </c>
      <c r="D788" s="339">
        <v>0.19</v>
      </c>
    </row>
    <row r="789" spans="1:4" ht="54">
      <c r="A789" s="337">
        <v>89223</v>
      </c>
      <c r="B789" s="338" t="s">
        <v>1213</v>
      </c>
      <c r="C789" s="337" t="s">
        <v>9</v>
      </c>
      <c r="D789" s="339">
        <v>0.83</v>
      </c>
    </row>
    <row r="790" spans="1:4" ht="67.5">
      <c r="A790" s="337">
        <v>89224</v>
      </c>
      <c r="B790" s="338" t="s">
        <v>1214</v>
      </c>
      <c r="C790" s="337" t="s">
        <v>9</v>
      </c>
      <c r="D790" s="339">
        <v>1.27</v>
      </c>
    </row>
    <row r="791" spans="1:4" ht="54">
      <c r="A791" s="337">
        <v>89228</v>
      </c>
      <c r="B791" s="338" t="s">
        <v>1215</v>
      </c>
      <c r="C791" s="337" t="s">
        <v>9</v>
      </c>
      <c r="D791" s="339">
        <v>21.8</v>
      </c>
    </row>
    <row r="792" spans="1:4" ht="54">
      <c r="A792" s="337">
        <v>89229</v>
      </c>
      <c r="B792" s="338" t="s">
        <v>1216</v>
      </c>
      <c r="C792" s="337" t="s">
        <v>9</v>
      </c>
      <c r="D792" s="339">
        <v>7.46</v>
      </c>
    </row>
    <row r="793" spans="1:4" ht="54">
      <c r="A793" s="337">
        <v>89230</v>
      </c>
      <c r="B793" s="338" t="s">
        <v>1217</v>
      </c>
      <c r="C793" s="337" t="s">
        <v>9</v>
      </c>
      <c r="D793" s="339">
        <v>67.680000000000007</v>
      </c>
    </row>
    <row r="794" spans="1:4" ht="40.5">
      <c r="A794" s="337">
        <v>89231</v>
      </c>
      <c r="B794" s="338" t="s">
        <v>1218</v>
      </c>
      <c r="C794" s="337" t="s">
        <v>9</v>
      </c>
      <c r="D794" s="339">
        <v>20.28</v>
      </c>
    </row>
    <row r="795" spans="1:4" ht="54">
      <c r="A795" s="337">
        <v>89232</v>
      </c>
      <c r="B795" s="338" t="s">
        <v>1219</v>
      </c>
      <c r="C795" s="337" t="s">
        <v>9</v>
      </c>
      <c r="D795" s="339">
        <v>120.72</v>
      </c>
    </row>
    <row r="796" spans="1:4" ht="54">
      <c r="A796" s="337">
        <v>89233</v>
      </c>
      <c r="B796" s="338" t="s">
        <v>1220</v>
      </c>
      <c r="C796" s="337" t="s">
        <v>9</v>
      </c>
      <c r="D796" s="339">
        <v>103.06</v>
      </c>
    </row>
    <row r="797" spans="1:4" ht="54">
      <c r="A797" s="337">
        <v>89236</v>
      </c>
      <c r="B797" s="338" t="s">
        <v>1221</v>
      </c>
      <c r="C797" s="337" t="s">
        <v>9</v>
      </c>
      <c r="D797" s="339">
        <v>158.1</v>
      </c>
    </row>
    <row r="798" spans="1:4" ht="40.5">
      <c r="A798" s="337">
        <v>89237</v>
      </c>
      <c r="B798" s="338" t="s">
        <v>1222</v>
      </c>
      <c r="C798" s="337" t="s">
        <v>9</v>
      </c>
      <c r="D798" s="339">
        <v>47.39</v>
      </c>
    </row>
    <row r="799" spans="1:4" ht="54">
      <c r="A799" s="337">
        <v>89238</v>
      </c>
      <c r="B799" s="338" t="s">
        <v>1223</v>
      </c>
      <c r="C799" s="337" t="s">
        <v>9</v>
      </c>
      <c r="D799" s="339">
        <v>282</v>
      </c>
    </row>
    <row r="800" spans="1:4" ht="54">
      <c r="A800" s="337">
        <v>89239</v>
      </c>
      <c r="B800" s="338" t="s">
        <v>1224</v>
      </c>
      <c r="C800" s="337" t="s">
        <v>9</v>
      </c>
      <c r="D800" s="339">
        <v>272.54000000000002</v>
      </c>
    </row>
    <row r="801" spans="1:4" ht="54">
      <c r="A801" s="337">
        <v>89240</v>
      </c>
      <c r="B801" s="338" t="s">
        <v>1225</v>
      </c>
      <c r="C801" s="337" t="s">
        <v>9</v>
      </c>
      <c r="D801" s="339">
        <v>48.52</v>
      </c>
    </row>
    <row r="802" spans="1:4" ht="54">
      <c r="A802" s="337">
        <v>89241</v>
      </c>
      <c r="B802" s="338" t="s">
        <v>1226</v>
      </c>
      <c r="C802" s="337" t="s">
        <v>9</v>
      </c>
      <c r="D802" s="339">
        <v>16.61</v>
      </c>
    </row>
    <row r="803" spans="1:4" ht="54">
      <c r="A803" s="337">
        <v>89246</v>
      </c>
      <c r="B803" s="338" t="s">
        <v>1227</v>
      </c>
      <c r="C803" s="337" t="s">
        <v>9</v>
      </c>
      <c r="D803" s="339">
        <v>137.37</v>
      </c>
    </row>
    <row r="804" spans="1:4" ht="40.5">
      <c r="A804" s="337">
        <v>89247</v>
      </c>
      <c r="B804" s="338" t="s">
        <v>1228</v>
      </c>
      <c r="C804" s="337" t="s">
        <v>9</v>
      </c>
      <c r="D804" s="339">
        <v>41.18</v>
      </c>
    </row>
    <row r="805" spans="1:4" ht="54">
      <c r="A805" s="337">
        <v>89248</v>
      </c>
      <c r="B805" s="338" t="s">
        <v>1229</v>
      </c>
      <c r="C805" s="337" t="s">
        <v>9</v>
      </c>
      <c r="D805" s="339">
        <v>245.04</v>
      </c>
    </row>
    <row r="806" spans="1:4" ht="54">
      <c r="A806" s="337">
        <v>89249</v>
      </c>
      <c r="B806" s="338" t="s">
        <v>1230</v>
      </c>
      <c r="C806" s="337" t="s">
        <v>9</v>
      </c>
      <c r="D806" s="339">
        <v>209.11</v>
      </c>
    </row>
    <row r="807" spans="1:4" ht="54">
      <c r="A807" s="337">
        <v>89253</v>
      </c>
      <c r="B807" s="338" t="s">
        <v>1231</v>
      </c>
      <c r="C807" s="337" t="s">
        <v>9</v>
      </c>
      <c r="D807" s="339">
        <v>39.76</v>
      </c>
    </row>
    <row r="808" spans="1:4" ht="54">
      <c r="A808" s="337">
        <v>89254</v>
      </c>
      <c r="B808" s="338" t="s">
        <v>1232</v>
      </c>
      <c r="C808" s="337" t="s">
        <v>9</v>
      </c>
      <c r="D808" s="339">
        <v>13.61</v>
      </c>
    </row>
    <row r="809" spans="1:4" ht="54">
      <c r="A809" s="337">
        <v>89255</v>
      </c>
      <c r="B809" s="338" t="s">
        <v>1233</v>
      </c>
      <c r="C809" s="337" t="s">
        <v>9</v>
      </c>
      <c r="D809" s="339">
        <v>63.91</v>
      </c>
    </row>
    <row r="810" spans="1:4" ht="67.5">
      <c r="A810" s="337">
        <v>89256</v>
      </c>
      <c r="B810" s="338" t="s">
        <v>1234</v>
      </c>
      <c r="C810" s="337" t="s">
        <v>9</v>
      </c>
      <c r="D810" s="339">
        <v>49.55</v>
      </c>
    </row>
    <row r="811" spans="1:4" ht="81">
      <c r="A811" s="337">
        <v>89259</v>
      </c>
      <c r="B811" s="338" t="s">
        <v>1235</v>
      </c>
      <c r="C811" s="337" t="s">
        <v>9</v>
      </c>
      <c r="D811" s="339">
        <v>8.89</v>
      </c>
    </row>
    <row r="812" spans="1:4" ht="81">
      <c r="A812" s="337">
        <v>89260</v>
      </c>
      <c r="B812" s="338" t="s">
        <v>1236</v>
      </c>
      <c r="C812" s="337" t="s">
        <v>9</v>
      </c>
      <c r="D812" s="339">
        <v>3.55</v>
      </c>
    </row>
    <row r="813" spans="1:4" ht="81">
      <c r="A813" s="337">
        <v>89262</v>
      </c>
      <c r="B813" s="338" t="s">
        <v>1237</v>
      </c>
      <c r="C813" s="337" t="s">
        <v>9</v>
      </c>
      <c r="D813" s="339">
        <v>16.68</v>
      </c>
    </row>
    <row r="814" spans="1:4" ht="94.5">
      <c r="A814" s="337">
        <v>89264</v>
      </c>
      <c r="B814" s="338" t="s">
        <v>1238</v>
      </c>
      <c r="C814" s="337" t="s">
        <v>9</v>
      </c>
      <c r="D814" s="339">
        <v>7.15</v>
      </c>
    </row>
    <row r="815" spans="1:4" ht="94.5">
      <c r="A815" s="337">
        <v>89265</v>
      </c>
      <c r="B815" s="338" t="s">
        <v>1239</v>
      </c>
      <c r="C815" s="337" t="s">
        <v>9</v>
      </c>
      <c r="D815" s="339">
        <v>2.85</v>
      </c>
    </row>
    <row r="816" spans="1:4" ht="94.5">
      <c r="A816" s="337">
        <v>89266</v>
      </c>
      <c r="B816" s="338" t="s">
        <v>1240</v>
      </c>
      <c r="C816" s="337" t="s">
        <v>9</v>
      </c>
      <c r="D816" s="339">
        <v>0.57999999999999996</v>
      </c>
    </row>
    <row r="817" spans="1:4" ht="54">
      <c r="A817" s="337">
        <v>89267</v>
      </c>
      <c r="B817" s="338" t="s">
        <v>1241</v>
      </c>
      <c r="C817" s="337" t="s">
        <v>9</v>
      </c>
      <c r="D817" s="339">
        <v>23.78</v>
      </c>
    </row>
    <row r="818" spans="1:4" ht="54">
      <c r="A818" s="337">
        <v>89268</v>
      </c>
      <c r="B818" s="338" t="s">
        <v>1242</v>
      </c>
      <c r="C818" s="337" t="s">
        <v>9</v>
      </c>
      <c r="D818" s="339">
        <v>8.14</v>
      </c>
    </row>
    <row r="819" spans="1:4" ht="54">
      <c r="A819" s="337">
        <v>89269</v>
      </c>
      <c r="B819" s="338" t="s">
        <v>1243</v>
      </c>
      <c r="C819" s="337" t="s">
        <v>9</v>
      </c>
      <c r="D819" s="339">
        <v>1.66</v>
      </c>
    </row>
    <row r="820" spans="1:4" ht="54">
      <c r="A820" s="337">
        <v>89270</v>
      </c>
      <c r="B820" s="338" t="s">
        <v>1244</v>
      </c>
      <c r="C820" s="337" t="s">
        <v>9</v>
      </c>
      <c r="D820" s="339">
        <v>38.24</v>
      </c>
    </row>
    <row r="821" spans="1:4" ht="54">
      <c r="A821" s="337">
        <v>89271</v>
      </c>
      <c r="B821" s="338" t="s">
        <v>1245</v>
      </c>
      <c r="C821" s="337" t="s">
        <v>9</v>
      </c>
      <c r="D821" s="339">
        <v>64.42</v>
      </c>
    </row>
    <row r="822" spans="1:4" ht="54">
      <c r="A822" s="337">
        <v>89274</v>
      </c>
      <c r="B822" s="338" t="s">
        <v>1246</v>
      </c>
      <c r="C822" s="337" t="s">
        <v>9</v>
      </c>
      <c r="D822" s="339">
        <v>1.07</v>
      </c>
    </row>
    <row r="823" spans="1:4" ht="54">
      <c r="A823" s="337">
        <v>89275</v>
      </c>
      <c r="B823" s="338" t="s">
        <v>1247</v>
      </c>
      <c r="C823" s="337" t="s">
        <v>9</v>
      </c>
      <c r="D823" s="339">
        <v>0.24</v>
      </c>
    </row>
    <row r="824" spans="1:4" ht="54">
      <c r="A824" s="337">
        <v>89276</v>
      </c>
      <c r="B824" s="338" t="s">
        <v>1248</v>
      </c>
      <c r="C824" s="337" t="s">
        <v>9</v>
      </c>
      <c r="D824" s="339">
        <v>1.01</v>
      </c>
    </row>
    <row r="825" spans="1:4" ht="54">
      <c r="A825" s="337">
        <v>89277</v>
      </c>
      <c r="B825" s="338" t="s">
        <v>1249</v>
      </c>
      <c r="C825" s="337" t="s">
        <v>9</v>
      </c>
      <c r="D825" s="339">
        <v>4.9400000000000004</v>
      </c>
    </row>
    <row r="826" spans="1:4" ht="54">
      <c r="A826" s="337">
        <v>89280</v>
      </c>
      <c r="B826" s="338" t="s">
        <v>1250</v>
      </c>
      <c r="C826" s="337" t="s">
        <v>9</v>
      </c>
      <c r="D826" s="339">
        <v>17.2</v>
      </c>
    </row>
    <row r="827" spans="1:4" ht="54">
      <c r="A827" s="337">
        <v>89281</v>
      </c>
      <c r="B827" s="338" t="s">
        <v>1251</v>
      </c>
      <c r="C827" s="337" t="s">
        <v>9</v>
      </c>
      <c r="D827" s="339">
        <v>4.51</v>
      </c>
    </row>
    <row r="828" spans="1:4" ht="67.5">
      <c r="A828" s="337">
        <v>89870</v>
      </c>
      <c r="B828" s="338" t="s">
        <v>1252</v>
      </c>
      <c r="C828" s="337" t="s">
        <v>9</v>
      </c>
      <c r="D828" s="339">
        <v>18.37</v>
      </c>
    </row>
    <row r="829" spans="1:4" ht="67.5">
      <c r="A829" s="337">
        <v>89871</v>
      </c>
      <c r="B829" s="338" t="s">
        <v>1253</v>
      </c>
      <c r="C829" s="337" t="s">
        <v>9</v>
      </c>
      <c r="D829" s="339">
        <v>6.42</v>
      </c>
    </row>
    <row r="830" spans="1:4" ht="81">
      <c r="A830" s="337">
        <v>89872</v>
      </c>
      <c r="B830" s="338" t="s">
        <v>1254</v>
      </c>
      <c r="C830" s="337" t="s">
        <v>9</v>
      </c>
      <c r="D830" s="339">
        <v>1.32</v>
      </c>
    </row>
    <row r="831" spans="1:4" ht="67.5">
      <c r="A831" s="337">
        <v>89873</v>
      </c>
      <c r="B831" s="338" t="s">
        <v>1255</v>
      </c>
      <c r="C831" s="337" t="s">
        <v>9</v>
      </c>
      <c r="D831" s="339">
        <v>34.450000000000003</v>
      </c>
    </row>
    <row r="832" spans="1:4" ht="81">
      <c r="A832" s="337">
        <v>89874</v>
      </c>
      <c r="B832" s="338" t="s">
        <v>1256</v>
      </c>
      <c r="C832" s="337" t="s">
        <v>9</v>
      </c>
      <c r="D832" s="339">
        <v>139.81</v>
      </c>
    </row>
    <row r="833" spans="1:4" ht="67.5">
      <c r="A833" s="337">
        <v>89878</v>
      </c>
      <c r="B833" s="338" t="s">
        <v>1257</v>
      </c>
      <c r="C833" s="337" t="s">
        <v>9</v>
      </c>
      <c r="D833" s="339">
        <v>19.329999999999998</v>
      </c>
    </row>
    <row r="834" spans="1:4" ht="67.5">
      <c r="A834" s="337">
        <v>89879</v>
      </c>
      <c r="B834" s="338" t="s">
        <v>1258</v>
      </c>
      <c r="C834" s="337" t="s">
        <v>9</v>
      </c>
      <c r="D834" s="339">
        <v>6.76</v>
      </c>
    </row>
    <row r="835" spans="1:4" ht="81">
      <c r="A835" s="337">
        <v>89880</v>
      </c>
      <c r="B835" s="338" t="s">
        <v>1259</v>
      </c>
      <c r="C835" s="337" t="s">
        <v>9</v>
      </c>
      <c r="D835" s="339">
        <v>1.39</v>
      </c>
    </row>
    <row r="836" spans="1:4" ht="67.5">
      <c r="A836" s="337">
        <v>89881</v>
      </c>
      <c r="B836" s="338" t="s">
        <v>1260</v>
      </c>
      <c r="C836" s="337" t="s">
        <v>9</v>
      </c>
      <c r="D836" s="339">
        <v>36.25</v>
      </c>
    </row>
    <row r="837" spans="1:4" ht="81">
      <c r="A837" s="337">
        <v>89882</v>
      </c>
      <c r="B837" s="338" t="s">
        <v>1261</v>
      </c>
      <c r="C837" s="337" t="s">
        <v>9</v>
      </c>
      <c r="D837" s="339">
        <v>161.32</v>
      </c>
    </row>
    <row r="838" spans="1:4" ht="54">
      <c r="A838" s="337">
        <v>90582</v>
      </c>
      <c r="B838" s="338" t="s">
        <v>1262</v>
      </c>
      <c r="C838" s="337" t="s">
        <v>9</v>
      </c>
      <c r="D838" s="339">
        <v>0.25</v>
      </c>
    </row>
    <row r="839" spans="1:4" ht="40.5">
      <c r="A839" s="337">
        <v>90583</v>
      </c>
      <c r="B839" s="338" t="s">
        <v>1263</v>
      </c>
      <c r="C839" s="337" t="s">
        <v>9</v>
      </c>
      <c r="D839" s="339">
        <v>0.05</v>
      </c>
    </row>
    <row r="840" spans="1:4" ht="54">
      <c r="A840" s="337">
        <v>90584</v>
      </c>
      <c r="B840" s="338" t="s">
        <v>1264</v>
      </c>
      <c r="C840" s="337" t="s">
        <v>9</v>
      </c>
      <c r="D840" s="339">
        <v>0.19</v>
      </c>
    </row>
    <row r="841" spans="1:4" ht="54">
      <c r="A841" s="337">
        <v>90585</v>
      </c>
      <c r="B841" s="338" t="s">
        <v>1265</v>
      </c>
      <c r="C841" s="337" t="s">
        <v>9</v>
      </c>
      <c r="D841" s="339">
        <v>0.63</v>
      </c>
    </row>
    <row r="842" spans="1:4" ht="40.5">
      <c r="A842" s="337">
        <v>90621</v>
      </c>
      <c r="B842" s="338" t="s">
        <v>1266</v>
      </c>
      <c r="C842" s="337" t="s">
        <v>9</v>
      </c>
      <c r="D842" s="339">
        <v>1.62</v>
      </c>
    </row>
    <row r="843" spans="1:4" ht="40.5">
      <c r="A843" s="337">
        <v>90622</v>
      </c>
      <c r="B843" s="338" t="s">
        <v>1267</v>
      </c>
      <c r="C843" s="337" t="s">
        <v>9</v>
      </c>
      <c r="D843" s="339">
        <v>0.36</v>
      </c>
    </row>
    <row r="844" spans="1:4" ht="40.5">
      <c r="A844" s="337">
        <v>90623</v>
      </c>
      <c r="B844" s="338" t="s">
        <v>1268</v>
      </c>
      <c r="C844" s="337" t="s">
        <v>9</v>
      </c>
      <c r="D844" s="339">
        <v>2.0299999999999998</v>
      </c>
    </row>
    <row r="845" spans="1:4" ht="40.5">
      <c r="A845" s="337">
        <v>90624</v>
      </c>
      <c r="B845" s="338" t="s">
        <v>1269</v>
      </c>
      <c r="C845" s="337" t="s">
        <v>9</v>
      </c>
      <c r="D845" s="339">
        <v>1.59</v>
      </c>
    </row>
    <row r="846" spans="1:4" ht="54">
      <c r="A846" s="337">
        <v>90627</v>
      </c>
      <c r="B846" s="338" t="s">
        <v>1270</v>
      </c>
      <c r="C846" s="337" t="s">
        <v>9</v>
      </c>
      <c r="D846" s="339">
        <v>24.51</v>
      </c>
    </row>
    <row r="847" spans="1:4" ht="54">
      <c r="A847" s="337">
        <v>90628</v>
      </c>
      <c r="B847" s="338" t="s">
        <v>1271</v>
      </c>
      <c r="C847" s="337" t="s">
        <v>9</v>
      </c>
      <c r="D847" s="339">
        <v>6.43</v>
      </c>
    </row>
    <row r="848" spans="1:4" ht="54">
      <c r="A848" s="337">
        <v>90629</v>
      </c>
      <c r="B848" s="338" t="s">
        <v>1272</v>
      </c>
      <c r="C848" s="337" t="s">
        <v>9</v>
      </c>
      <c r="D848" s="339">
        <v>30.67</v>
      </c>
    </row>
    <row r="849" spans="1:4" ht="54">
      <c r="A849" s="337">
        <v>90630</v>
      </c>
      <c r="B849" s="338" t="s">
        <v>1273</v>
      </c>
      <c r="C849" s="337" t="s">
        <v>9</v>
      </c>
      <c r="D849" s="339">
        <v>6.46</v>
      </c>
    </row>
    <row r="850" spans="1:4" ht="67.5">
      <c r="A850" s="337">
        <v>90633</v>
      </c>
      <c r="B850" s="338" t="s">
        <v>1274</v>
      </c>
      <c r="C850" s="337" t="s">
        <v>9</v>
      </c>
      <c r="D850" s="339">
        <v>2.73</v>
      </c>
    </row>
    <row r="851" spans="1:4" ht="67.5">
      <c r="A851" s="337">
        <v>90634</v>
      </c>
      <c r="B851" s="338" t="s">
        <v>1275</v>
      </c>
      <c r="C851" s="337" t="s">
        <v>9</v>
      </c>
      <c r="D851" s="339">
        <v>0.61</v>
      </c>
    </row>
    <row r="852" spans="1:4" ht="67.5">
      <c r="A852" s="337">
        <v>90635</v>
      </c>
      <c r="B852" s="338" t="s">
        <v>1276</v>
      </c>
      <c r="C852" s="337" t="s">
        <v>9</v>
      </c>
      <c r="D852" s="339">
        <v>2.99</v>
      </c>
    </row>
    <row r="853" spans="1:4" ht="81">
      <c r="A853" s="337">
        <v>90636</v>
      </c>
      <c r="B853" s="338" t="s">
        <v>1277</v>
      </c>
      <c r="C853" s="337" t="s">
        <v>9</v>
      </c>
      <c r="D853" s="339">
        <v>3.19</v>
      </c>
    </row>
    <row r="854" spans="1:4" ht="54">
      <c r="A854" s="337">
        <v>90639</v>
      </c>
      <c r="B854" s="338" t="s">
        <v>1278</v>
      </c>
      <c r="C854" s="337" t="s">
        <v>9</v>
      </c>
      <c r="D854" s="339">
        <v>4.08</v>
      </c>
    </row>
    <row r="855" spans="1:4" ht="54">
      <c r="A855" s="337">
        <v>90640</v>
      </c>
      <c r="B855" s="338" t="s">
        <v>1279</v>
      </c>
      <c r="C855" s="337" t="s">
        <v>9</v>
      </c>
      <c r="D855" s="339">
        <v>0.91</v>
      </c>
    </row>
    <row r="856" spans="1:4" ht="54">
      <c r="A856" s="337">
        <v>90641</v>
      </c>
      <c r="B856" s="338" t="s">
        <v>1280</v>
      </c>
      <c r="C856" s="337" t="s">
        <v>9</v>
      </c>
      <c r="D856" s="339">
        <v>4.47</v>
      </c>
    </row>
    <row r="857" spans="1:4" ht="54">
      <c r="A857" s="337">
        <v>90642</v>
      </c>
      <c r="B857" s="338" t="s">
        <v>1281</v>
      </c>
      <c r="C857" s="337" t="s">
        <v>9</v>
      </c>
      <c r="D857" s="339">
        <v>5.38</v>
      </c>
    </row>
    <row r="858" spans="1:4" ht="67.5">
      <c r="A858" s="337">
        <v>90646</v>
      </c>
      <c r="B858" s="338" t="s">
        <v>1282</v>
      </c>
      <c r="C858" s="337" t="s">
        <v>9</v>
      </c>
      <c r="D858" s="339">
        <v>0.48</v>
      </c>
    </row>
    <row r="859" spans="1:4" ht="67.5">
      <c r="A859" s="337">
        <v>90647</v>
      </c>
      <c r="B859" s="338" t="s">
        <v>1283</v>
      </c>
      <c r="C859" s="337" t="s">
        <v>9</v>
      </c>
      <c r="D859" s="339">
        <v>0.1</v>
      </c>
    </row>
    <row r="860" spans="1:4" ht="67.5">
      <c r="A860" s="337">
        <v>90648</v>
      </c>
      <c r="B860" s="338" t="s">
        <v>1284</v>
      </c>
      <c r="C860" s="337" t="s">
        <v>9</v>
      </c>
      <c r="D860" s="339">
        <v>0.52</v>
      </c>
    </row>
    <row r="861" spans="1:4" ht="67.5">
      <c r="A861" s="337">
        <v>90649</v>
      </c>
      <c r="B861" s="338" t="s">
        <v>1285</v>
      </c>
      <c r="C861" s="337" t="s">
        <v>9</v>
      </c>
      <c r="D861" s="339">
        <v>4.9400000000000004</v>
      </c>
    </row>
    <row r="862" spans="1:4" ht="40.5">
      <c r="A862" s="337">
        <v>90652</v>
      </c>
      <c r="B862" s="338" t="s">
        <v>1286</v>
      </c>
      <c r="C862" s="337" t="s">
        <v>9</v>
      </c>
      <c r="D862" s="339">
        <v>2.66</v>
      </c>
    </row>
    <row r="863" spans="1:4" ht="40.5">
      <c r="A863" s="337">
        <v>90653</v>
      </c>
      <c r="B863" s="338" t="s">
        <v>1287</v>
      </c>
      <c r="C863" s="337" t="s">
        <v>9</v>
      </c>
      <c r="D863" s="339">
        <v>0.59</v>
      </c>
    </row>
    <row r="864" spans="1:4" ht="40.5">
      <c r="A864" s="337">
        <v>90654</v>
      </c>
      <c r="B864" s="338" t="s">
        <v>1288</v>
      </c>
      <c r="C864" s="337" t="s">
        <v>9</v>
      </c>
      <c r="D864" s="339">
        <v>2.91</v>
      </c>
    </row>
    <row r="865" spans="1:4" ht="40.5">
      <c r="A865" s="337">
        <v>90655</v>
      </c>
      <c r="B865" s="338" t="s">
        <v>1289</v>
      </c>
      <c r="C865" s="337" t="s">
        <v>9</v>
      </c>
      <c r="D865" s="339">
        <v>3.25</v>
      </c>
    </row>
    <row r="866" spans="1:4" ht="40.5">
      <c r="A866" s="337">
        <v>90658</v>
      </c>
      <c r="B866" s="338" t="s">
        <v>1290</v>
      </c>
      <c r="C866" s="337" t="s">
        <v>9</v>
      </c>
      <c r="D866" s="339">
        <v>2.85</v>
      </c>
    </row>
    <row r="867" spans="1:4" ht="40.5">
      <c r="A867" s="337">
        <v>90659</v>
      </c>
      <c r="B867" s="338" t="s">
        <v>1291</v>
      </c>
      <c r="C867" s="337" t="s">
        <v>9</v>
      </c>
      <c r="D867" s="339">
        <v>0.64</v>
      </c>
    </row>
    <row r="868" spans="1:4" ht="40.5">
      <c r="A868" s="337">
        <v>90660</v>
      </c>
      <c r="B868" s="338" t="s">
        <v>1292</v>
      </c>
      <c r="C868" s="337" t="s">
        <v>9</v>
      </c>
      <c r="D868" s="339">
        <v>3.11</v>
      </c>
    </row>
    <row r="869" spans="1:4" ht="40.5">
      <c r="A869" s="337">
        <v>90661</v>
      </c>
      <c r="B869" s="338" t="s">
        <v>1293</v>
      </c>
      <c r="C869" s="337" t="s">
        <v>9</v>
      </c>
      <c r="D869" s="339">
        <v>3.25</v>
      </c>
    </row>
    <row r="870" spans="1:4" ht="81">
      <c r="A870" s="337">
        <v>90664</v>
      </c>
      <c r="B870" s="338" t="s">
        <v>1294</v>
      </c>
      <c r="C870" s="337" t="s">
        <v>9</v>
      </c>
      <c r="D870" s="339">
        <v>3.1</v>
      </c>
    </row>
    <row r="871" spans="1:4" ht="81">
      <c r="A871" s="337">
        <v>90665</v>
      </c>
      <c r="B871" s="338" t="s">
        <v>1295</v>
      </c>
      <c r="C871" s="337" t="s">
        <v>9</v>
      </c>
      <c r="D871" s="339">
        <v>0.69</v>
      </c>
    </row>
    <row r="872" spans="1:4" ht="81">
      <c r="A872" s="337">
        <v>90666</v>
      </c>
      <c r="B872" s="338" t="s">
        <v>1296</v>
      </c>
      <c r="C872" s="337" t="s">
        <v>9</v>
      </c>
      <c r="D872" s="339">
        <v>3.4</v>
      </c>
    </row>
    <row r="873" spans="1:4" ht="81">
      <c r="A873" s="337">
        <v>90667</v>
      </c>
      <c r="B873" s="338" t="s">
        <v>1297</v>
      </c>
      <c r="C873" s="337" t="s">
        <v>9</v>
      </c>
      <c r="D873" s="339">
        <v>9.77</v>
      </c>
    </row>
    <row r="874" spans="1:4" ht="81">
      <c r="A874" s="337">
        <v>90670</v>
      </c>
      <c r="B874" s="338" t="s">
        <v>1298</v>
      </c>
      <c r="C874" s="337" t="s">
        <v>9</v>
      </c>
      <c r="D874" s="339">
        <v>112.48</v>
      </c>
    </row>
    <row r="875" spans="1:4" ht="81">
      <c r="A875" s="337">
        <v>90671</v>
      </c>
      <c r="B875" s="338" t="s">
        <v>1299</v>
      </c>
      <c r="C875" s="337" t="s">
        <v>9</v>
      </c>
      <c r="D875" s="339">
        <v>29.54</v>
      </c>
    </row>
    <row r="876" spans="1:4" ht="81">
      <c r="A876" s="337">
        <v>90672</v>
      </c>
      <c r="B876" s="338" t="s">
        <v>1300</v>
      </c>
      <c r="C876" s="337" t="s">
        <v>9</v>
      </c>
      <c r="D876" s="339">
        <v>140.76</v>
      </c>
    </row>
    <row r="877" spans="1:4" ht="94.5">
      <c r="A877" s="337">
        <v>90673</v>
      </c>
      <c r="B877" s="338" t="s">
        <v>1301</v>
      </c>
      <c r="C877" s="337" t="s">
        <v>9</v>
      </c>
      <c r="D877" s="339">
        <v>132.80000000000001</v>
      </c>
    </row>
    <row r="878" spans="1:4" ht="81">
      <c r="A878" s="337">
        <v>90676</v>
      </c>
      <c r="B878" s="338" t="s">
        <v>1302</v>
      </c>
      <c r="C878" s="337" t="s">
        <v>9</v>
      </c>
      <c r="D878" s="339">
        <v>57.81</v>
      </c>
    </row>
    <row r="879" spans="1:4" ht="81">
      <c r="A879" s="337">
        <v>90677</v>
      </c>
      <c r="B879" s="338" t="s">
        <v>1303</v>
      </c>
      <c r="C879" s="337" t="s">
        <v>9</v>
      </c>
      <c r="D879" s="339">
        <v>15.17</v>
      </c>
    </row>
    <row r="880" spans="1:4" ht="81">
      <c r="A880" s="337">
        <v>90678</v>
      </c>
      <c r="B880" s="338" t="s">
        <v>1304</v>
      </c>
      <c r="C880" s="337" t="s">
        <v>9</v>
      </c>
      <c r="D880" s="339">
        <v>72.34</v>
      </c>
    </row>
    <row r="881" spans="1:4" ht="81">
      <c r="A881" s="337">
        <v>90679</v>
      </c>
      <c r="B881" s="338" t="s">
        <v>1305</v>
      </c>
      <c r="C881" s="337" t="s">
        <v>9</v>
      </c>
      <c r="D881" s="339">
        <v>67.89</v>
      </c>
    </row>
    <row r="882" spans="1:4" ht="54">
      <c r="A882" s="337">
        <v>90682</v>
      </c>
      <c r="B882" s="338" t="s">
        <v>1306</v>
      </c>
      <c r="C882" s="337" t="s">
        <v>9</v>
      </c>
      <c r="D882" s="339">
        <v>23.34</v>
      </c>
    </row>
    <row r="883" spans="1:4" ht="54">
      <c r="A883" s="337">
        <v>90683</v>
      </c>
      <c r="B883" s="338" t="s">
        <v>1307</v>
      </c>
      <c r="C883" s="337" t="s">
        <v>9</v>
      </c>
      <c r="D883" s="339">
        <v>5.25</v>
      </c>
    </row>
    <row r="884" spans="1:4" ht="54">
      <c r="A884" s="337">
        <v>90684</v>
      </c>
      <c r="B884" s="338" t="s">
        <v>1308</v>
      </c>
      <c r="C884" s="337" t="s">
        <v>9</v>
      </c>
      <c r="D884" s="339">
        <v>25.53</v>
      </c>
    </row>
    <row r="885" spans="1:4" ht="54">
      <c r="A885" s="337">
        <v>90685</v>
      </c>
      <c r="B885" s="338" t="s">
        <v>1309</v>
      </c>
      <c r="C885" s="337" t="s">
        <v>9</v>
      </c>
      <c r="D885" s="339">
        <v>42.1</v>
      </c>
    </row>
    <row r="886" spans="1:4" ht="54">
      <c r="A886" s="337">
        <v>90688</v>
      </c>
      <c r="B886" s="338" t="s">
        <v>1310</v>
      </c>
      <c r="C886" s="337" t="s">
        <v>9</v>
      </c>
      <c r="D886" s="339">
        <v>11.2</v>
      </c>
    </row>
    <row r="887" spans="1:4" ht="40.5">
      <c r="A887" s="337">
        <v>90689</v>
      </c>
      <c r="B887" s="338" t="s">
        <v>1311</v>
      </c>
      <c r="C887" s="337" t="s">
        <v>9</v>
      </c>
      <c r="D887" s="339">
        <v>2.15</v>
      </c>
    </row>
    <row r="888" spans="1:4" ht="54">
      <c r="A888" s="337">
        <v>90690</v>
      </c>
      <c r="B888" s="338" t="s">
        <v>1312</v>
      </c>
      <c r="C888" s="337" t="s">
        <v>9</v>
      </c>
      <c r="D888" s="339">
        <v>14</v>
      </c>
    </row>
    <row r="889" spans="1:4" ht="54">
      <c r="A889" s="337">
        <v>90691</v>
      </c>
      <c r="B889" s="338" t="s">
        <v>1313</v>
      </c>
      <c r="C889" s="337" t="s">
        <v>9</v>
      </c>
      <c r="D889" s="339">
        <v>23.28</v>
      </c>
    </row>
    <row r="890" spans="1:4" ht="54">
      <c r="A890" s="337">
        <v>90957</v>
      </c>
      <c r="B890" s="338" t="s">
        <v>1314</v>
      </c>
      <c r="C890" s="337" t="s">
        <v>9</v>
      </c>
      <c r="D890" s="339">
        <v>1.92</v>
      </c>
    </row>
    <row r="891" spans="1:4" ht="54">
      <c r="A891" s="337">
        <v>90958</v>
      </c>
      <c r="B891" s="338" t="s">
        <v>1315</v>
      </c>
      <c r="C891" s="337" t="s">
        <v>9</v>
      </c>
      <c r="D891" s="339">
        <v>0.5</v>
      </c>
    </row>
    <row r="892" spans="1:4" ht="54">
      <c r="A892" s="337">
        <v>90960</v>
      </c>
      <c r="B892" s="338" t="s">
        <v>1316</v>
      </c>
      <c r="C892" s="337" t="s">
        <v>9</v>
      </c>
      <c r="D892" s="339">
        <v>2.56</v>
      </c>
    </row>
    <row r="893" spans="1:4" ht="54">
      <c r="A893" s="337">
        <v>90961</v>
      </c>
      <c r="B893" s="338" t="s">
        <v>1317</v>
      </c>
      <c r="C893" s="337" t="s">
        <v>9</v>
      </c>
      <c r="D893" s="339">
        <v>0.67</v>
      </c>
    </row>
    <row r="894" spans="1:4" ht="54">
      <c r="A894" s="337">
        <v>90962</v>
      </c>
      <c r="B894" s="338" t="s">
        <v>1318</v>
      </c>
      <c r="C894" s="337" t="s">
        <v>9</v>
      </c>
      <c r="D894" s="339">
        <v>3.21</v>
      </c>
    </row>
    <row r="895" spans="1:4" ht="54">
      <c r="A895" s="337">
        <v>90963</v>
      </c>
      <c r="B895" s="338" t="s">
        <v>1319</v>
      </c>
      <c r="C895" s="337" t="s">
        <v>9</v>
      </c>
      <c r="D895" s="339">
        <v>9.77</v>
      </c>
    </row>
    <row r="896" spans="1:4" ht="54">
      <c r="A896" s="337">
        <v>90968</v>
      </c>
      <c r="B896" s="338" t="s">
        <v>1320</v>
      </c>
      <c r="C896" s="337" t="s">
        <v>9</v>
      </c>
      <c r="D896" s="339">
        <v>2.57</v>
      </c>
    </row>
    <row r="897" spans="1:4" ht="54">
      <c r="A897" s="337">
        <v>90969</v>
      </c>
      <c r="B897" s="338" t="s">
        <v>1321</v>
      </c>
      <c r="C897" s="337" t="s">
        <v>9</v>
      </c>
      <c r="D897" s="339">
        <v>0.67</v>
      </c>
    </row>
    <row r="898" spans="1:4" ht="54">
      <c r="A898" s="337">
        <v>90970</v>
      </c>
      <c r="B898" s="338" t="s">
        <v>1322</v>
      </c>
      <c r="C898" s="337" t="s">
        <v>9</v>
      </c>
      <c r="D898" s="339">
        <v>3.22</v>
      </c>
    </row>
    <row r="899" spans="1:4" ht="54">
      <c r="A899" s="337">
        <v>90971</v>
      </c>
      <c r="B899" s="338" t="s">
        <v>1323</v>
      </c>
      <c r="C899" s="337" t="s">
        <v>9</v>
      </c>
      <c r="D899" s="339">
        <v>39.590000000000003</v>
      </c>
    </row>
    <row r="900" spans="1:4" ht="54">
      <c r="A900" s="337">
        <v>90975</v>
      </c>
      <c r="B900" s="338" t="s">
        <v>1324</v>
      </c>
      <c r="C900" s="337" t="s">
        <v>9</v>
      </c>
      <c r="D900" s="339">
        <v>6.54</v>
      </c>
    </row>
    <row r="901" spans="1:4" ht="54">
      <c r="A901" s="337">
        <v>90976</v>
      </c>
      <c r="B901" s="338" t="s">
        <v>1325</v>
      </c>
      <c r="C901" s="337" t="s">
        <v>9</v>
      </c>
      <c r="D901" s="339">
        <v>1.71</v>
      </c>
    </row>
    <row r="902" spans="1:4" ht="54">
      <c r="A902" s="337">
        <v>90977</v>
      </c>
      <c r="B902" s="338" t="s">
        <v>1326</v>
      </c>
      <c r="C902" s="337" t="s">
        <v>9</v>
      </c>
      <c r="D902" s="339">
        <v>8.18</v>
      </c>
    </row>
    <row r="903" spans="1:4" ht="54">
      <c r="A903" s="337">
        <v>90978</v>
      </c>
      <c r="B903" s="338" t="s">
        <v>1327</v>
      </c>
      <c r="C903" s="337" t="s">
        <v>9</v>
      </c>
      <c r="D903" s="339">
        <v>102.65</v>
      </c>
    </row>
    <row r="904" spans="1:4" ht="54">
      <c r="A904" s="337">
        <v>90992</v>
      </c>
      <c r="B904" s="338" t="s">
        <v>1328</v>
      </c>
      <c r="C904" s="337" t="s">
        <v>9</v>
      </c>
      <c r="D904" s="339">
        <v>3.05</v>
      </c>
    </row>
    <row r="905" spans="1:4" ht="54">
      <c r="A905" s="337">
        <v>90993</v>
      </c>
      <c r="B905" s="338" t="s">
        <v>1329</v>
      </c>
      <c r="C905" s="337" t="s">
        <v>9</v>
      </c>
      <c r="D905" s="339">
        <v>0.8</v>
      </c>
    </row>
    <row r="906" spans="1:4" ht="54">
      <c r="A906" s="337">
        <v>90994</v>
      </c>
      <c r="B906" s="338" t="s">
        <v>1330</v>
      </c>
      <c r="C906" s="337" t="s">
        <v>9</v>
      </c>
      <c r="D906" s="339">
        <v>3.82</v>
      </c>
    </row>
    <row r="907" spans="1:4" ht="54">
      <c r="A907" s="337">
        <v>90995</v>
      </c>
      <c r="B907" s="338" t="s">
        <v>1331</v>
      </c>
      <c r="C907" s="337" t="s">
        <v>9</v>
      </c>
      <c r="D907" s="339">
        <v>53.76</v>
      </c>
    </row>
    <row r="908" spans="1:4" ht="81">
      <c r="A908" s="337">
        <v>91021</v>
      </c>
      <c r="B908" s="338" t="s">
        <v>1332</v>
      </c>
      <c r="C908" s="337" t="s">
        <v>9</v>
      </c>
      <c r="D908" s="339">
        <v>3.13</v>
      </c>
    </row>
    <row r="909" spans="1:4" ht="67.5">
      <c r="A909" s="337">
        <v>91026</v>
      </c>
      <c r="B909" s="338" t="s">
        <v>1333</v>
      </c>
      <c r="C909" s="337" t="s">
        <v>9</v>
      </c>
      <c r="D909" s="339">
        <v>10.119999999999999</v>
      </c>
    </row>
    <row r="910" spans="1:4" ht="67.5">
      <c r="A910" s="337">
        <v>91027</v>
      </c>
      <c r="B910" s="338" t="s">
        <v>1334</v>
      </c>
      <c r="C910" s="337" t="s">
        <v>9</v>
      </c>
      <c r="D910" s="339">
        <v>4.04</v>
      </c>
    </row>
    <row r="911" spans="1:4" ht="81">
      <c r="A911" s="337">
        <v>91028</v>
      </c>
      <c r="B911" s="338" t="s">
        <v>1335</v>
      </c>
      <c r="C911" s="337" t="s">
        <v>9</v>
      </c>
      <c r="D911" s="339">
        <v>0.81</v>
      </c>
    </row>
    <row r="912" spans="1:4" ht="67.5">
      <c r="A912" s="337">
        <v>91029</v>
      </c>
      <c r="B912" s="338" t="s">
        <v>1336</v>
      </c>
      <c r="C912" s="337" t="s">
        <v>9</v>
      </c>
      <c r="D912" s="339">
        <v>18.989999999999998</v>
      </c>
    </row>
    <row r="913" spans="1:4" ht="81">
      <c r="A913" s="337">
        <v>91030</v>
      </c>
      <c r="B913" s="338" t="s">
        <v>1337</v>
      </c>
      <c r="C913" s="337" t="s">
        <v>9</v>
      </c>
      <c r="D913" s="339">
        <v>112.91</v>
      </c>
    </row>
    <row r="914" spans="1:4" ht="54">
      <c r="A914" s="337">
        <v>91273</v>
      </c>
      <c r="B914" s="338" t="s">
        <v>1338</v>
      </c>
      <c r="C914" s="337" t="s">
        <v>9</v>
      </c>
      <c r="D914" s="339">
        <v>0.43</v>
      </c>
    </row>
    <row r="915" spans="1:4" ht="54">
      <c r="A915" s="337">
        <v>91274</v>
      </c>
      <c r="B915" s="338" t="s">
        <v>1339</v>
      </c>
      <c r="C915" s="337" t="s">
        <v>9</v>
      </c>
      <c r="D915" s="339">
        <v>0.11</v>
      </c>
    </row>
    <row r="916" spans="1:4" ht="54">
      <c r="A916" s="337">
        <v>91275</v>
      </c>
      <c r="B916" s="338" t="s">
        <v>1340</v>
      </c>
      <c r="C916" s="337" t="s">
        <v>9</v>
      </c>
      <c r="D916" s="339">
        <v>0.54</v>
      </c>
    </row>
    <row r="917" spans="1:4" ht="54">
      <c r="A917" s="337">
        <v>91276</v>
      </c>
      <c r="B917" s="338" t="s">
        <v>1341</v>
      </c>
      <c r="C917" s="337" t="s">
        <v>9</v>
      </c>
      <c r="D917" s="339">
        <v>3.74</v>
      </c>
    </row>
    <row r="918" spans="1:4" ht="67.5">
      <c r="A918" s="337">
        <v>91279</v>
      </c>
      <c r="B918" s="338" t="s">
        <v>1342</v>
      </c>
      <c r="C918" s="337" t="s">
        <v>9</v>
      </c>
      <c r="D918" s="339">
        <v>0.78</v>
      </c>
    </row>
    <row r="919" spans="1:4" ht="67.5">
      <c r="A919" s="337">
        <v>91280</v>
      </c>
      <c r="B919" s="338" t="s">
        <v>1343</v>
      </c>
      <c r="C919" s="337" t="s">
        <v>9</v>
      </c>
      <c r="D919" s="339">
        <v>0.16</v>
      </c>
    </row>
    <row r="920" spans="1:4" ht="67.5">
      <c r="A920" s="337">
        <v>91281</v>
      </c>
      <c r="B920" s="338" t="s">
        <v>1344</v>
      </c>
      <c r="C920" s="337" t="s">
        <v>9</v>
      </c>
      <c r="D920" s="339">
        <v>0.98</v>
      </c>
    </row>
    <row r="921" spans="1:4" ht="81">
      <c r="A921" s="337">
        <v>91282</v>
      </c>
      <c r="B921" s="338" t="s">
        <v>1345</v>
      </c>
      <c r="C921" s="337" t="s">
        <v>9</v>
      </c>
      <c r="D921" s="339">
        <v>8.9600000000000009</v>
      </c>
    </row>
    <row r="922" spans="1:4" ht="67.5">
      <c r="A922" s="337">
        <v>91354</v>
      </c>
      <c r="B922" s="338" t="s">
        <v>1346</v>
      </c>
      <c r="C922" s="337" t="s">
        <v>9</v>
      </c>
      <c r="D922" s="339">
        <v>7.88</v>
      </c>
    </row>
    <row r="923" spans="1:4" ht="67.5">
      <c r="A923" s="337">
        <v>91355</v>
      </c>
      <c r="B923" s="338" t="s">
        <v>1347</v>
      </c>
      <c r="C923" s="337" t="s">
        <v>9</v>
      </c>
      <c r="D923" s="339">
        <v>3.14</v>
      </c>
    </row>
    <row r="924" spans="1:4" ht="67.5">
      <c r="A924" s="337">
        <v>91356</v>
      </c>
      <c r="B924" s="338" t="s">
        <v>1348</v>
      </c>
      <c r="C924" s="337" t="s">
        <v>9</v>
      </c>
      <c r="D924" s="339">
        <v>0.64</v>
      </c>
    </row>
    <row r="925" spans="1:4" ht="67.5">
      <c r="A925" s="337">
        <v>91359</v>
      </c>
      <c r="B925" s="338" t="s">
        <v>1349</v>
      </c>
      <c r="C925" s="337" t="s">
        <v>9</v>
      </c>
      <c r="D925" s="339">
        <v>8.7100000000000009</v>
      </c>
    </row>
    <row r="926" spans="1:4" ht="67.5">
      <c r="A926" s="337">
        <v>91360</v>
      </c>
      <c r="B926" s="338" t="s">
        <v>1350</v>
      </c>
      <c r="C926" s="337" t="s">
        <v>9</v>
      </c>
      <c r="D926" s="339">
        <v>3.47</v>
      </c>
    </row>
    <row r="927" spans="1:4" ht="67.5">
      <c r="A927" s="337">
        <v>91361</v>
      </c>
      <c r="B927" s="338" t="s">
        <v>1351</v>
      </c>
      <c r="C927" s="337" t="s">
        <v>9</v>
      </c>
      <c r="D927" s="339">
        <v>0.7</v>
      </c>
    </row>
    <row r="928" spans="1:4" ht="67.5">
      <c r="A928" s="337">
        <v>91367</v>
      </c>
      <c r="B928" s="338" t="s">
        <v>1352</v>
      </c>
      <c r="C928" s="337" t="s">
        <v>9</v>
      </c>
      <c r="D928" s="339">
        <v>11.48</v>
      </c>
    </row>
    <row r="929" spans="1:4" ht="67.5">
      <c r="A929" s="337">
        <v>91368</v>
      </c>
      <c r="B929" s="338" t="s">
        <v>1353</v>
      </c>
      <c r="C929" s="337" t="s">
        <v>9</v>
      </c>
      <c r="D929" s="339">
        <v>4.01</v>
      </c>
    </row>
    <row r="930" spans="1:4" ht="81">
      <c r="A930" s="337">
        <v>91369</v>
      </c>
      <c r="B930" s="338" t="s">
        <v>1354</v>
      </c>
      <c r="C930" s="337" t="s">
        <v>9</v>
      </c>
      <c r="D930" s="339">
        <v>0.82</v>
      </c>
    </row>
    <row r="931" spans="1:4" ht="67.5">
      <c r="A931" s="337">
        <v>91375</v>
      </c>
      <c r="B931" s="338" t="s">
        <v>1355</v>
      </c>
      <c r="C931" s="337" t="s">
        <v>9</v>
      </c>
      <c r="D931" s="339">
        <v>6.63</v>
      </c>
    </row>
    <row r="932" spans="1:4" ht="67.5">
      <c r="A932" s="337">
        <v>91376</v>
      </c>
      <c r="B932" s="338" t="s">
        <v>1356</v>
      </c>
      <c r="C932" s="337" t="s">
        <v>9</v>
      </c>
      <c r="D932" s="339">
        <v>2.65</v>
      </c>
    </row>
    <row r="933" spans="1:4" ht="67.5">
      <c r="A933" s="337">
        <v>91377</v>
      </c>
      <c r="B933" s="338" t="s">
        <v>1357</v>
      </c>
      <c r="C933" s="337" t="s">
        <v>9</v>
      </c>
      <c r="D933" s="339">
        <v>0.54</v>
      </c>
    </row>
    <row r="934" spans="1:4" ht="81">
      <c r="A934" s="337">
        <v>91380</v>
      </c>
      <c r="B934" s="338" t="s">
        <v>1358</v>
      </c>
      <c r="C934" s="337" t="s">
        <v>9</v>
      </c>
      <c r="D934" s="339">
        <v>12.96</v>
      </c>
    </row>
    <row r="935" spans="1:4" ht="81">
      <c r="A935" s="337">
        <v>91381</v>
      </c>
      <c r="B935" s="338" t="s">
        <v>1359</v>
      </c>
      <c r="C935" s="337" t="s">
        <v>9</v>
      </c>
      <c r="D935" s="339">
        <v>4.53</v>
      </c>
    </row>
    <row r="936" spans="1:4" ht="81">
      <c r="A936" s="337">
        <v>91382</v>
      </c>
      <c r="B936" s="338" t="s">
        <v>1360</v>
      </c>
      <c r="C936" s="337" t="s">
        <v>9</v>
      </c>
      <c r="D936" s="339">
        <v>0.93</v>
      </c>
    </row>
    <row r="937" spans="1:4" ht="81">
      <c r="A937" s="337">
        <v>91383</v>
      </c>
      <c r="B937" s="338" t="s">
        <v>1361</v>
      </c>
      <c r="C937" s="337" t="s">
        <v>9</v>
      </c>
      <c r="D937" s="339">
        <v>24.31</v>
      </c>
    </row>
    <row r="938" spans="1:4" ht="81">
      <c r="A938" s="337">
        <v>91384</v>
      </c>
      <c r="B938" s="338" t="s">
        <v>1362</v>
      </c>
      <c r="C938" s="337" t="s">
        <v>9</v>
      </c>
      <c r="D938" s="339">
        <v>112.43</v>
      </c>
    </row>
    <row r="939" spans="1:4" ht="94.5">
      <c r="A939" s="337">
        <v>91390</v>
      </c>
      <c r="B939" s="338" t="s">
        <v>1363</v>
      </c>
      <c r="C939" s="337" t="s">
        <v>9</v>
      </c>
      <c r="D939" s="339">
        <v>8.5</v>
      </c>
    </row>
    <row r="940" spans="1:4" ht="94.5">
      <c r="A940" s="337">
        <v>91391</v>
      </c>
      <c r="B940" s="338" t="s">
        <v>1364</v>
      </c>
      <c r="C940" s="337" t="s">
        <v>9</v>
      </c>
      <c r="D940" s="339">
        <v>3.39</v>
      </c>
    </row>
    <row r="941" spans="1:4" ht="94.5">
      <c r="A941" s="337">
        <v>91392</v>
      </c>
      <c r="B941" s="338" t="s">
        <v>1365</v>
      </c>
      <c r="C941" s="337" t="s">
        <v>9</v>
      </c>
      <c r="D941" s="339">
        <v>0.68</v>
      </c>
    </row>
    <row r="942" spans="1:4" ht="81">
      <c r="A942" s="337">
        <v>91396</v>
      </c>
      <c r="B942" s="338" t="s">
        <v>1366</v>
      </c>
      <c r="C942" s="337" t="s">
        <v>9</v>
      </c>
      <c r="D942" s="339">
        <v>11.19</v>
      </c>
    </row>
    <row r="943" spans="1:4" ht="81">
      <c r="A943" s="337">
        <v>91397</v>
      </c>
      <c r="B943" s="338" t="s">
        <v>1367</v>
      </c>
      <c r="C943" s="337" t="s">
        <v>9</v>
      </c>
      <c r="D943" s="339">
        <v>4.47</v>
      </c>
    </row>
    <row r="944" spans="1:4" ht="81">
      <c r="A944" s="337">
        <v>91398</v>
      </c>
      <c r="B944" s="338" t="s">
        <v>1368</v>
      </c>
      <c r="C944" s="337" t="s">
        <v>9</v>
      </c>
      <c r="D944" s="339">
        <v>0.9</v>
      </c>
    </row>
    <row r="945" spans="1:4" ht="81">
      <c r="A945" s="337">
        <v>91402</v>
      </c>
      <c r="B945" s="338" t="s">
        <v>1369</v>
      </c>
      <c r="C945" s="337" t="s">
        <v>9</v>
      </c>
      <c r="D945" s="339">
        <v>0.79</v>
      </c>
    </row>
    <row r="946" spans="1:4" ht="81">
      <c r="A946" s="337">
        <v>91466</v>
      </c>
      <c r="B946" s="338" t="s">
        <v>1370</v>
      </c>
      <c r="C946" s="337" t="s">
        <v>9</v>
      </c>
      <c r="D946" s="339">
        <v>0.72</v>
      </c>
    </row>
    <row r="947" spans="1:4" ht="81">
      <c r="A947" s="337">
        <v>91467</v>
      </c>
      <c r="B947" s="338" t="s">
        <v>1371</v>
      </c>
      <c r="C947" s="337" t="s">
        <v>9</v>
      </c>
      <c r="D947" s="339">
        <v>92.39</v>
      </c>
    </row>
    <row r="948" spans="1:4" ht="81">
      <c r="A948" s="337">
        <v>91468</v>
      </c>
      <c r="B948" s="338" t="s">
        <v>1372</v>
      </c>
      <c r="C948" s="337" t="s">
        <v>9</v>
      </c>
      <c r="D948" s="339">
        <v>12.49</v>
      </c>
    </row>
    <row r="949" spans="1:4" ht="81">
      <c r="A949" s="337">
        <v>91469</v>
      </c>
      <c r="B949" s="338" t="s">
        <v>1373</v>
      </c>
      <c r="C949" s="337" t="s">
        <v>9</v>
      </c>
      <c r="D949" s="339">
        <v>4.2300000000000004</v>
      </c>
    </row>
    <row r="950" spans="1:4" ht="81">
      <c r="A950" s="337">
        <v>91484</v>
      </c>
      <c r="B950" s="338" t="s">
        <v>1374</v>
      </c>
      <c r="C950" s="337" t="s">
        <v>9</v>
      </c>
      <c r="D950" s="339">
        <v>0.85</v>
      </c>
    </row>
    <row r="951" spans="1:4" ht="94.5">
      <c r="A951" s="337">
        <v>91485</v>
      </c>
      <c r="B951" s="338" t="s">
        <v>1375</v>
      </c>
      <c r="C951" s="337" t="s">
        <v>9</v>
      </c>
      <c r="D951" s="339">
        <v>127.34</v>
      </c>
    </row>
    <row r="952" spans="1:4" ht="54">
      <c r="A952" s="337">
        <v>91529</v>
      </c>
      <c r="B952" s="338" t="s">
        <v>1376</v>
      </c>
      <c r="C952" s="337" t="s">
        <v>9</v>
      </c>
      <c r="D952" s="339">
        <v>0.64</v>
      </c>
    </row>
    <row r="953" spans="1:4" ht="54">
      <c r="A953" s="337">
        <v>91530</v>
      </c>
      <c r="B953" s="338" t="s">
        <v>1377</v>
      </c>
      <c r="C953" s="337" t="s">
        <v>9</v>
      </c>
      <c r="D953" s="339">
        <v>0.16</v>
      </c>
    </row>
    <row r="954" spans="1:4" ht="54">
      <c r="A954" s="337">
        <v>91531</v>
      </c>
      <c r="B954" s="338" t="s">
        <v>1378</v>
      </c>
      <c r="C954" s="337" t="s">
        <v>9</v>
      </c>
      <c r="D954" s="339">
        <v>0.8</v>
      </c>
    </row>
    <row r="955" spans="1:4" ht="54">
      <c r="A955" s="337">
        <v>91532</v>
      </c>
      <c r="B955" s="338" t="s">
        <v>1379</v>
      </c>
      <c r="C955" s="337" t="s">
        <v>9</v>
      </c>
      <c r="D955" s="339">
        <v>2.72</v>
      </c>
    </row>
    <row r="956" spans="1:4" ht="81">
      <c r="A956" s="337">
        <v>91629</v>
      </c>
      <c r="B956" s="338" t="s">
        <v>1380</v>
      </c>
      <c r="C956" s="337" t="s">
        <v>9</v>
      </c>
      <c r="D956" s="339">
        <v>8.23</v>
      </c>
    </row>
    <row r="957" spans="1:4" ht="81">
      <c r="A957" s="337">
        <v>91630</v>
      </c>
      <c r="B957" s="338" t="s">
        <v>1381</v>
      </c>
      <c r="C957" s="337" t="s">
        <v>9</v>
      </c>
      <c r="D957" s="339">
        <v>3.29</v>
      </c>
    </row>
    <row r="958" spans="1:4" ht="81">
      <c r="A958" s="337">
        <v>91631</v>
      </c>
      <c r="B958" s="338" t="s">
        <v>1382</v>
      </c>
      <c r="C958" s="337" t="s">
        <v>9</v>
      </c>
      <c r="D958" s="339">
        <v>0.67</v>
      </c>
    </row>
    <row r="959" spans="1:4" ht="81">
      <c r="A959" s="337">
        <v>91632</v>
      </c>
      <c r="B959" s="338" t="s">
        <v>1383</v>
      </c>
      <c r="C959" s="337" t="s">
        <v>9</v>
      </c>
      <c r="D959" s="339">
        <v>15.45</v>
      </c>
    </row>
    <row r="960" spans="1:4" ht="81">
      <c r="A960" s="337">
        <v>91633</v>
      </c>
      <c r="B960" s="338" t="s">
        <v>1384</v>
      </c>
      <c r="C960" s="337" t="s">
        <v>9</v>
      </c>
      <c r="D960" s="339">
        <v>78.22</v>
      </c>
    </row>
    <row r="961" spans="1:4" ht="81">
      <c r="A961" s="337">
        <v>91640</v>
      </c>
      <c r="B961" s="338" t="s">
        <v>1385</v>
      </c>
      <c r="C961" s="337" t="s">
        <v>9</v>
      </c>
      <c r="D961" s="339">
        <v>19.190000000000001</v>
      </c>
    </row>
    <row r="962" spans="1:4" ht="81">
      <c r="A962" s="337">
        <v>91641</v>
      </c>
      <c r="B962" s="338" t="s">
        <v>1386</v>
      </c>
      <c r="C962" s="337" t="s">
        <v>9</v>
      </c>
      <c r="D962" s="339">
        <v>7.66</v>
      </c>
    </row>
    <row r="963" spans="1:4" ht="94.5">
      <c r="A963" s="337">
        <v>91642</v>
      </c>
      <c r="B963" s="338" t="s">
        <v>1387</v>
      </c>
      <c r="C963" s="337" t="s">
        <v>9</v>
      </c>
      <c r="D963" s="339">
        <v>1.56</v>
      </c>
    </row>
    <row r="964" spans="1:4" ht="81">
      <c r="A964" s="337">
        <v>91643</v>
      </c>
      <c r="B964" s="338" t="s">
        <v>1388</v>
      </c>
      <c r="C964" s="337" t="s">
        <v>9</v>
      </c>
      <c r="D964" s="339">
        <v>35.979999999999997</v>
      </c>
    </row>
    <row r="965" spans="1:4" ht="94.5">
      <c r="A965" s="337">
        <v>91644</v>
      </c>
      <c r="B965" s="338" t="s">
        <v>1389</v>
      </c>
      <c r="C965" s="337" t="s">
        <v>9</v>
      </c>
      <c r="D965" s="339">
        <v>175.97</v>
      </c>
    </row>
    <row r="966" spans="1:4" ht="54">
      <c r="A966" s="337">
        <v>91688</v>
      </c>
      <c r="B966" s="338" t="s">
        <v>1390</v>
      </c>
      <c r="C966" s="337" t="s">
        <v>9</v>
      </c>
      <c r="D966" s="339">
        <v>0.09</v>
      </c>
    </row>
    <row r="967" spans="1:4" ht="40.5">
      <c r="A967" s="337">
        <v>91689</v>
      </c>
      <c r="B967" s="338" t="s">
        <v>1391</v>
      </c>
      <c r="C967" s="337" t="s">
        <v>9</v>
      </c>
      <c r="D967" s="339">
        <v>0.01</v>
      </c>
    </row>
    <row r="968" spans="1:4" ht="40.5">
      <c r="A968" s="337">
        <v>91690</v>
      </c>
      <c r="B968" s="338" t="s">
        <v>1392</v>
      </c>
      <c r="C968" s="337" t="s">
        <v>9</v>
      </c>
      <c r="D968" s="339">
        <v>0.06</v>
      </c>
    </row>
    <row r="969" spans="1:4" ht="54">
      <c r="A969" s="337">
        <v>91691</v>
      </c>
      <c r="B969" s="338" t="s">
        <v>1393</v>
      </c>
      <c r="C969" s="337" t="s">
        <v>9</v>
      </c>
      <c r="D969" s="339">
        <v>1.61</v>
      </c>
    </row>
    <row r="970" spans="1:4" ht="40.5">
      <c r="A970" s="337">
        <v>92040</v>
      </c>
      <c r="B970" s="338" t="s">
        <v>1394</v>
      </c>
      <c r="C970" s="337" t="s">
        <v>9</v>
      </c>
      <c r="D970" s="339">
        <v>3.82</v>
      </c>
    </row>
    <row r="971" spans="1:4" ht="40.5">
      <c r="A971" s="337">
        <v>92041</v>
      </c>
      <c r="B971" s="338" t="s">
        <v>1395</v>
      </c>
      <c r="C971" s="337" t="s">
        <v>9</v>
      </c>
      <c r="D971" s="339">
        <v>0.76</v>
      </c>
    </row>
    <row r="972" spans="1:4" ht="40.5">
      <c r="A972" s="337">
        <v>92042</v>
      </c>
      <c r="B972" s="338" t="s">
        <v>1396</v>
      </c>
      <c r="C972" s="337" t="s">
        <v>9</v>
      </c>
      <c r="D972" s="339">
        <v>3.18</v>
      </c>
    </row>
    <row r="973" spans="1:4" ht="94.5">
      <c r="A973" s="337">
        <v>92101</v>
      </c>
      <c r="B973" s="338" t="s">
        <v>1397</v>
      </c>
      <c r="C973" s="337" t="s">
        <v>9</v>
      </c>
      <c r="D973" s="339">
        <v>12.19</v>
      </c>
    </row>
    <row r="974" spans="1:4" ht="94.5">
      <c r="A974" s="337">
        <v>92102</v>
      </c>
      <c r="B974" s="338" t="s">
        <v>1398</v>
      </c>
      <c r="C974" s="337" t="s">
        <v>9</v>
      </c>
      <c r="D974" s="339">
        <v>4.8600000000000003</v>
      </c>
    </row>
    <row r="975" spans="1:4" ht="94.5">
      <c r="A975" s="337">
        <v>92103</v>
      </c>
      <c r="B975" s="338" t="s">
        <v>1399</v>
      </c>
      <c r="C975" s="337" t="s">
        <v>9</v>
      </c>
      <c r="D975" s="339">
        <v>0.98</v>
      </c>
    </row>
    <row r="976" spans="1:4" ht="94.5">
      <c r="A976" s="337">
        <v>92104</v>
      </c>
      <c r="B976" s="338" t="s">
        <v>1400</v>
      </c>
      <c r="C976" s="337" t="s">
        <v>9</v>
      </c>
      <c r="D976" s="339">
        <v>22.86</v>
      </c>
    </row>
    <row r="977" spans="1:4" ht="94.5">
      <c r="A977" s="337">
        <v>92105</v>
      </c>
      <c r="B977" s="338" t="s">
        <v>1401</v>
      </c>
      <c r="C977" s="337" t="s">
        <v>9</v>
      </c>
      <c r="D977" s="339">
        <v>112.43</v>
      </c>
    </row>
    <row r="978" spans="1:4" ht="54">
      <c r="A978" s="337">
        <v>92108</v>
      </c>
      <c r="B978" s="338" t="s">
        <v>1402</v>
      </c>
      <c r="C978" s="337" t="s">
        <v>9</v>
      </c>
      <c r="D978" s="339">
        <v>0.64</v>
      </c>
    </row>
    <row r="979" spans="1:4" ht="54">
      <c r="A979" s="337">
        <v>92109</v>
      </c>
      <c r="B979" s="338" t="s">
        <v>1403</v>
      </c>
      <c r="C979" s="337" t="s">
        <v>9</v>
      </c>
      <c r="D979" s="339">
        <v>0.14000000000000001</v>
      </c>
    </row>
    <row r="980" spans="1:4" ht="54">
      <c r="A980" s="337">
        <v>92110</v>
      </c>
      <c r="B980" s="338" t="s">
        <v>1404</v>
      </c>
      <c r="C980" s="337" t="s">
        <v>9</v>
      </c>
      <c r="D980" s="339">
        <v>0.5</v>
      </c>
    </row>
    <row r="981" spans="1:4" ht="54">
      <c r="A981" s="337">
        <v>92111</v>
      </c>
      <c r="B981" s="338" t="s">
        <v>1405</v>
      </c>
      <c r="C981" s="337" t="s">
        <v>9</v>
      </c>
      <c r="D981" s="339">
        <v>0.63</v>
      </c>
    </row>
    <row r="982" spans="1:4" ht="27">
      <c r="A982" s="337">
        <v>92114</v>
      </c>
      <c r="B982" s="338" t="s">
        <v>1406</v>
      </c>
      <c r="C982" s="337" t="s">
        <v>9</v>
      </c>
      <c r="D982" s="339">
        <v>7.0000000000000007E-2</v>
      </c>
    </row>
    <row r="983" spans="1:4" ht="27">
      <c r="A983" s="337">
        <v>92115</v>
      </c>
      <c r="B983" s="338" t="s">
        <v>1407</v>
      </c>
      <c r="C983" s="337" t="s">
        <v>9</v>
      </c>
      <c r="D983" s="339">
        <v>0.01</v>
      </c>
    </row>
    <row r="984" spans="1:4" ht="27">
      <c r="A984" s="337">
        <v>92116</v>
      </c>
      <c r="B984" s="338" t="s">
        <v>1408</v>
      </c>
      <c r="C984" s="337" t="s">
        <v>9</v>
      </c>
      <c r="D984" s="339">
        <v>0.09</v>
      </c>
    </row>
    <row r="985" spans="1:4" ht="40.5">
      <c r="A985" s="337">
        <v>92133</v>
      </c>
      <c r="B985" s="338" t="s">
        <v>1409</v>
      </c>
      <c r="C985" s="337" t="s">
        <v>9</v>
      </c>
      <c r="D985" s="339">
        <v>7.1</v>
      </c>
    </row>
    <row r="986" spans="1:4" ht="40.5">
      <c r="A986" s="337">
        <v>92134</v>
      </c>
      <c r="B986" s="338" t="s">
        <v>1410</v>
      </c>
      <c r="C986" s="337" t="s">
        <v>9</v>
      </c>
      <c r="D986" s="339">
        <v>2.13</v>
      </c>
    </row>
    <row r="987" spans="1:4" ht="40.5">
      <c r="A987" s="337">
        <v>92135</v>
      </c>
      <c r="B987" s="338" t="s">
        <v>1411</v>
      </c>
      <c r="C987" s="337" t="s">
        <v>9</v>
      </c>
      <c r="D987" s="339">
        <v>0.44</v>
      </c>
    </row>
    <row r="988" spans="1:4" ht="40.5">
      <c r="A988" s="337">
        <v>92136</v>
      </c>
      <c r="B988" s="338" t="s">
        <v>1412</v>
      </c>
      <c r="C988" s="337" t="s">
        <v>9</v>
      </c>
      <c r="D988" s="339">
        <v>8.8699999999999992</v>
      </c>
    </row>
    <row r="989" spans="1:4" ht="40.5">
      <c r="A989" s="337">
        <v>92137</v>
      </c>
      <c r="B989" s="338" t="s">
        <v>1413</v>
      </c>
      <c r="C989" s="337" t="s">
        <v>9</v>
      </c>
      <c r="D989" s="339">
        <v>88</v>
      </c>
    </row>
    <row r="990" spans="1:4" ht="54">
      <c r="A990" s="337">
        <v>92140</v>
      </c>
      <c r="B990" s="338" t="s">
        <v>1414</v>
      </c>
      <c r="C990" s="337" t="s">
        <v>9</v>
      </c>
      <c r="D990" s="339">
        <v>2.16</v>
      </c>
    </row>
    <row r="991" spans="1:4" ht="54">
      <c r="A991" s="337">
        <v>92141</v>
      </c>
      <c r="B991" s="338" t="s">
        <v>1415</v>
      </c>
      <c r="C991" s="337" t="s">
        <v>9</v>
      </c>
      <c r="D991" s="339">
        <v>0.64</v>
      </c>
    </row>
    <row r="992" spans="1:4" ht="54">
      <c r="A992" s="337">
        <v>92142</v>
      </c>
      <c r="B992" s="338" t="s">
        <v>1416</v>
      </c>
      <c r="C992" s="337" t="s">
        <v>9</v>
      </c>
      <c r="D992" s="339">
        <v>0.13</v>
      </c>
    </row>
    <row r="993" spans="1:4" ht="54">
      <c r="A993" s="337">
        <v>92143</v>
      </c>
      <c r="B993" s="338" t="s">
        <v>1417</v>
      </c>
      <c r="C993" s="337" t="s">
        <v>9</v>
      </c>
      <c r="D993" s="339">
        <v>2.7</v>
      </c>
    </row>
    <row r="994" spans="1:4" ht="54">
      <c r="A994" s="337">
        <v>92144</v>
      </c>
      <c r="B994" s="338" t="s">
        <v>1418</v>
      </c>
      <c r="C994" s="337" t="s">
        <v>9</v>
      </c>
      <c r="D994" s="339">
        <v>68.69</v>
      </c>
    </row>
    <row r="995" spans="1:4" ht="81">
      <c r="A995" s="337">
        <v>92237</v>
      </c>
      <c r="B995" s="338" t="s">
        <v>1419</v>
      </c>
      <c r="C995" s="337" t="s">
        <v>9</v>
      </c>
      <c r="D995" s="339">
        <v>13.99</v>
      </c>
    </row>
    <row r="996" spans="1:4" ht="81">
      <c r="A996" s="337">
        <v>92238</v>
      </c>
      <c r="B996" s="338" t="s">
        <v>1420</v>
      </c>
      <c r="C996" s="337" t="s">
        <v>9</v>
      </c>
      <c r="D996" s="339">
        <v>5.59</v>
      </c>
    </row>
    <row r="997" spans="1:4" ht="94.5">
      <c r="A997" s="337">
        <v>92239</v>
      </c>
      <c r="B997" s="338" t="s">
        <v>1421</v>
      </c>
      <c r="C997" s="337" t="s">
        <v>9</v>
      </c>
      <c r="D997" s="339">
        <v>1.1299999999999999</v>
      </c>
    </row>
    <row r="998" spans="1:4" ht="81">
      <c r="A998" s="337">
        <v>92240</v>
      </c>
      <c r="B998" s="338" t="s">
        <v>1422</v>
      </c>
      <c r="C998" s="337" t="s">
        <v>9</v>
      </c>
      <c r="D998" s="339">
        <v>26.24</v>
      </c>
    </row>
    <row r="999" spans="1:4" ht="94.5">
      <c r="A999" s="337">
        <v>92241</v>
      </c>
      <c r="B999" s="338" t="s">
        <v>1423</v>
      </c>
      <c r="C999" s="337" t="s">
        <v>9</v>
      </c>
      <c r="D999" s="339">
        <v>161.32</v>
      </c>
    </row>
    <row r="1000" spans="1:4" ht="54">
      <c r="A1000" s="337">
        <v>92712</v>
      </c>
      <c r="B1000" s="338" t="s">
        <v>1424</v>
      </c>
      <c r="C1000" s="337" t="s">
        <v>9</v>
      </c>
      <c r="D1000" s="339">
        <v>0.17</v>
      </c>
    </row>
    <row r="1001" spans="1:4" ht="54">
      <c r="A1001" s="337">
        <v>92713</v>
      </c>
      <c r="B1001" s="338" t="s">
        <v>1425</v>
      </c>
      <c r="C1001" s="337" t="s">
        <v>9</v>
      </c>
      <c r="D1001" s="339">
        <v>0.03</v>
      </c>
    </row>
    <row r="1002" spans="1:4" ht="54">
      <c r="A1002" s="337">
        <v>92714</v>
      </c>
      <c r="B1002" s="338" t="s">
        <v>1426</v>
      </c>
      <c r="C1002" s="337" t="s">
        <v>9</v>
      </c>
      <c r="D1002" s="339">
        <v>0.21</v>
      </c>
    </row>
    <row r="1003" spans="1:4" ht="54">
      <c r="A1003" s="337">
        <v>92715</v>
      </c>
      <c r="B1003" s="338" t="s">
        <v>1427</v>
      </c>
      <c r="C1003" s="337" t="s">
        <v>9</v>
      </c>
      <c r="D1003" s="339">
        <v>21.9</v>
      </c>
    </row>
    <row r="1004" spans="1:4" ht="54">
      <c r="A1004" s="337">
        <v>92956</v>
      </c>
      <c r="B1004" s="338" t="s">
        <v>1428</v>
      </c>
      <c r="C1004" s="337" t="s">
        <v>9</v>
      </c>
      <c r="D1004" s="339">
        <v>3.66</v>
      </c>
    </row>
    <row r="1005" spans="1:4" ht="40.5">
      <c r="A1005" s="337">
        <v>92957</v>
      </c>
      <c r="B1005" s="338" t="s">
        <v>1429</v>
      </c>
      <c r="C1005" s="337" t="s">
        <v>9</v>
      </c>
      <c r="D1005" s="339">
        <v>0.82</v>
      </c>
    </row>
    <row r="1006" spans="1:4" ht="40.5">
      <c r="A1006" s="337">
        <v>92958</v>
      </c>
      <c r="B1006" s="338" t="s">
        <v>1430</v>
      </c>
      <c r="C1006" s="337" t="s">
        <v>9</v>
      </c>
      <c r="D1006" s="339">
        <v>4.01</v>
      </c>
    </row>
    <row r="1007" spans="1:4" ht="54">
      <c r="A1007" s="337">
        <v>92959</v>
      </c>
      <c r="B1007" s="338" t="s">
        <v>1431</v>
      </c>
      <c r="C1007" s="337" t="s">
        <v>9</v>
      </c>
      <c r="D1007" s="339">
        <v>6.82</v>
      </c>
    </row>
    <row r="1008" spans="1:4" ht="40.5">
      <c r="A1008" s="337">
        <v>92963</v>
      </c>
      <c r="B1008" s="338" t="s">
        <v>1432</v>
      </c>
      <c r="C1008" s="337" t="s">
        <v>9</v>
      </c>
      <c r="D1008" s="339">
        <v>1.25</v>
      </c>
    </row>
    <row r="1009" spans="1:4" ht="40.5">
      <c r="A1009" s="337">
        <v>92964</v>
      </c>
      <c r="B1009" s="338" t="s">
        <v>1433</v>
      </c>
      <c r="C1009" s="337" t="s">
        <v>9</v>
      </c>
      <c r="D1009" s="339">
        <v>0.28000000000000003</v>
      </c>
    </row>
    <row r="1010" spans="1:4" ht="40.5">
      <c r="A1010" s="337">
        <v>92965</v>
      </c>
      <c r="B1010" s="338" t="s">
        <v>1434</v>
      </c>
      <c r="C1010" s="337" t="s">
        <v>9</v>
      </c>
      <c r="D1010" s="339">
        <v>1.57</v>
      </c>
    </row>
    <row r="1011" spans="1:4" ht="94.5">
      <c r="A1011" s="337">
        <v>93220</v>
      </c>
      <c r="B1011" s="338" t="s">
        <v>1435</v>
      </c>
      <c r="C1011" s="337" t="s">
        <v>9</v>
      </c>
      <c r="D1011" s="339">
        <v>174.9</v>
      </c>
    </row>
    <row r="1012" spans="1:4" ht="81">
      <c r="A1012" s="337">
        <v>93221</v>
      </c>
      <c r="B1012" s="338" t="s">
        <v>1436</v>
      </c>
      <c r="C1012" s="337" t="s">
        <v>9</v>
      </c>
      <c r="D1012" s="339">
        <v>45.94</v>
      </c>
    </row>
    <row r="1013" spans="1:4" ht="94.5">
      <c r="A1013" s="337">
        <v>93222</v>
      </c>
      <c r="B1013" s="338" t="s">
        <v>1437</v>
      </c>
      <c r="C1013" s="337" t="s">
        <v>9</v>
      </c>
      <c r="D1013" s="339">
        <v>218.88</v>
      </c>
    </row>
    <row r="1014" spans="1:4" ht="94.5">
      <c r="A1014" s="337">
        <v>93223</v>
      </c>
      <c r="B1014" s="338" t="s">
        <v>1438</v>
      </c>
      <c r="C1014" s="337" t="s">
        <v>9</v>
      </c>
      <c r="D1014" s="339">
        <v>173.43</v>
      </c>
    </row>
    <row r="1015" spans="1:4" ht="54">
      <c r="A1015" s="337">
        <v>93229</v>
      </c>
      <c r="B1015" s="338" t="s">
        <v>1439</v>
      </c>
      <c r="C1015" s="337" t="s">
        <v>9</v>
      </c>
      <c r="D1015" s="339">
        <v>0.27</v>
      </c>
    </row>
    <row r="1016" spans="1:4" ht="54">
      <c r="A1016" s="337">
        <v>93230</v>
      </c>
      <c r="B1016" s="338" t="s">
        <v>1440</v>
      </c>
      <c r="C1016" s="337" t="s">
        <v>9</v>
      </c>
      <c r="D1016" s="339">
        <v>0.06</v>
      </c>
    </row>
    <row r="1017" spans="1:4" ht="54">
      <c r="A1017" s="337">
        <v>93231</v>
      </c>
      <c r="B1017" s="338" t="s">
        <v>1441</v>
      </c>
      <c r="C1017" s="337" t="s">
        <v>9</v>
      </c>
      <c r="D1017" s="339">
        <v>0.25</v>
      </c>
    </row>
    <row r="1018" spans="1:4" ht="67.5">
      <c r="A1018" s="337">
        <v>93232</v>
      </c>
      <c r="B1018" s="338" t="s">
        <v>1442</v>
      </c>
      <c r="C1018" s="337" t="s">
        <v>9</v>
      </c>
      <c r="D1018" s="339">
        <v>3.78</v>
      </c>
    </row>
    <row r="1019" spans="1:4" ht="40.5">
      <c r="A1019" s="337">
        <v>93235</v>
      </c>
      <c r="B1019" s="338" t="s">
        <v>1443</v>
      </c>
      <c r="C1019" s="337" t="s">
        <v>9</v>
      </c>
      <c r="D1019" s="339">
        <v>1.06</v>
      </c>
    </row>
    <row r="1020" spans="1:4" ht="67.5">
      <c r="A1020" s="337">
        <v>93238</v>
      </c>
      <c r="B1020" s="338" t="s">
        <v>1444</v>
      </c>
      <c r="C1020" s="337" t="s">
        <v>9</v>
      </c>
      <c r="D1020" s="339">
        <v>1.1100000000000001</v>
      </c>
    </row>
    <row r="1021" spans="1:4" ht="67.5">
      <c r="A1021" s="337">
        <v>93239</v>
      </c>
      <c r="B1021" s="338" t="s">
        <v>1445</v>
      </c>
      <c r="C1021" s="337" t="s">
        <v>9</v>
      </c>
      <c r="D1021" s="339">
        <v>5.0199999999999996</v>
      </c>
    </row>
    <row r="1022" spans="1:4" ht="67.5">
      <c r="A1022" s="337">
        <v>93240</v>
      </c>
      <c r="B1022" s="338" t="s">
        <v>1446</v>
      </c>
      <c r="C1022" s="337" t="s">
        <v>9</v>
      </c>
      <c r="D1022" s="339">
        <v>8.3000000000000007</v>
      </c>
    </row>
    <row r="1023" spans="1:4" ht="40.5">
      <c r="A1023" s="337">
        <v>93267</v>
      </c>
      <c r="B1023" s="338" t="s">
        <v>1447</v>
      </c>
      <c r="C1023" s="337" t="s">
        <v>9</v>
      </c>
      <c r="D1023" s="339">
        <v>21.76</v>
      </c>
    </row>
    <row r="1024" spans="1:4" ht="40.5">
      <c r="A1024" s="337">
        <v>93269</v>
      </c>
      <c r="B1024" s="338" t="s">
        <v>1448</v>
      </c>
      <c r="C1024" s="337" t="s">
        <v>9</v>
      </c>
      <c r="D1024" s="339">
        <v>4.8899999999999997</v>
      </c>
    </row>
    <row r="1025" spans="1:4" ht="40.5">
      <c r="A1025" s="337">
        <v>93270</v>
      </c>
      <c r="B1025" s="338" t="s">
        <v>1449</v>
      </c>
      <c r="C1025" s="337" t="s">
        <v>9</v>
      </c>
      <c r="D1025" s="339">
        <v>23.8</v>
      </c>
    </row>
    <row r="1026" spans="1:4" ht="54">
      <c r="A1026" s="337">
        <v>93271</v>
      </c>
      <c r="B1026" s="338" t="s">
        <v>1450</v>
      </c>
      <c r="C1026" s="337" t="s">
        <v>9</v>
      </c>
      <c r="D1026" s="339">
        <v>4.76</v>
      </c>
    </row>
    <row r="1027" spans="1:4" ht="40.5">
      <c r="A1027" s="337">
        <v>93277</v>
      </c>
      <c r="B1027" s="338" t="s">
        <v>1451</v>
      </c>
      <c r="C1027" s="337" t="s">
        <v>9</v>
      </c>
      <c r="D1027" s="339">
        <v>0.27</v>
      </c>
    </row>
    <row r="1028" spans="1:4" ht="40.5">
      <c r="A1028" s="337">
        <v>93278</v>
      </c>
      <c r="B1028" s="338" t="s">
        <v>1452</v>
      </c>
      <c r="C1028" s="337" t="s">
        <v>9</v>
      </c>
      <c r="D1028" s="339">
        <v>0.06</v>
      </c>
    </row>
    <row r="1029" spans="1:4" ht="40.5">
      <c r="A1029" s="337">
        <v>93279</v>
      </c>
      <c r="B1029" s="338" t="s">
        <v>1453</v>
      </c>
      <c r="C1029" s="337" t="s">
        <v>9</v>
      </c>
      <c r="D1029" s="339">
        <v>0.25</v>
      </c>
    </row>
    <row r="1030" spans="1:4" ht="54">
      <c r="A1030" s="337">
        <v>93280</v>
      </c>
      <c r="B1030" s="338" t="s">
        <v>1454</v>
      </c>
      <c r="C1030" s="337" t="s">
        <v>9</v>
      </c>
      <c r="D1030" s="339">
        <v>0.39</v>
      </c>
    </row>
    <row r="1031" spans="1:4" ht="54">
      <c r="A1031" s="337">
        <v>93283</v>
      </c>
      <c r="B1031" s="338" t="s">
        <v>1455</v>
      </c>
      <c r="C1031" s="337" t="s">
        <v>9</v>
      </c>
      <c r="D1031" s="339">
        <v>45.74</v>
      </c>
    </row>
    <row r="1032" spans="1:4" ht="54">
      <c r="A1032" s="337">
        <v>93284</v>
      </c>
      <c r="B1032" s="338" t="s">
        <v>1456</v>
      </c>
      <c r="C1032" s="337" t="s">
        <v>9</v>
      </c>
      <c r="D1032" s="339">
        <v>15.66</v>
      </c>
    </row>
    <row r="1033" spans="1:4" ht="54">
      <c r="A1033" s="337">
        <v>93285</v>
      </c>
      <c r="B1033" s="338" t="s">
        <v>1457</v>
      </c>
      <c r="C1033" s="337" t="s">
        <v>9</v>
      </c>
      <c r="D1033" s="339">
        <v>73.540000000000006</v>
      </c>
    </row>
    <row r="1034" spans="1:4" ht="54">
      <c r="A1034" s="337">
        <v>93286</v>
      </c>
      <c r="B1034" s="338" t="s">
        <v>1458</v>
      </c>
      <c r="C1034" s="337" t="s">
        <v>9</v>
      </c>
      <c r="D1034" s="339">
        <v>112.71</v>
      </c>
    </row>
    <row r="1035" spans="1:4" ht="54">
      <c r="A1035" s="337">
        <v>93296</v>
      </c>
      <c r="B1035" s="338" t="s">
        <v>1459</v>
      </c>
      <c r="C1035" s="337" t="s">
        <v>9</v>
      </c>
      <c r="D1035" s="339">
        <v>3.2</v>
      </c>
    </row>
    <row r="1036" spans="1:4" ht="81">
      <c r="A1036" s="337">
        <v>93397</v>
      </c>
      <c r="B1036" s="338" t="s">
        <v>1460</v>
      </c>
      <c r="C1036" s="337" t="s">
        <v>9</v>
      </c>
      <c r="D1036" s="339">
        <v>8.23</v>
      </c>
    </row>
    <row r="1037" spans="1:4" ht="81">
      <c r="A1037" s="337">
        <v>93398</v>
      </c>
      <c r="B1037" s="338" t="s">
        <v>1461</v>
      </c>
      <c r="C1037" s="337" t="s">
        <v>9</v>
      </c>
      <c r="D1037" s="339">
        <v>3.29</v>
      </c>
    </row>
    <row r="1038" spans="1:4" ht="81">
      <c r="A1038" s="337">
        <v>93399</v>
      </c>
      <c r="B1038" s="338" t="s">
        <v>1462</v>
      </c>
      <c r="C1038" s="337" t="s">
        <v>9</v>
      </c>
      <c r="D1038" s="339">
        <v>0.67</v>
      </c>
    </row>
    <row r="1039" spans="1:4" ht="81">
      <c r="A1039" s="337">
        <v>93400</v>
      </c>
      <c r="B1039" s="338" t="s">
        <v>1463</v>
      </c>
      <c r="C1039" s="337" t="s">
        <v>9</v>
      </c>
      <c r="D1039" s="339">
        <v>15.45</v>
      </c>
    </row>
    <row r="1040" spans="1:4" ht="81">
      <c r="A1040" s="337">
        <v>93401</v>
      </c>
      <c r="B1040" s="338" t="s">
        <v>1464</v>
      </c>
      <c r="C1040" s="337" t="s">
        <v>9</v>
      </c>
      <c r="D1040" s="339">
        <v>92.39</v>
      </c>
    </row>
    <row r="1041" spans="1:4" ht="108">
      <c r="A1041" s="337">
        <v>93404</v>
      </c>
      <c r="B1041" s="338" t="s">
        <v>1465</v>
      </c>
      <c r="C1041" s="337" t="s">
        <v>9</v>
      </c>
      <c r="D1041" s="339">
        <v>3.61</v>
      </c>
    </row>
    <row r="1042" spans="1:4" ht="108">
      <c r="A1042" s="337">
        <v>93405</v>
      </c>
      <c r="B1042" s="338" t="s">
        <v>1466</v>
      </c>
      <c r="C1042" s="337" t="s">
        <v>9</v>
      </c>
      <c r="D1042" s="339">
        <v>0.71</v>
      </c>
    </row>
    <row r="1043" spans="1:4" ht="108">
      <c r="A1043" s="337">
        <v>93406</v>
      </c>
      <c r="B1043" s="338" t="s">
        <v>1467</v>
      </c>
      <c r="C1043" s="337" t="s">
        <v>9</v>
      </c>
      <c r="D1043" s="339">
        <v>4.5199999999999996</v>
      </c>
    </row>
    <row r="1044" spans="1:4" ht="108">
      <c r="A1044" s="337">
        <v>93407</v>
      </c>
      <c r="B1044" s="338" t="s">
        <v>1468</v>
      </c>
      <c r="C1044" s="337" t="s">
        <v>9</v>
      </c>
      <c r="D1044" s="339">
        <v>30.81</v>
      </c>
    </row>
    <row r="1045" spans="1:4" ht="40.5">
      <c r="A1045" s="337">
        <v>93411</v>
      </c>
      <c r="B1045" s="338" t="s">
        <v>1469</v>
      </c>
      <c r="C1045" s="337" t="s">
        <v>9</v>
      </c>
      <c r="D1045" s="339">
        <v>0.15</v>
      </c>
    </row>
    <row r="1046" spans="1:4" ht="40.5">
      <c r="A1046" s="337">
        <v>93412</v>
      </c>
      <c r="B1046" s="338" t="s">
        <v>1470</v>
      </c>
      <c r="C1046" s="337" t="s">
        <v>9</v>
      </c>
      <c r="D1046" s="339">
        <v>0.05</v>
      </c>
    </row>
    <row r="1047" spans="1:4" ht="40.5">
      <c r="A1047" s="337">
        <v>93413</v>
      </c>
      <c r="B1047" s="338" t="s">
        <v>1471</v>
      </c>
      <c r="C1047" s="337" t="s">
        <v>9</v>
      </c>
      <c r="D1047" s="339">
        <v>0.13</v>
      </c>
    </row>
    <row r="1048" spans="1:4" ht="54">
      <c r="A1048" s="337">
        <v>93414</v>
      </c>
      <c r="B1048" s="338" t="s">
        <v>1472</v>
      </c>
      <c r="C1048" s="337" t="s">
        <v>9</v>
      </c>
      <c r="D1048" s="339">
        <v>8.82</v>
      </c>
    </row>
    <row r="1049" spans="1:4" ht="40.5">
      <c r="A1049" s="337">
        <v>93417</v>
      </c>
      <c r="B1049" s="338" t="s">
        <v>1473</v>
      </c>
      <c r="C1049" s="337" t="s">
        <v>9</v>
      </c>
      <c r="D1049" s="339">
        <v>1.96</v>
      </c>
    </row>
    <row r="1050" spans="1:4" ht="27">
      <c r="A1050" s="337">
        <v>93418</v>
      </c>
      <c r="B1050" s="338" t="s">
        <v>1474</v>
      </c>
      <c r="C1050" s="337" t="s">
        <v>9</v>
      </c>
      <c r="D1050" s="339">
        <v>0.67</v>
      </c>
    </row>
    <row r="1051" spans="1:4" ht="40.5">
      <c r="A1051" s="337">
        <v>93419</v>
      </c>
      <c r="B1051" s="338" t="s">
        <v>1475</v>
      </c>
      <c r="C1051" s="337" t="s">
        <v>9</v>
      </c>
      <c r="D1051" s="339">
        <v>1.75</v>
      </c>
    </row>
    <row r="1052" spans="1:4" ht="40.5">
      <c r="A1052" s="337">
        <v>93420</v>
      </c>
      <c r="B1052" s="338" t="s">
        <v>1476</v>
      </c>
      <c r="C1052" s="337" t="s">
        <v>9</v>
      </c>
      <c r="D1052" s="339">
        <v>39.18</v>
      </c>
    </row>
    <row r="1053" spans="1:4" ht="40.5">
      <c r="A1053" s="337">
        <v>93423</v>
      </c>
      <c r="B1053" s="338" t="s">
        <v>1477</v>
      </c>
      <c r="C1053" s="337" t="s">
        <v>9</v>
      </c>
      <c r="D1053" s="339">
        <v>2.77</v>
      </c>
    </row>
    <row r="1054" spans="1:4" ht="40.5">
      <c r="A1054" s="337">
        <v>93424</v>
      </c>
      <c r="B1054" s="338" t="s">
        <v>1478</v>
      </c>
      <c r="C1054" s="337" t="s">
        <v>9</v>
      </c>
      <c r="D1054" s="339">
        <v>0.95</v>
      </c>
    </row>
    <row r="1055" spans="1:4" ht="40.5">
      <c r="A1055" s="337">
        <v>93425</v>
      </c>
      <c r="B1055" s="338" t="s">
        <v>1479</v>
      </c>
      <c r="C1055" s="337" t="s">
        <v>9</v>
      </c>
      <c r="D1055" s="339">
        <v>2.48</v>
      </c>
    </row>
    <row r="1056" spans="1:4" ht="40.5">
      <c r="A1056" s="337">
        <v>93426</v>
      </c>
      <c r="B1056" s="338" t="s">
        <v>1480</v>
      </c>
      <c r="C1056" s="337" t="s">
        <v>9</v>
      </c>
      <c r="D1056" s="339">
        <v>93.65</v>
      </c>
    </row>
    <row r="1057" spans="1:4" ht="40.5">
      <c r="A1057" s="337">
        <v>93429</v>
      </c>
      <c r="B1057" s="338" t="s">
        <v>1481</v>
      </c>
      <c r="C1057" s="337" t="s">
        <v>9</v>
      </c>
      <c r="D1057" s="339">
        <v>64.400000000000006</v>
      </c>
    </row>
    <row r="1058" spans="1:4" ht="40.5">
      <c r="A1058" s="337">
        <v>93430</v>
      </c>
      <c r="B1058" s="338" t="s">
        <v>1482</v>
      </c>
      <c r="C1058" s="337" t="s">
        <v>9</v>
      </c>
      <c r="D1058" s="339">
        <v>22.05</v>
      </c>
    </row>
    <row r="1059" spans="1:4" ht="40.5">
      <c r="A1059" s="337">
        <v>93431</v>
      </c>
      <c r="B1059" s="338" t="s">
        <v>1483</v>
      </c>
      <c r="C1059" s="337" t="s">
        <v>9</v>
      </c>
      <c r="D1059" s="339">
        <v>103.52</v>
      </c>
    </row>
    <row r="1060" spans="1:4" ht="54">
      <c r="A1060" s="337">
        <v>93432</v>
      </c>
      <c r="B1060" s="338" t="s">
        <v>1484</v>
      </c>
      <c r="C1060" s="337" t="s">
        <v>9</v>
      </c>
      <c r="D1060" s="340">
        <v>1771.2</v>
      </c>
    </row>
    <row r="1061" spans="1:4" ht="40.5">
      <c r="A1061" s="337">
        <v>93435</v>
      </c>
      <c r="B1061" s="338" t="s">
        <v>1485</v>
      </c>
      <c r="C1061" s="337" t="s">
        <v>9</v>
      </c>
      <c r="D1061" s="339">
        <v>3.48</v>
      </c>
    </row>
    <row r="1062" spans="1:4" ht="40.5">
      <c r="A1062" s="337">
        <v>93436</v>
      </c>
      <c r="B1062" s="338" t="s">
        <v>1486</v>
      </c>
      <c r="C1062" s="337" t="s">
        <v>9</v>
      </c>
      <c r="D1062" s="339">
        <v>1.39</v>
      </c>
    </row>
    <row r="1063" spans="1:4" ht="40.5">
      <c r="A1063" s="337">
        <v>93437</v>
      </c>
      <c r="B1063" s="338" t="s">
        <v>1487</v>
      </c>
      <c r="C1063" s="337" t="s">
        <v>9</v>
      </c>
      <c r="D1063" s="339">
        <v>6.53</v>
      </c>
    </row>
    <row r="1064" spans="1:4" ht="40.5">
      <c r="A1064" s="337">
        <v>93438</v>
      </c>
      <c r="B1064" s="338" t="s">
        <v>1488</v>
      </c>
      <c r="C1064" s="337" t="s">
        <v>9</v>
      </c>
      <c r="D1064" s="339">
        <v>17.37</v>
      </c>
    </row>
    <row r="1065" spans="1:4" ht="40.5">
      <c r="A1065" s="337">
        <v>95114</v>
      </c>
      <c r="B1065" s="338" t="s">
        <v>1489</v>
      </c>
      <c r="C1065" s="337" t="s">
        <v>9</v>
      </c>
      <c r="D1065" s="339">
        <v>1.22</v>
      </c>
    </row>
    <row r="1066" spans="1:4" ht="40.5">
      <c r="A1066" s="337">
        <v>95115</v>
      </c>
      <c r="B1066" s="338" t="s">
        <v>1490</v>
      </c>
      <c r="C1066" s="337" t="s">
        <v>9</v>
      </c>
      <c r="D1066" s="339">
        <v>0.27</v>
      </c>
    </row>
    <row r="1067" spans="1:4" ht="40.5">
      <c r="A1067" s="337">
        <v>95116</v>
      </c>
      <c r="B1067" s="338" t="s">
        <v>1491</v>
      </c>
      <c r="C1067" s="337" t="s">
        <v>9</v>
      </c>
      <c r="D1067" s="339">
        <v>31.99</v>
      </c>
    </row>
    <row r="1068" spans="1:4" ht="40.5">
      <c r="A1068" s="337">
        <v>95117</v>
      </c>
      <c r="B1068" s="338" t="s">
        <v>1492</v>
      </c>
      <c r="C1068" s="337" t="s">
        <v>9</v>
      </c>
      <c r="D1068" s="339">
        <v>9.59</v>
      </c>
    </row>
    <row r="1069" spans="1:4" ht="40.5">
      <c r="A1069" s="337">
        <v>95118</v>
      </c>
      <c r="B1069" s="338" t="s">
        <v>1493</v>
      </c>
      <c r="C1069" s="337" t="s">
        <v>9</v>
      </c>
      <c r="D1069" s="339">
        <v>33.22</v>
      </c>
    </row>
    <row r="1070" spans="1:4" ht="40.5">
      <c r="A1070" s="337">
        <v>95119</v>
      </c>
      <c r="B1070" s="338" t="s">
        <v>1494</v>
      </c>
      <c r="C1070" s="337" t="s">
        <v>9</v>
      </c>
      <c r="D1070" s="339">
        <v>11.37</v>
      </c>
    </row>
    <row r="1071" spans="1:4" ht="40.5">
      <c r="A1071" s="337">
        <v>95120</v>
      </c>
      <c r="B1071" s="338" t="s">
        <v>1495</v>
      </c>
      <c r="C1071" s="337" t="s">
        <v>9</v>
      </c>
      <c r="D1071" s="339">
        <v>32.51</v>
      </c>
    </row>
    <row r="1072" spans="1:4" ht="54">
      <c r="A1072" s="337">
        <v>95123</v>
      </c>
      <c r="B1072" s="338" t="s">
        <v>1496</v>
      </c>
      <c r="C1072" s="337" t="s">
        <v>9</v>
      </c>
      <c r="D1072" s="339">
        <v>10.55</v>
      </c>
    </row>
    <row r="1073" spans="1:4" ht="40.5">
      <c r="A1073" s="337">
        <v>95124</v>
      </c>
      <c r="B1073" s="338" t="s">
        <v>1497</v>
      </c>
      <c r="C1073" s="337" t="s">
        <v>9</v>
      </c>
      <c r="D1073" s="339">
        <v>3.16</v>
      </c>
    </row>
    <row r="1074" spans="1:4" ht="40.5">
      <c r="A1074" s="337">
        <v>95125</v>
      </c>
      <c r="B1074" s="338" t="s">
        <v>1498</v>
      </c>
      <c r="C1074" s="337" t="s">
        <v>9</v>
      </c>
      <c r="D1074" s="339">
        <v>11.55</v>
      </c>
    </row>
    <row r="1075" spans="1:4" ht="54">
      <c r="A1075" s="337">
        <v>95126</v>
      </c>
      <c r="B1075" s="338" t="s">
        <v>1499</v>
      </c>
      <c r="C1075" s="337" t="s">
        <v>9</v>
      </c>
      <c r="D1075" s="339">
        <v>86.05</v>
      </c>
    </row>
    <row r="1076" spans="1:4" ht="40.5">
      <c r="A1076" s="337">
        <v>95129</v>
      </c>
      <c r="B1076" s="338" t="s">
        <v>1500</v>
      </c>
      <c r="C1076" s="337" t="s">
        <v>9</v>
      </c>
      <c r="D1076" s="339">
        <v>18.73</v>
      </c>
    </row>
    <row r="1077" spans="1:4" ht="40.5">
      <c r="A1077" s="337">
        <v>95130</v>
      </c>
      <c r="B1077" s="338" t="s">
        <v>1501</v>
      </c>
      <c r="C1077" s="337" t="s">
        <v>9</v>
      </c>
      <c r="D1077" s="339">
        <v>6.55</v>
      </c>
    </row>
    <row r="1078" spans="1:4" ht="40.5">
      <c r="A1078" s="337">
        <v>95131</v>
      </c>
      <c r="B1078" s="338" t="s">
        <v>1502</v>
      </c>
      <c r="C1078" s="337" t="s">
        <v>9</v>
      </c>
      <c r="D1078" s="339">
        <v>35.119999999999997</v>
      </c>
    </row>
    <row r="1079" spans="1:4" ht="40.5">
      <c r="A1079" s="337">
        <v>95132</v>
      </c>
      <c r="B1079" s="338" t="s">
        <v>1503</v>
      </c>
      <c r="C1079" s="337" t="s">
        <v>9</v>
      </c>
      <c r="D1079" s="339">
        <v>18.809999999999999</v>
      </c>
    </row>
    <row r="1080" spans="1:4" ht="40.5">
      <c r="A1080" s="337">
        <v>95136</v>
      </c>
      <c r="B1080" s="338" t="s">
        <v>1504</v>
      </c>
      <c r="C1080" s="337" t="s">
        <v>9</v>
      </c>
      <c r="D1080" s="339">
        <v>0.03</v>
      </c>
    </row>
    <row r="1081" spans="1:4" ht="40.5">
      <c r="A1081" s="337">
        <v>95137</v>
      </c>
      <c r="B1081" s="338" t="s">
        <v>1505</v>
      </c>
      <c r="C1081" s="337" t="s">
        <v>9</v>
      </c>
      <c r="D1081" s="339">
        <v>0.01</v>
      </c>
    </row>
    <row r="1082" spans="1:4" ht="40.5">
      <c r="A1082" s="337">
        <v>95138</v>
      </c>
      <c r="B1082" s="338" t="s">
        <v>1506</v>
      </c>
      <c r="C1082" s="337" t="s">
        <v>9</v>
      </c>
      <c r="D1082" s="339">
        <v>0.02</v>
      </c>
    </row>
    <row r="1083" spans="1:4" ht="40.5">
      <c r="A1083" s="337">
        <v>95208</v>
      </c>
      <c r="B1083" s="338" t="s">
        <v>1507</v>
      </c>
      <c r="C1083" s="337" t="s">
        <v>9</v>
      </c>
      <c r="D1083" s="339">
        <v>24.66</v>
      </c>
    </row>
    <row r="1084" spans="1:4" ht="40.5">
      <c r="A1084" s="337">
        <v>95209</v>
      </c>
      <c r="B1084" s="338" t="s">
        <v>1508</v>
      </c>
      <c r="C1084" s="337" t="s">
        <v>9</v>
      </c>
      <c r="D1084" s="339">
        <v>5.54</v>
      </c>
    </row>
    <row r="1085" spans="1:4" ht="40.5">
      <c r="A1085" s="337">
        <v>95210</v>
      </c>
      <c r="B1085" s="338" t="s">
        <v>1509</v>
      </c>
      <c r="C1085" s="337" t="s">
        <v>9</v>
      </c>
      <c r="D1085" s="339">
        <v>26.97</v>
      </c>
    </row>
    <row r="1086" spans="1:4" ht="40.5">
      <c r="A1086" s="337">
        <v>95211</v>
      </c>
      <c r="B1086" s="338" t="s">
        <v>1510</v>
      </c>
      <c r="C1086" s="337" t="s">
        <v>9</v>
      </c>
      <c r="D1086" s="339">
        <v>4.76</v>
      </c>
    </row>
    <row r="1087" spans="1:4" ht="40.5">
      <c r="A1087" s="337">
        <v>95214</v>
      </c>
      <c r="B1087" s="338" t="s">
        <v>1511</v>
      </c>
      <c r="C1087" s="337" t="s">
        <v>9</v>
      </c>
      <c r="D1087" s="339">
        <v>0.85</v>
      </c>
    </row>
    <row r="1088" spans="1:4" ht="40.5">
      <c r="A1088" s="337">
        <v>95215</v>
      </c>
      <c r="B1088" s="338" t="s">
        <v>1512</v>
      </c>
      <c r="C1088" s="337" t="s">
        <v>9</v>
      </c>
      <c r="D1088" s="339">
        <v>0.17</v>
      </c>
    </row>
    <row r="1089" spans="1:4" ht="40.5">
      <c r="A1089" s="337">
        <v>95216</v>
      </c>
      <c r="B1089" s="338" t="s">
        <v>1513</v>
      </c>
      <c r="C1089" s="337" t="s">
        <v>9</v>
      </c>
      <c r="D1089" s="339">
        <v>0.59</v>
      </c>
    </row>
    <row r="1090" spans="1:4" ht="40.5">
      <c r="A1090" s="337">
        <v>95217</v>
      </c>
      <c r="B1090" s="338" t="s">
        <v>1514</v>
      </c>
      <c r="C1090" s="337" t="s">
        <v>9</v>
      </c>
      <c r="D1090" s="339">
        <v>0.32</v>
      </c>
    </row>
    <row r="1091" spans="1:4" ht="27">
      <c r="A1091" s="337">
        <v>95255</v>
      </c>
      <c r="B1091" s="338" t="s">
        <v>1515</v>
      </c>
      <c r="C1091" s="337" t="s">
        <v>9</v>
      </c>
      <c r="D1091" s="339">
        <v>1.08</v>
      </c>
    </row>
    <row r="1092" spans="1:4" ht="27">
      <c r="A1092" s="337">
        <v>95256</v>
      </c>
      <c r="B1092" s="338" t="s">
        <v>1516</v>
      </c>
      <c r="C1092" s="337" t="s">
        <v>9</v>
      </c>
      <c r="D1092" s="339">
        <v>0.24</v>
      </c>
    </row>
    <row r="1093" spans="1:4" ht="27">
      <c r="A1093" s="337">
        <v>95257</v>
      </c>
      <c r="B1093" s="338" t="s">
        <v>1517</v>
      </c>
      <c r="C1093" s="337" t="s">
        <v>9</v>
      </c>
      <c r="D1093" s="339">
        <v>1.35</v>
      </c>
    </row>
    <row r="1094" spans="1:4" ht="40.5">
      <c r="A1094" s="337">
        <v>95260</v>
      </c>
      <c r="B1094" s="338" t="s">
        <v>1518</v>
      </c>
      <c r="C1094" s="337" t="s">
        <v>9</v>
      </c>
      <c r="D1094" s="339">
        <v>0.51</v>
      </c>
    </row>
    <row r="1095" spans="1:4" ht="40.5">
      <c r="A1095" s="337">
        <v>95261</v>
      </c>
      <c r="B1095" s="338" t="s">
        <v>1519</v>
      </c>
      <c r="C1095" s="337" t="s">
        <v>9</v>
      </c>
      <c r="D1095" s="339">
        <v>0.23</v>
      </c>
    </row>
    <row r="1096" spans="1:4" ht="40.5">
      <c r="A1096" s="337">
        <v>95262</v>
      </c>
      <c r="B1096" s="338" t="s">
        <v>1520</v>
      </c>
      <c r="C1096" s="337" t="s">
        <v>9</v>
      </c>
      <c r="D1096" s="339">
        <v>1.1299999999999999</v>
      </c>
    </row>
    <row r="1097" spans="1:4" ht="54">
      <c r="A1097" s="337">
        <v>95263</v>
      </c>
      <c r="B1097" s="338" t="s">
        <v>1521</v>
      </c>
      <c r="C1097" s="337" t="s">
        <v>9</v>
      </c>
      <c r="D1097" s="339">
        <v>2.0299999999999998</v>
      </c>
    </row>
    <row r="1098" spans="1:4" ht="54">
      <c r="A1098" s="337">
        <v>95266</v>
      </c>
      <c r="B1098" s="338" t="s">
        <v>1522</v>
      </c>
      <c r="C1098" s="337" t="s">
        <v>9</v>
      </c>
      <c r="D1098" s="339">
        <v>0.41</v>
      </c>
    </row>
    <row r="1099" spans="1:4" ht="54">
      <c r="A1099" s="337">
        <v>95267</v>
      </c>
      <c r="B1099" s="338" t="s">
        <v>1523</v>
      </c>
      <c r="C1099" s="337" t="s">
        <v>9</v>
      </c>
      <c r="D1099" s="339">
        <v>0.08</v>
      </c>
    </row>
    <row r="1100" spans="1:4" ht="54">
      <c r="A1100" s="337">
        <v>95268</v>
      </c>
      <c r="B1100" s="338" t="s">
        <v>1524</v>
      </c>
      <c r="C1100" s="337" t="s">
        <v>9</v>
      </c>
      <c r="D1100" s="339">
        <v>0.4</v>
      </c>
    </row>
    <row r="1101" spans="1:4" ht="54">
      <c r="A1101" s="337">
        <v>95269</v>
      </c>
      <c r="B1101" s="338" t="s">
        <v>1525</v>
      </c>
      <c r="C1101" s="337" t="s">
        <v>9</v>
      </c>
      <c r="D1101" s="339">
        <v>3.78</v>
      </c>
    </row>
    <row r="1102" spans="1:4" ht="40.5">
      <c r="A1102" s="337">
        <v>95272</v>
      </c>
      <c r="B1102" s="338" t="s">
        <v>1526</v>
      </c>
      <c r="C1102" s="337" t="s">
        <v>9</v>
      </c>
      <c r="D1102" s="339">
        <v>0.4</v>
      </c>
    </row>
    <row r="1103" spans="1:4" ht="40.5">
      <c r="A1103" s="337">
        <v>95273</v>
      </c>
      <c r="B1103" s="338" t="s">
        <v>1527</v>
      </c>
      <c r="C1103" s="337" t="s">
        <v>9</v>
      </c>
      <c r="D1103" s="339">
        <v>0.09</v>
      </c>
    </row>
    <row r="1104" spans="1:4" ht="40.5">
      <c r="A1104" s="337">
        <v>95274</v>
      </c>
      <c r="B1104" s="338" t="s">
        <v>1528</v>
      </c>
      <c r="C1104" s="337" t="s">
        <v>9</v>
      </c>
      <c r="D1104" s="339">
        <v>0.31</v>
      </c>
    </row>
    <row r="1105" spans="1:4" ht="54">
      <c r="A1105" s="337">
        <v>95275</v>
      </c>
      <c r="B1105" s="338" t="s">
        <v>1529</v>
      </c>
      <c r="C1105" s="337" t="s">
        <v>9</v>
      </c>
      <c r="D1105" s="339">
        <v>1.29</v>
      </c>
    </row>
    <row r="1106" spans="1:4" ht="40.5">
      <c r="A1106" s="337">
        <v>95278</v>
      </c>
      <c r="B1106" s="338" t="s">
        <v>1530</v>
      </c>
      <c r="C1106" s="337" t="s">
        <v>9</v>
      </c>
      <c r="D1106" s="339">
        <v>0.44</v>
      </c>
    </row>
    <row r="1107" spans="1:4" ht="40.5">
      <c r="A1107" s="337">
        <v>95279</v>
      </c>
      <c r="B1107" s="338" t="s">
        <v>1531</v>
      </c>
      <c r="C1107" s="337" t="s">
        <v>9</v>
      </c>
      <c r="D1107" s="339">
        <v>0.09</v>
      </c>
    </row>
    <row r="1108" spans="1:4" ht="40.5">
      <c r="A1108" s="337">
        <v>95280</v>
      </c>
      <c r="B1108" s="338" t="s">
        <v>1532</v>
      </c>
      <c r="C1108" s="337" t="s">
        <v>9</v>
      </c>
      <c r="D1108" s="339">
        <v>0.34</v>
      </c>
    </row>
    <row r="1109" spans="1:4" ht="54">
      <c r="A1109" s="337">
        <v>95281</v>
      </c>
      <c r="B1109" s="338" t="s">
        <v>1533</v>
      </c>
      <c r="C1109" s="337" t="s">
        <v>9</v>
      </c>
      <c r="D1109" s="339">
        <v>3.78</v>
      </c>
    </row>
    <row r="1110" spans="1:4" ht="67.5">
      <c r="A1110" s="337">
        <v>95617</v>
      </c>
      <c r="B1110" s="338" t="s">
        <v>1534</v>
      </c>
      <c r="C1110" s="337" t="s">
        <v>9</v>
      </c>
      <c r="D1110" s="339">
        <v>0.88</v>
      </c>
    </row>
    <row r="1111" spans="1:4" ht="54">
      <c r="A1111" s="337">
        <v>95618</v>
      </c>
      <c r="B1111" s="338" t="s">
        <v>1535</v>
      </c>
      <c r="C1111" s="337" t="s">
        <v>9</v>
      </c>
      <c r="D1111" s="339">
        <v>0.2</v>
      </c>
    </row>
    <row r="1112" spans="1:4" ht="67.5">
      <c r="A1112" s="337">
        <v>95619</v>
      </c>
      <c r="B1112" s="338" t="s">
        <v>1536</v>
      </c>
      <c r="C1112" s="337" t="s">
        <v>9</v>
      </c>
      <c r="D1112" s="339">
        <v>1.1100000000000001</v>
      </c>
    </row>
    <row r="1113" spans="1:4" ht="67.5">
      <c r="A1113" s="337">
        <v>95627</v>
      </c>
      <c r="B1113" s="338" t="s">
        <v>1537</v>
      </c>
      <c r="C1113" s="337" t="s">
        <v>9</v>
      </c>
      <c r="D1113" s="339">
        <v>20.96</v>
      </c>
    </row>
    <row r="1114" spans="1:4" ht="54">
      <c r="A1114" s="337">
        <v>95628</v>
      </c>
      <c r="B1114" s="338" t="s">
        <v>1538</v>
      </c>
      <c r="C1114" s="337" t="s">
        <v>9</v>
      </c>
      <c r="D1114" s="339">
        <v>5.5</v>
      </c>
    </row>
    <row r="1115" spans="1:4" ht="67.5">
      <c r="A1115" s="337">
        <v>95629</v>
      </c>
      <c r="B1115" s="338" t="s">
        <v>1539</v>
      </c>
      <c r="C1115" s="337" t="s">
        <v>9</v>
      </c>
      <c r="D1115" s="339">
        <v>26.23</v>
      </c>
    </row>
    <row r="1116" spans="1:4" ht="67.5">
      <c r="A1116" s="337">
        <v>95630</v>
      </c>
      <c r="B1116" s="338" t="s">
        <v>1540</v>
      </c>
      <c r="C1116" s="337" t="s">
        <v>9</v>
      </c>
      <c r="D1116" s="339">
        <v>61.95</v>
      </c>
    </row>
    <row r="1117" spans="1:4" ht="40.5">
      <c r="A1117" s="337">
        <v>95698</v>
      </c>
      <c r="B1117" s="338" t="s">
        <v>1541</v>
      </c>
      <c r="C1117" s="337" t="s">
        <v>9</v>
      </c>
      <c r="D1117" s="339">
        <v>3.6</v>
      </c>
    </row>
    <row r="1118" spans="1:4" ht="40.5">
      <c r="A1118" s="337">
        <v>95699</v>
      </c>
      <c r="B1118" s="338" t="s">
        <v>1542</v>
      </c>
      <c r="C1118" s="337" t="s">
        <v>9</v>
      </c>
      <c r="D1118" s="339">
        <v>0.81</v>
      </c>
    </row>
    <row r="1119" spans="1:4" ht="40.5">
      <c r="A1119" s="337">
        <v>95700</v>
      </c>
      <c r="B1119" s="338" t="s">
        <v>1543</v>
      </c>
      <c r="C1119" s="337" t="s">
        <v>9</v>
      </c>
      <c r="D1119" s="339">
        <v>4.5</v>
      </c>
    </row>
    <row r="1120" spans="1:4" ht="54">
      <c r="A1120" s="337">
        <v>95701</v>
      </c>
      <c r="B1120" s="338" t="s">
        <v>1544</v>
      </c>
      <c r="C1120" s="337" t="s">
        <v>9</v>
      </c>
      <c r="D1120" s="339">
        <v>1.59</v>
      </c>
    </row>
    <row r="1121" spans="1:4" ht="54">
      <c r="A1121" s="337">
        <v>95704</v>
      </c>
      <c r="B1121" s="338" t="s">
        <v>1545</v>
      </c>
      <c r="C1121" s="337" t="s">
        <v>9</v>
      </c>
      <c r="D1121" s="339">
        <v>23.49</v>
      </c>
    </row>
    <row r="1122" spans="1:4" ht="54">
      <c r="A1122" s="337">
        <v>95705</v>
      </c>
      <c r="B1122" s="338" t="s">
        <v>1546</v>
      </c>
      <c r="C1122" s="337" t="s">
        <v>9</v>
      </c>
      <c r="D1122" s="339">
        <v>6.17</v>
      </c>
    </row>
    <row r="1123" spans="1:4" ht="54">
      <c r="A1123" s="337">
        <v>95706</v>
      </c>
      <c r="B1123" s="338" t="s">
        <v>1547</v>
      </c>
      <c r="C1123" s="337" t="s">
        <v>9</v>
      </c>
      <c r="D1123" s="339">
        <v>29.39</v>
      </c>
    </row>
    <row r="1124" spans="1:4" ht="54">
      <c r="A1124" s="337">
        <v>95707</v>
      </c>
      <c r="B1124" s="338" t="s">
        <v>1548</v>
      </c>
      <c r="C1124" s="337" t="s">
        <v>9</v>
      </c>
      <c r="D1124" s="339">
        <v>17.78</v>
      </c>
    </row>
    <row r="1125" spans="1:4" ht="67.5">
      <c r="A1125" s="337">
        <v>95710</v>
      </c>
      <c r="B1125" s="338" t="s">
        <v>1549</v>
      </c>
      <c r="C1125" s="337" t="s">
        <v>9</v>
      </c>
      <c r="D1125" s="339">
        <v>28.23</v>
      </c>
    </row>
    <row r="1126" spans="1:4" ht="67.5">
      <c r="A1126" s="337">
        <v>95711</v>
      </c>
      <c r="B1126" s="338" t="s">
        <v>1550</v>
      </c>
      <c r="C1126" s="337" t="s">
        <v>9</v>
      </c>
      <c r="D1126" s="339">
        <v>7.26</v>
      </c>
    </row>
    <row r="1127" spans="1:4" ht="67.5">
      <c r="A1127" s="337">
        <v>95712</v>
      </c>
      <c r="B1127" s="338" t="s">
        <v>1551</v>
      </c>
      <c r="C1127" s="337" t="s">
        <v>9</v>
      </c>
      <c r="D1127" s="339">
        <v>35.29</v>
      </c>
    </row>
    <row r="1128" spans="1:4" ht="67.5">
      <c r="A1128" s="337">
        <v>95713</v>
      </c>
      <c r="B1128" s="338" t="s">
        <v>1552</v>
      </c>
      <c r="C1128" s="337" t="s">
        <v>9</v>
      </c>
      <c r="D1128" s="339">
        <v>76.78</v>
      </c>
    </row>
    <row r="1129" spans="1:4" ht="81">
      <c r="A1129" s="337">
        <v>95716</v>
      </c>
      <c r="B1129" s="338" t="s">
        <v>1553</v>
      </c>
      <c r="C1129" s="337" t="s">
        <v>9</v>
      </c>
      <c r="D1129" s="339">
        <v>27.18</v>
      </c>
    </row>
    <row r="1130" spans="1:4" ht="81">
      <c r="A1130" s="337">
        <v>95717</v>
      </c>
      <c r="B1130" s="338" t="s">
        <v>1554</v>
      </c>
      <c r="C1130" s="337" t="s">
        <v>9</v>
      </c>
      <c r="D1130" s="339">
        <v>6.98</v>
      </c>
    </row>
    <row r="1131" spans="1:4" ht="81">
      <c r="A1131" s="337">
        <v>95718</v>
      </c>
      <c r="B1131" s="338" t="s">
        <v>1555</v>
      </c>
      <c r="C1131" s="337" t="s">
        <v>9</v>
      </c>
      <c r="D1131" s="339">
        <v>33.97</v>
      </c>
    </row>
    <row r="1132" spans="1:4" ht="81">
      <c r="A1132" s="337">
        <v>95719</v>
      </c>
      <c r="B1132" s="338" t="s">
        <v>1556</v>
      </c>
      <c r="C1132" s="337" t="s">
        <v>9</v>
      </c>
      <c r="D1132" s="339">
        <v>76.78</v>
      </c>
    </row>
    <row r="1133" spans="1:4" ht="40.5">
      <c r="A1133" s="337">
        <v>95869</v>
      </c>
      <c r="B1133" s="338" t="s">
        <v>1557</v>
      </c>
      <c r="C1133" s="337" t="s">
        <v>9</v>
      </c>
      <c r="D1133" s="339">
        <v>1.52</v>
      </c>
    </row>
    <row r="1134" spans="1:4" ht="40.5">
      <c r="A1134" s="337">
        <v>95870</v>
      </c>
      <c r="B1134" s="338" t="s">
        <v>1558</v>
      </c>
      <c r="C1134" s="337" t="s">
        <v>9</v>
      </c>
      <c r="D1134" s="339">
        <v>3.96</v>
      </c>
    </row>
    <row r="1135" spans="1:4" ht="54">
      <c r="A1135" s="337">
        <v>95871</v>
      </c>
      <c r="B1135" s="338" t="s">
        <v>1559</v>
      </c>
      <c r="C1135" s="337" t="s">
        <v>9</v>
      </c>
      <c r="D1135" s="339">
        <v>159.55000000000001</v>
      </c>
    </row>
    <row r="1136" spans="1:4" ht="40.5">
      <c r="A1136" s="337">
        <v>95874</v>
      </c>
      <c r="B1136" s="338" t="s">
        <v>1560</v>
      </c>
      <c r="C1136" s="337" t="s">
        <v>9</v>
      </c>
      <c r="D1136" s="339">
        <v>4.4400000000000004</v>
      </c>
    </row>
    <row r="1137" spans="1:4" ht="40.5">
      <c r="A1137" s="337">
        <v>96008</v>
      </c>
      <c r="B1137" s="338" t="s">
        <v>1561</v>
      </c>
      <c r="C1137" s="337" t="s">
        <v>9</v>
      </c>
      <c r="D1137" s="339">
        <v>11.45</v>
      </c>
    </row>
    <row r="1138" spans="1:4" ht="40.5">
      <c r="A1138" s="337">
        <v>96009</v>
      </c>
      <c r="B1138" s="338" t="s">
        <v>1562</v>
      </c>
      <c r="C1138" s="337" t="s">
        <v>9</v>
      </c>
      <c r="D1138" s="339">
        <v>3</v>
      </c>
    </row>
    <row r="1139" spans="1:4" ht="40.5">
      <c r="A1139" s="337">
        <v>96011</v>
      </c>
      <c r="B1139" s="338" t="s">
        <v>1563</v>
      </c>
      <c r="C1139" s="337" t="s">
        <v>9</v>
      </c>
      <c r="D1139" s="339">
        <v>12.52</v>
      </c>
    </row>
    <row r="1140" spans="1:4" ht="54">
      <c r="A1140" s="337">
        <v>96012</v>
      </c>
      <c r="B1140" s="338" t="s">
        <v>1564</v>
      </c>
      <c r="C1140" s="337" t="s">
        <v>9</v>
      </c>
      <c r="D1140" s="339">
        <v>59.63</v>
      </c>
    </row>
    <row r="1141" spans="1:4" ht="40.5">
      <c r="A1141" s="337">
        <v>96015</v>
      </c>
      <c r="B1141" s="338" t="s">
        <v>1565</v>
      </c>
      <c r="C1141" s="337" t="s">
        <v>9</v>
      </c>
      <c r="D1141" s="339">
        <v>11.35</v>
      </c>
    </row>
    <row r="1142" spans="1:4" ht="40.5">
      <c r="A1142" s="337">
        <v>96016</v>
      </c>
      <c r="B1142" s="338" t="s">
        <v>1566</v>
      </c>
      <c r="C1142" s="337" t="s">
        <v>9</v>
      </c>
      <c r="D1142" s="339">
        <v>2.98</v>
      </c>
    </row>
    <row r="1143" spans="1:4" ht="40.5">
      <c r="A1143" s="337">
        <v>96018</v>
      </c>
      <c r="B1143" s="338" t="s">
        <v>1567</v>
      </c>
      <c r="C1143" s="337" t="s">
        <v>9</v>
      </c>
      <c r="D1143" s="339">
        <v>12.42</v>
      </c>
    </row>
    <row r="1144" spans="1:4" ht="54">
      <c r="A1144" s="337">
        <v>96019</v>
      </c>
      <c r="B1144" s="338" t="s">
        <v>1568</v>
      </c>
      <c r="C1144" s="337" t="s">
        <v>9</v>
      </c>
      <c r="D1144" s="339">
        <v>59.63</v>
      </c>
    </row>
    <row r="1145" spans="1:4" ht="40.5">
      <c r="A1145" s="337">
        <v>96023</v>
      </c>
      <c r="B1145" s="338" t="s">
        <v>1569</v>
      </c>
      <c r="C1145" s="337" t="s">
        <v>9</v>
      </c>
      <c r="D1145" s="339">
        <v>8.74</v>
      </c>
    </row>
    <row r="1146" spans="1:4" ht="40.5">
      <c r="A1146" s="337">
        <v>96024</v>
      </c>
      <c r="B1146" s="338" t="s">
        <v>1570</v>
      </c>
      <c r="C1146" s="337" t="s">
        <v>9</v>
      </c>
      <c r="D1146" s="339">
        <v>2.29</v>
      </c>
    </row>
    <row r="1147" spans="1:4" ht="40.5">
      <c r="A1147" s="337">
        <v>96026</v>
      </c>
      <c r="B1147" s="338" t="s">
        <v>1571</v>
      </c>
      <c r="C1147" s="337" t="s">
        <v>9</v>
      </c>
      <c r="D1147" s="339">
        <v>9.56</v>
      </c>
    </row>
    <row r="1148" spans="1:4" ht="54">
      <c r="A1148" s="337">
        <v>96027</v>
      </c>
      <c r="B1148" s="338" t="s">
        <v>1572</v>
      </c>
      <c r="C1148" s="337" t="s">
        <v>9</v>
      </c>
      <c r="D1148" s="339">
        <v>41.54</v>
      </c>
    </row>
    <row r="1149" spans="1:4" ht="54">
      <c r="A1149" s="337">
        <v>96030</v>
      </c>
      <c r="B1149" s="338" t="s">
        <v>1573</v>
      </c>
      <c r="C1149" s="337" t="s">
        <v>9</v>
      </c>
      <c r="D1149" s="339">
        <v>15.08</v>
      </c>
    </row>
    <row r="1150" spans="1:4" ht="54">
      <c r="A1150" s="337">
        <v>96031</v>
      </c>
      <c r="B1150" s="338" t="s">
        <v>1574</v>
      </c>
      <c r="C1150" s="337" t="s">
        <v>9</v>
      </c>
      <c r="D1150" s="339">
        <v>5.27</v>
      </c>
    </row>
    <row r="1151" spans="1:4" ht="67.5">
      <c r="A1151" s="337">
        <v>96032</v>
      </c>
      <c r="B1151" s="338" t="s">
        <v>1575</v>
      </c>
      <c r="C1151" s="337" t="s">
        <v>9</v>
      </c>
      <c r="D1151" s="339">
        <v>1.08</v>
      </c>
    </row>
    <row r="1152" spans="1:4" ht="54">
      <c r="A1152" s="337">
        <v>96033</v>
      </c>
      <c r="B1152" s="338" t="s">
        <v>1576</v>
      </c>
      <c r="C1152" s="337" t="s">
        <v>9</v>
      </c>
      <c r="D1152" s="339">
        <v>28.29</v>
      </c>
    </row>
    <row r="1153" spans="1:4" ht="67.5">
      <c r="A1153" s="337">
        <v>96034</v>
      </c>
      <c r="B1153" s="338" t="s">
        <v>1577</v>
      </c>
      <c r="C1153" s="337" t="s">
        <v>9</v>
      </c>
      <c r="D1153" s="339">
        <v>112.43</v>
      </c>
    </row>
    <row r="1154" spans="1:4" ht="40.5">
      <c r="A1154" s="337">
        <v>96053</v>
      </c>
      <c r="B1154" s="338" t="s">
        <v>1578</v>
      </c>
      <c r="C1154" s="337" t="s">
        <v>9</v>
      </c>
      <c r="D1154" s="339">
        <v>8.84</v>
      </c>
    </row>
    <row r="1155" spans="1:4" ht="54">
      <c r="A1155" s="337">
        <v>96054</v>
      </c>
      <c r="B1155" s="338" t="s">
        <v>1579</v>
      </c>
      <c r="C1155" s="337" t="s">
        <v>9</v>
      </c>
      <c r="D1155" s="339">
        <v>13.69</v>
      </c>
    </row>
    <row r="1156" spans="1:4" ht="40.5">
      <c r="A1156" s="337">
        <v>96055</v>
      </c>
      <c r="B1156" s="338" t="s">
        <v>1580</v>
      </c>
      <c r="C1156" s="337" t="s">
        <v>9</v>
      </c>
      <c r="D1156" s="339">
        <v>2.31</v>
      </c>
    </row>
    <row r="1157" spans="1:4" ht="40.5">
      <c r="A1157" s="337">
        <v>96056</v>
      </c>
      <c r="B1157" s="338" t="s">
        <v>1581</v>
      </c>
      <c r="C1157" s="337" t="s">
        <v>9</v>
      </c>
      <c r="D1157" s="339">
        <v>9.66</v>
      </c>
    </row>
    <row r="1158" spans="1:4" ht="54">
      <c r="A1158" s="337">
        <v>96057</v>
      </c>
      <c r="B1158" s="338" t="s">
        <v>1582</v>
      </c>
      <c r="C1158" s="337" t="s">
        <v>9</v>
      </c>
      <c r="D1158" s="339">
        <v>41.54</v>
      </c>
    </row>
    <row r="1159" spans="1:4" ht="54">
      <c r="A1159" s="337">
        <v>96060</v>
      </c>
      <c r="B1159" s="338" t="s">
        <v>1583</v>
      </c>
      <c r="C1159" s="337" t="s">
        <v>9</v>
      </c>
      <c r="D1159" s="339">
        <v>2.63</v>
      </c>
    </row>
    <row r="1160" spans="1:4" ht="54">
      <c r="A1160" s="337">
        <v>96061</v>
      </c>
      <c r="B1160" s="338" t="s">
        <v>1584</v>
      </c>
      <c r="C1160" s="337" t="s">
        <v>9</v>
      </c>
      <c r="D1160" s="339">
        <v>17.12</v>
      </c>
    </row>
    <row r="1161" spans="1:4" ht="54">
      <c r="A1161" s="337">
        <v>96062</v>
      </c>
      <c r="B1161" s="338" t="s">
        <v>1585</v>
      </c>
      <c r="C1161" s="337" t="s">
        <v>9</v>
      </c>
      <c r="D1161" s="339">
        <v>23.28</v>
      </c>
    </row>
    <row r="1162" spans="1:4" ht="54">
      <c r="A1162" s="337">
        <v>96241</v>
      </c>
      <c r="B1162" s="338" t="s">
        <v>1586</v>
      </c>
      <c r="C1162" s="337" t="s">
        <v>9</v>
      </c>
      <c r="D1162" s="339">
        <v>11.9</v>
      </c>
    </row>
    <row r="1163" spans="1:4" ht="54">
      <c r="A1163" s="337">
        <v>96242</v>
      </c>
      <c r="B1163" s="338" t="s">
        <v>1587</v>
      </c>
      <c r="C1163" s="337" t="s">
        <v>9</v>
      </c>
      <c r="D1163" s="339">
        <v>3.06</v>
      </c>
    </row>
    <row r="1164" spans="1:4" ht="54">
      <c r="A1164" s="337">
        <v>96243</v>
      </c>
      <c r="B1164" s="338" t="s">
        <v>1588</v>
      </c>
      <c r="C1164" s="337" t="s">
        <v>9</v>
      </c>
      <c r="D1164" s="339">
        <v>14.87</v>
      </c>
    </row>
    <row r="1165" spans="1:4" ht="54">
      <c r="A1165" s="337">
        <v>96244</v>
      </c>
      <c r="B1165" s="338" t="s">
        <v>1589</v>
      </c>
      <c r="C1165" s="337" t="s">
        <v>9</v>
      </c>
      <c r="D1165" s="339">
        <v>14.87</v>
      </c>
    </row>
    <row r="1166" spans="1:4" ht="54">
      <c r="A1166" s="337">
        <v>96298</v>
      </c>
      <c r="B1166" s="338" t="s">
        <v>1590</v>
      </c>
      <c r="C1166" s="337" t="s">
        <v>9</v>
      </c>
      <c r="D1166" s="339">
        <v>36.67</v>
      </c>
    </row>
    <row r="1167" spans="1:4" ht="40.5">
      <c r="A1167" s="337">
        <v>96299</v>
      </c>
      <c r="B1167" s="338" t="s">
        <v>1591</v>
      </c>
      <c r="C1167" s="337" t="s">
        <v>9</v>
      </c>
      <c r="D1167" s="339">
        <v>9.6300000000000008</v>
      </c>
    </row>
    <row r="1168" spans="1:4" ht="54">
      <c r="A1168" s="337">
        <v>96300</v>
      </c>
      <c r="B1168" s="338" t="s">
        <v>1592</v>
      </c>
      <c r="C1168" s="337" t="s">
        <v>9</v>
      </c>
      <c r="D1168" s="339">
        <v>45.89</v>
      </c>
    </row>
    <row r="1169" spans="1:4" ht="54">
      <c r="A1169" s="337">
        <v>96301</v>
      </c>
      <c r="B1169" s="338" t="s">
        <v>1593</v>
      </c>
      <c r="C1169" s="337" t="s">
        <v>9</v>
      </c>
      <c r="D1169" s="339">
        <v>54.5</v>
      </c>
    </row>
    <row r="1170" spans="1:4" ht="67.5">
      <c r="A1170" s="337">
        <v>96304</v>
      </c>
      <c r="B1170" s="338" t="s">
        <v>1594</v>
      </c>
      <c r="C1170" s="337" t="s">
        <v>9</v>
      </c>
      <c r="D1170" s="339">
        <v>0.09</v>
      </c>
    </row>
    <row r="1171" spans="1:4" ht="54">
      <c r="A1171" s="337">
        <v>96305</v>
      </c>
      <c r="B1171" s="338" t="s">
        <v>1595</v>
      </c>
      <c r="C1171" s="337" t="s">
        <v>9</v>
      </c>
      <c r="D1171" s="339">
        <v>0.02</v>
      </c>
    </row>
    <row r="1172" spans="1:4" ht="67.5">
      <c r="A1172" s="337">
        <v>96306</v>
      </c>
      <c r="B1172" s="338" t="s">
        <v>1596</v>
      </c>
      <c r="C1172" s="337" t="s">
        <v>9</v>
      </c>
      <c r="D1172" s="339">
        <v>0.11</v>
      </c>
    </row>
    <row r="1173" spans="1:4" ht="67.5">
      <c r="A1173" s="337">
        <v>96307</v>
      </c>
      <c r="B1173" s="338" t="s">
        <v>1597</v>
      </c>
      <c r="C1173" s="337" t="s">
        <v>9</v>
      </c>
      <c r="D1173" s="339">
        <v>0.64</v>
      </c>
    </row>
    <row r="1174" spans="1:4" ht="67.5">
      <c r="A1174" s="337">
        <v>96457</v>
      </c>
      <c r="B1174" s="338" t="s">
        <v>1598</v>
      </c>
      <c r="C1174" s="337" t="s">
        <v>9</v>
      </c>
      <c r="D1174" s="339">
        <v>54.5</v>
      </c>
    </row>
    <row r="1175" spans="1:4" ht="54">
      <c r="A1175" s="337">
        <v>96458</v>
      </c>
      <c r="B1175" s="338" t="s">
        <v>1599</v>
      </c>
      <c r="C1175" s="337" t="s">
        <v>9</v>
      </c>
      <c r="D1175" s="339">
        <v>29.09</v>
      </c>
    </row>
    <row r="1176" spans="1:4" ht="54">
      <c r="A1176" s="337">
        <v>96459</v>
      </c>
      <c r="B1176" s="338" t="s">
        <v>1600</v>
      </c>
      <c r="C1176" s="337" t="s">
        <v>9</v>
      </c>
      <c r="D1176" s="339">
        <v>6.1</v>
      </c>
    </row>
    <row r="1177" spans="1:4" ht="67.5">
      <c r="A1177" s="337">
        <v>96460</v>
      </c>
      <c r="B1177" s="338" t="s">
        <v>1601</v>
      </c>
      <c r="C1177" s="337" t="s">
        <v>9</v>
      </c>
      <c r="D1177" s="339">
        <v>23.24</v>
      </c>
    </row>
    <row r="1178" spans="1:4" ht="67.5">
      <c r="A1178" s="337">
        <v>98760</v>
      </c>
      <c r="B1178" s="338" t="s">
        <v>1602</v>
      </c>
      <c r="C1178" s="337" t="s">
        <v>9</v>
      </c>
      <c r="D1178" s="339">
        <v>0.06</v>
      </c>
    </row>
    <row r="1179" spans="1:4" ht="54">
      <c r="A1179" s="337">
        <v>98761</v>
      </c>
      <c r="B1179" s="338" t="s">
        <v>1603</v>
      </c>
      <c r="C1179" s="337" t="s">
        <v>9</v>
      </c>
      <c r="D1179" s="339">
        <v>0.01</v>
      </c>
    </row>
    <row r="1180" spans="1:4" ht="67.5">
      <c r="A1180" s="337">
        <v>98762</v>
      </c>
      <c r="B1180" s="338" t="s">
        <v>1604</v>
      </c>
      <c r="C1180" s="337" t="s">
        <v>9</v>
      </c>
      <c r="D1180" s="339">
        <v>7.0000000000000007E-2</v>
      </c>
    </row>
    <row r="1181" spans="1:4" ht="67.5">
      <c r="A1181" s="337">
        <v>98763</v>
      </c>
      <c r="B1181" s="338" t="s">
        <v>1605</v>
      </c>
      <c r="C1181" s="337" t="s">
        <v>9</v>
      </c>
      <c r="D1181" s="339">
        <v>2.34</v>
      </c>
    </row>
    <row r="1182" spans="1:4" ht="27">
      <c r="A1182" s="337">
        <v>55960</v>
      </c>
      <c r="B1182" s="338" t="s">
        <v>1606</v>
      </c>
      <c r="C1182" s="337" t="s">
        <v>145</v>
      </c>
      <c r="D1182" s="339">
        <v>5.12</v>
      </c>
    </row>
    <row r="1183" spans="1:4" ht="40.5">
      <c r="A1183" s="337">
        <v>72085</v>
      </c>
      <c r="B1183" s="338" t="s">
        <v>1607</v>
      </c>
      <c r="C1183" s="337" t="s">
        <v>172</v>
      </c>
      <c r="D1183" s="339">
        <v>1.61</v>
      </c>
    </row>
    <row r="1184" spans="1:4" ht="40.5">
      <c r="A1184" s="337">
        <v>72086</v>
      </c>
      <c r="B1184" s="338" t="s">
        <v>1608</v>
      </c>
      <c r="C1184" s="337" t="s">
        <v>172</v>
      </c>
      <c r="D1184" s="339">
        <v>4.93</v>
      </c>
    </row>
    <row r="1185" spans="1:4" ht="67.5">
      <c r="A1185" s="337">
        <v>92259</v>
      </c>
      <c r="B1185" s="338" t="s">
        <v>1609</v>
      </c>
      <c r="C1185" s="337" t="s">
        <v>474</v>
      </c>
      <c r="D1185" s="339">
        <v>224.84</v>
      </c>
    </row>
    <row r="1186" spans="1:4" ht="67.5">
      <c r="A1186" s="337">
        <v>92260</v>
      </c>
      <c r="B1186" s="338" t="s">
        <v>1610</v>
      </c>
      <c r="C1186" s="337" t="s">
        <v>474</v>
      </c>
      <c r="D1186" s="339">
        <v>266.64999999999998</v>
      </c>
    </row>
    <row r="1187" spans="1:4" ht="67.5">
      <c r="A1187" s="337">
        <v>92261</v>
      </c>
      <c r="B1187" s="338" t="s">
        <v>1611</v>
      </c>
      <c r="C1187" s="337" t="s">
        <v>474</v>
      </c>
      <c r="D1187" s="339">
        <v>307.17</v>
      </c>
    </row>
    <row r="1188" spans="1:4" ht="67.5">
      <c r="A1188" s="337">
        <v>92262</v>
      </c>
      <c r="B1188" s="338" t="s">
        <v>1612</v>
      </c>
      <c r="C1188" s="337" t="s">
        <v>474</v>
      </c>
      <c r="D1188" s="339">
        <v>372.43</v>
      </c>
    </row>
    <row r="1189" spans="1:4" ht="67.5">
      <c r="A1189" s="337">
        <v>92539</v>
      </c>
      <c r="B1189" s="338" t="s">
        <v>1613</v>
      </c>
      <c r="C1189" s="337" t="s">
        <v>145</v>
      </c>
      <c r="D1189" s="339">
        <v>34.450000000000003</v>
      </c>
    </row>
    <row r="1190" spans="1:4" ht="67.5">
      <c r="A1190" s="337">
        <v>92540</v>
      </c>
      <c r="B1190" s="338" t="s">
        <v>1614</v>
      </c>
      <c r="C1190" s="337" t="s">
        <v>145</v>
      </c>
      <c r="D1190" s="339">
        <v>40.549999999999997</v>
      </c>
    </row>
    <row r="1191" spans="1:4" ht="54">
      <c r="A1191" s="337">
        <v>92541</v>
      </c>
      <c r="B1191" s="338" t="s">
        <v>1615</v>
      </c>
      <c r="C1191" s="337" t="s">
        <v>145</v>
      </c>
      <c r="D1191" s="339">
        <v>37.35</v>
      </c>
    </row>
    <row r="1192" spans="1:4" ht="67.5">
      <c r="A1192" s="337">
        <v>92542</v>
      </c>
      <c r="B1192" s="338" t="s">
        <v>1616</v>
      </c>
      <c r="C1192" s="337" t="s">
        <v>145</v>
      </c>
      <c r="D1192" s="339">
        <v>46.69</v>
      </c>
    </row>
    <row r="1193" spans="1:4" ht="67.5">
      <c r="A1193" s="337">
        <v>92543</v>
      </c>
      <c r="B1193" s="338" t="s">
        <v>1617</v>
      </c>
      <c r="C1193" s="337" t="s">
        <v>145</v>
      </c>
      <c r="D1193" s="339">
        <v>9.68</v>
      </c>
    </row>
    <row r="1194" spans="1:4" ht="54">
      <c r="A1194" s="337">
        <v>92544</v>
      </c>
      <c r="B1194" s="338" t="s">
        <v>1618</v>
      </c>
      <c r="C1194" s="337" t="s">
        <v>145</v>
      </c>
      <c r="D1194" s="339">
        <v>8.15</v>
      </c>
    </row>
    <row r="1195" spans="1:4" ht="54">
      <c r="A1195" s="337">
        <v>92545</v>
      </c>
      <c r="B1195" s="338" t="s">
        <v>1619</v>
      </c>
      <c r="C1195" s="337" t="s">
        <v>474</v>
      </c>
      <c r="D1195" s="339">
        <v>494.85</v>
      </c>
    </row>
    <row r="1196" spans="1:4" ht="54">
      <c r="A1196" s="337">
        <v>92546</v>
      </c>
      <c r="B1196" s="338" t="s">
        <v>1620</v>
      </c>
      <c r="C1196" s="337" t="s">
        <v>474</v>
      </c>
      <c r="D1196" s="339">
        <v>611.74</v>
      </c>
    </row>
    <row r="1197" spans="1:4" ht="54">
      <c r="A1197" s="337">
        <v>92547</v>
      </c>
      <c r="B1197" s="338" t="s">
        <v>1621</v>
      </c>
      <c r="C1197" s="337" t="s">
        <v>474</v>
      </c>
      <c r="D1197" s="339">
        <v>637.35</v>
      </c>
    </row>
    <row r="1198" spans="1:4" ht="54">
      <c r="A1198" s="337">
        <v>92548</v>
      </c>
      <c r="B1198" s="338" t="s">
        <v>1622</v>
      </c>
      <c r="C1198" s="337" t="s">
        <v>474</v>
      </c>
      <c r="D1198" s="339">
        <v>707.13</v>
      </c>
    </row>
    <row r="1199" spans="1:4" ht="54">
      <c r="A1199" s="337">
        <v>92549</v>
      </c>
      <c r="B1199" s="338" t="s">
        <v>1623</v>
      </c>
      <c r="C1199" s="337" t="s">
        <v>474</v>
      </c>
      <c r="D1199" s="339">
        <v>912.85</v>
      </c>
    </row>
    <row r="1200" spans="1:4" ht="54">
      <c r="A1200" s="337">
        <v>92550</v>
      </c>
      <c r="B1200" s="338" t="s">
        <v>1624</v>
      </c>
      <c r="C1200" s="337" t="s">
        <v>474</v>
      </c>
      <c r="D1200" s="340">
        <v>1095.29</v>
      </c>
    </row>
    <row r="1201" spans="1:4" ht="54">
      <c r="A1201" s="337">
        <v>92551</v>
      </c>
      <c r="B1201" s="338" t="s">
        <v>1625</v>
      </c>
      <c r="C1201" s="337" t="s">
        <v>474</v>
      </c>
      <c r="D1201" s="340">
        <v>1129.05</v>
      </c>
    </row>
    <row r="1202" spans="1:4" ht="54">
      <c r="A1202" s="337">
        <v>92552</v>
      </c>
      <c r="B1202" s="338" t="s">
        <v>1626</v>
      </c>
      <c r="C1202" s="337" t="s">
        <v>474</v>
      </c>
      <c r="D1202" s="340">
        <v>1233.04</v>
      </c>
    </row>
    <row r="1203" spans="1:4" ht="54">
      <c r="A1203" s="337">
        <v>92553</v>
      </c>
      <c r="B1203" s="338" t="s">
        <v>1627</v>
      </c>
      <c r="C1203" s="337" t="s">
        <v>474</v>
      </c>
      <c r="D1203" s="340">
        <v>1442.71</v>
      </c>
    </row>
    <row r="1204" spans="1:4" ht="54">
      <c r="A1204" s="337">
        <v>92554</v>
      </c>
      <c r="B1204" s="338" t="s">
        <v>1628</v>
      </c>
      <c r="C1204" s="337" t="s">
        <v>474</v>
      </c>
      <c r="D1204" s="340">
        <v>1481.05</v>
      </c>
    </row>
    <row r="1205" spans="1:4" ht="81">
      <c r="A1205" s="337">
        <v>92555</v>
      </c>
      <c r="B1205" s="338" t="s">
        <v>1629</v>
      </c>
      <c r="C1205" s="337" t="s">
        <v>474</v>
      </c>
      <c r="D1205" s="339">
        <v>489.9</v>
      </c>
    </row>
    <row r="1206" spans="1:4" ht="81">
      <c r="A1206" s="337">
        <v>92556</v>
      </c>
      <c r="B1206" s="338" t="s">
        <v>1630</v>
      </c>
      <c r="C1206" s="337" t="s">
        <v>474</v>
      </c>
      <c r="D1206" s="339">
        <v>603.57000000000005</v>
      </c>
    </row>
    <row r="1207" spans="1:4" ht="81">
      <c r="A1207" s="337">
        <v>92557</v>
      </c>
      <c r="B1207" s="338" t="s">
        <v>1631</v>
      </c>
      <c r="C1207" s="337" t="s">
        <v>474</v>
      </c>
      <c r="D1207" s="339">
        <v>629.16999999999996</v>
      </c>
    </row>
    <row r="1208" spans="1:4" ht="81">
      <c r="A1208" s="337">
        <v>92558</v>
      </c>
      <c r="B1208" s="338" t="s">
        <v>1632</v>
      </c>
      <c r="C1208" s="337" t="s">
        <v>474</v>
      </c>
      <c r="D1208" s="339">
        <v>704.77</v>
      </c>
    </row>
    <row r="1209" spans="1:4" ht="81">
      <c r="A1209" s="337">
        <v>92559</v>
      </c>
      <c r="B1209" s="338" t="s">
        <v>1633</v>
      </c>
      <c r="C1209" s="337" t="s">
        <v>474</v>
      </c>
      <c r="D1209" s="339">
        <v>904.15</v>
      </c>
    </row>
    <row r="1210" spans="1:4" ht="81">
      <c r="A1210" s="337">
        <v>92560</v>
      </c>
      <c r="B1210" s="338" t="s">
        <v>1634</v>
      </c>
      <c r="C1210" s="337" t="s">
        <v>474</v>
      </c>
      <c r="D1210" s="340">
        <v>1082.01</v>
      </c>
    </row>
    <row r="1211" spans="1:4" ht="81">
      <c r="A1211" s="337">
        <v>92561</v>
      </c>
      <c r="B1211" s="338" t="s">
        <v>1635</v>
      </c>
      <c r="C1211" s="337" t="s">
        <v>474</v>
      </c>
      <c r="D1211" s="340">
        <v>1116.3699999999999</v>
      </c>
    </row>
    <row r="1212" spans="1:4" ht="81">
      <c r="A1212" s="337">
        <v>92562</v>
      </c>
      <c r="B1212" s="338" t="s">
        <v>1636</v>
      </c>
      <c r="C1212" s="337" t="s">
        <v>474</v>
      </c>
      <c r="D1212" s="340">
        <v>1212.19</v>
      </c>
    </row>
    <row r="1213" spans="1:4" ht="81">
      <c r="A1213" s="337">
        <v>92563</v>
      </c>
      <c r="B1213" s="338" t="s">
        <v>1637</v>
      </c>
      <c r="C1213" s="337" t="s">
        <v>474</v>
      </c>
      <c r="D1213" s="340">
        <v>1417.36</v>
      </c>
    </row>
    <row r="1214" spans="1:4" ht="81">
      <c r="A1214" s="337">
        <v>92564</v>
      </c>
      <c r="B1214" s="338" t="s">
        <v>1638</v>
      </c>
      <c r="C1214" s="337" t="s">
        <v>474</v>
      </c>
      <c r="D1214" s="340">
        <v>1450.23</v>
      </c>
    </row>
    <row r="1215" spans="1:4" ht="67.5">
      <c r="A1215" s="337">
        <v>92565</v>
      </c>
      <c r="B1215" s="338" t="s">
        <v>1639</v>
      </c>
      <c r="C1215" s="337" t="s">
        <v>145</v>
      </c>
      <c r="D1215" s="339">
        <v>18.579999999999998</v>
      </c>
    </row>
    <row r="1216" spans="1:4" ht="81">
      <c r="A1216" s="337">
        <v>92566</v>
      </c>
      <c r="B1216" s="338" t="s">
        <v>1640</v>
      </c>
      <c r="C1216" s="337" t="s">
        <v>145</v>
      </c>
      <c r="D1216" s="339">
        <v>10.46</v>
      </c>
    </row>
    <row r="1217" spans="1:4" ht="67.5">
      <c r="A1217" s="337">
        <v>92567</v>
      </c>
      <c r="B1217" s="338" t="s">
        <v>1641</v>
      </c>
      <c r="C1217" s="337" t="s">
        <v>145</v>
      </c>
      <c r="D1217" s="339">
        <v>16.18</v>
      </c>
    </row>
    <row r="1218" spans="1:4" ht="40.5">
      <c r="A1218" s="337">
        <v>72089</v>
      </c>
      <c r="B1218" s="338" t="s">
        <v>1642</v>
      </c>
      <c r="C1218" s="337" t="s">
        <v>145</v>
      </c>
      <c r="D1218" s="339">
        <v>10.76</v>
      </c>
    </row>
    <row r="1219" spans="1:4" ht="40.5">
      <c r="A1219" s="337">
        <v>72091</v>
      </c>
      <c r="B1219" s="338" t="s">
        <v>1643</v>
      </c>
      <c r="C1219" s="337" t="s">
        <v>145</v>
      </c>
      <c r="D1219" s="339">
        <v>35.450000000000003</v>
      </c>
    </row>
    <row r="1220" spans="1:4" ht="40.5">
      <c r="A1220" s="337">
        <v>94189</v>
      </c>
      <c r="B1220" s="338" t="s">
        <v>1644</v>
      </c>
      <c r="C1220" s="337" t="s">
        <v>145</v>
      </c>
      <c r="D1220" s="339">
        <v>40.21</v>
      </c>
    </row>
    <row r="1221" spans="1:4" ht="40.5">
      <c r="A1221" s="337">
        <v>94192</v>
      </c>
      <c r="B1221" s="338" t="s">
        <v>1645</v>
      </c>
      <c r="C1221" s="337" t="s">
        <v>145</v>
      </c>
      <c r="D1221" s="339">
        <v>42</v>
      </c>
    </row>
    <row r="1222" spans="1:4" ht="54">
      <c r="A1222" s="337">
        <v>94195</v>
      </c>
      <c r="B1222" s="338" t="s">
        <v>1646</v>
      </c>
      <c r="C1222" s="337" t="s">
        <v>145</v>
      </c>
      <c r="D1222" s="339">
        <v>27.24</v>
      </c>
    </row>
    <row r="1223" spans="1:4" ht="54">
      <c r="A1223" s="337">
        <v>94198</v>
      </c>
      <c r="B1223" s="338" t="s">
        <v>1647</v>
      </c>
      <c r="C1223" s="337" t="s">
        <v>145</v>
      </c>
      <c r="D1223" s="339">
        <v>29.59</v>
      </c>
    </row>
    <row r="1224" spans="1:4" ht="40.5">
      <c r="A1224" s="337">
        <v>94201</v>
      </c>
      <c r="B1224" s="338" t="s">
        <v>1648</v>
      </c>
      <c r="C1224" s="337" t="s">
        <v>145</v>
      </c>
      <c r="D1224" s="339">
        <v>41.36</v>
      </c>
    </row>
    <row r="1225" spans="1:4" ht="54">
      <c r="A1225" s="337">
        <v>94204</v>
      </c>
      <c r="B1225" s="338" t="s">
        <v>1649</v>
      </c>
      <c r="C1225" s="337" t="s">
        <v>145</v>
      </c>
      <c r="D1225" s="339">
        <v>45.36</v>
      </c>
    </row>
    <row r="1226" spans="1:4" ht="27">
      <c r="A1226" s="337">
        <v>94224</v>
      </c>
      <c r="B1226" s="338" t="s">
        <v>1650</v>
      </c>
      <c r="C1226" s="337" t="s">
        <v>172</v>
      </c>
      <c r="D1226" s="339">
        <v>17.39</v>
      </c>
    </row>
    <row r="1227" spans="1:4" ht="40.5">
      <c r="A1227" s="337">
        <v>94225</v>
      </c>
      <c r="B1227" s="338" t="s">
        <v>1651</v>
      </c>
      <c r="C1227" s="337" t="s">
        <v>145</v>
      </c>
      <c r="D1227" s="339">
        <v>27.19</v>
      </c>
    </row>
    <row r="1228" spans="1:4" ht="40.5">
      <c r="A1228" s="337">
        <v>94226</v>
      </c>
      <c r="B1228" s="338" t="s">
        <v>1652</v>
      </c>
      <c r="C1228" s="337" t="s">
        <v>145</v>
      </c>
      <c r="D1228" s="339">
        <v>13.48</v>
      </c>
    </row>
    <row r="1229" spans="1:4" ht="27">
      <c r="A1229" s="337">
        <v>94232</v>
      </c>
      <c r="B1229" s="338" t="s">
        <v>1653</v>
      </c>
      <c r="C1229" s="337" t="s">
        <v>474</v>
      </c>
      <c r="D1229" s="339">
        <v>1.98</v>
      </c>
    </row>
    <row r="1230" spans="1:4" ht="54">
      <c r="A1230" s="337">
        <v>94440</v>
      </c>
      <c r="B1230" s="338" t="s">
        <v>1654</v>
      </c>
      <c r="C1230" s="337" t="s">
        <v>145</v>
      </c>
      <c r="D1230" s="339">
        <v>39.31</v>
      </c>
    </row>
    <row r="1231" spans="1:4" ht="54">
      <c r="A1231" s="337">
        <v>94441</v>
      </c>
      <c r="B1231" s="338" t="s">
        <v>1655</v>
      </c>
      <c r="C1231" s="337" t="s">
        <v>145</v>
      </c>
      <c r="D1231" s="339">
        <v>41.66</v>
      </c>
    </row>
    <row r="1232" spans="1:4" ht="40.5">
      <c r="A1232" s="337">
        <v>94442</v>
      </c>
      <c r="B1232" s="338" t="s">
        <v>1656</v>
      </c>
      <c r="C1232" s="337" t="s">
        <v>145</v>
      </c>
      <c r="D1232" s="339">
        <v>29.37</v>
      </c>
    </row>
    <row r="1233" spans="1:4" ht="54">
      <c r="A1233" s="337">
        <v>94443</v>
      </c>
      <c r="B1233" s="338" t="s">
        <v>1657</v>
      </c>
      <c r="C1233" s="337" t="s">
        <v>145</v>
      </c>
      <c r="D1233" s="339">
        <v>31.72</v>
      </c>
    </row>
    <row r="1234" spans="1:4" ht="40.5">
      <c r="A1234" s="337">
        <v>94445</v>
      </c>
      <c r="B1234" s="338" t="s">
        <v>1658</v>
      </c>
      <c r="C1234" s="337" t="s">
        <v>145</v>
      </c>
      <c r="D1234" s="339">
        <v>38.33</v>
      </c>
    </row>
    <row r="1235" spans="1:4" ht="40.5">
      <c r="A1235" s="337">
        <v>94446</v>
      </c>
      <c r="B1235" s="338" t="s">
        <v>1659</v>
      </c>
      <c r="C1235" s="337" t="s">
        <v>145</v>
      </c>
      <c r="D1235" s="339">
        <v>42.33</v>
      </c>
    </row>
    <row r="1236" spans="1:4" ht="40.5">
      <c r="A1236" s="337">
        <v>94447</v>
      </c>
      <c r="B1236" s="338" t="s">
        <v>1660</v>
      </c>
      <c r="C1236" s="337" t="s">
        <v>145</v>
      </c>
      <c r="D1236" s="339">
        <v>39.979999999999997</v>
      </c>
    </row>
    <row r="1237" spans="1:4" ht="54">
      <c r="A1237" s="337">
        <v>94448</v>
      </c>
      <c r="B1237" s="338" t="s">
        <v>1661</v>
      </c>
      <c r="C1237" s="337" t="s">
        <v>145</v>
      </c>
      <c r="D1237" s="339">
        <v>43.98</v>
      </c>
    </row>
    <row r="1238" spans="1:4" ht="67.5">
      <c r="A1238" s="337">
        <v>94207</v>
      </c>
      <c r="B1238" s="338" t="s">
        <v>1662</v>
      </c>
      <c r="C1238" s="337" t="s">
        <v>145</v>
      </c>
      <c r="D1238" s="339">
        <v>31.94</v>
      </c>
    </row>
    <row r="1239" spans="1:4" ht="67.5">
      <c r="A1239" s="337">
        <v>94210</v>
      </c>
      <c r="B1239" s="338" t="s">
        <v>1663</v>
      </c>
      <c r="C1239" s="337" t="s">
        <v>145</v>
      </c>
      <c r="D1239" s="339">
        <v>33.97</v>
      </c>
    </row>
    <row r="1240" spans="1:4" ht="40.5">
      <c r="A1240" s="337">
        <v>94218</v>
      </c>
      <c r="B1240" s="338" t="s">
        <v>1664</v>
      </c>
      <c r="C1240" s="337" t="s">
        <v>145</v>
      </c>
      <c r="D1240" s="339">
        <v>70.31</v>
      </c>
    </row>
    <row r="1241" spans="1:4" ht="40.5">
      <c r="A1241" s="337" t="s">
        <v>1665</v>
      </c>
      <c r="B1241" s="338" t="s">
        <v>1666</v>
      </c>
      <c r="C1241" s="337" t="s">
        <v>145</v>
      </c>
      <c r="D1241" s="339">
        <v>365.65</v>
      </c>
    </row>
    <row r="1242" spans="1:4" ht="40.5">
      <c r="A1242" s="337" t="s">
        <v>1667</v>
      </c>
      <c r="B1242" s="338" t="s">
        <v>1668</v>
      </c>
      <c r="C1242" s="337" t="s">
        <v>145</v>
      </c>
      <c r="D1242" s="339">
        <v>389.02</v>
      </c>
    </row>
    <row r="1243" spans="1:4" ht="40.5">
      <c r="A1243" s="337" t="s">
        <v>1669</v>
      </c>
      <c r="B1243" s="338" t="s">
        <v>1670</v>
      </c>
      <c r="C1243" s="337" t="s">
        <v>145</v>
      </c>
      <c r="D1243" s="339">
        <v>407.65</v>
      </c>
    </row>
    <row r="1244" spans="1:4" ht="40.5">
      <c r="A1244" s="337" t="s">
        <v>1671</v>
      </c>
      <c r="B1244" s="338" t="s">
        <v>1672</v>
      </c>
      <c r="C1244" s="337" t="s">
        <v>145</v>
      </c>
      <c r="D1244" s="339">
        <v>439.07</v>
      </c>
    </row>
    <row r="1245" spans="1:4" ht="40.5">
      <c r="A1245" s="337" t="s">
        <v>1673</v>
      </c>
      <c r="B1245" s="338" t="s">
        <v>1674</v>
      </c>
      <c r="C1245" s="337" t="s">
        <v>145</v>
      </c>
      <c r="D1245" s="339">
        <v>527.85</v>
      </c>
    </row>
    <row r="1246" spans="1:4" ht="40.5">
      <c r="A1246" s="337" t="s">
        <v>1675</v>
      </c>
      <c r="B1246" s="338" t="s">
        <v>1676</v>
      </c>
      <c r="C1246" s="337" t="s">
        <v>145</v>
      </c>
      <c r="D1246" s="339">
        <v>547.49</v>
      </c>
    </row>
    <row r="1247" spans="1:4" ht="27">
      <c r="A1247" s="337" t="s">
        <v>1677</v>
      </c>
      <c r="B1247" s="338" t="s">
        <v>1678</v>
      </c>
      <c r="C1247" s="337" t="s">
        <v>145</v>
      </c>
      <c r="D1247" s="339">
        <v>172.41</v>
      </c>
    </row>
    <row r="1248" spans="1:4" ht="27">
      <c r="A1248" s="337" t="s">
        <v>1679</v>
      </c>
      <c r="B1248" s="338" t="s">
        <v>1680</v>
      </c>
      <c r="C1248" s="337" t="s">
        <v>145</v>
      </c>
      <c r="D1248" s="339">
        <v>193.11</v>
      </c>
    </row>
    <row r="1249" spans="1:4" ht="27">
      <c r="A1249" s="337" t="s">
        <v>1681</v>
      </c>
      <c r="B1249" s="338" t="s">
        <v>1682</v>
      </c>
      <c r="C1249" s="337" t="s">
        <v>145</v>
      </c>
      <c r="D1249" s="339">
        <v>239.11</v>
      </c>
    </row>
    <row r="1250" spans="1:4" ht="27">
      <c r="A1250" s="337" t="s">
        <v>1683</v>
      </c>
      <c r="B1250" s="338" t="s">
        <v>1684</v>
      </c>
      <c r="C1250" s="337" t="s">
        <v>145</v>
      </c>
      <c r="D1250" s="339">
        <v>248.31</v>
      </c>
    </row>
    <row r="1251" spans="1:4" ht="13.5">
      <c r="A1251" s="337">
        <v>75220</v>
      </c>
      <c r="B1251" s="338" t="s">
        <v>1685</v>
      </c>
      <c r="C1251" s="337" t="s">
        <v>172</v>
      </c>
      <c r="D1251" s="339">
        <v>33.880000000000003</v>
      </c>
    </row>
    <row r="1252" spans="1:4" ht="40.5">
      <c r="A1252" s="337">
        <v>94213</v>
      </c>
      <c r="B1252" s="338" t="s">
        <v>1686</v>
      </c>
      <c r="C1252" s="337" t="s">
        <v>145</v>
      </c>
      <c r="D1252" s="339">
        <v>39.4</v>
      </c>
    </row>
    <row r="1253" spans="1:4" ht="40.5">
      <c r="A1253" s="337">
        <v>94216</v>
      </c>
      <c r="B1253" s="338" t="s">
        <v>1687</v>
      </c>
      <c r="C1253" s="337" t="s">
        <v>145</v>
      </c>
      <c r="D1253" s="339">
        <v>106.33</v>
      </c>
    </row>
    <row r="1254" spans="1:4" ht="67.5">
      <c r="A1254" s="337">
        <v>94219</v>
      </c>
      <c r="B1254" s="338" t="s">
        <v>1688</v>
      </c>
      <c r="C1254" s="337" t="s">
        <v>172</v>
      </c>
      <c r="D1254" s="339">
        <v>23.81</v>
      </c>
    </row>
    <row r="1255" spans="1:4" ht="67.5">
      <c r="A1255" s="337">
        <v>94220</v>
      </c>
      <c r="B1255" s="338" t="s">
        <v>1689</v>
      </c>
      <c r="C1255" s="337" t="s">
        <v>172</v>
      </c>
      <c r="D1255" s="339">
        <v>42.95</v>
      </c>
    </row>
    <row r="1256" spans="1:4" ht="54">
      <c r="A1256" s="337">
        <v>94221</v>
      </c>
      <c r="B1256" s="338" t="s">
        <v>1690</v>
      </c>
      <c r="C1256" s="337" t="s">
        <v>172</v>
      </c>
      <c r="D1256" s="339">
        <v>19.170000000000002</v>
      </c>
    </row>
    <row r="1257" spans="1:4" ht="67.5">
      <c r="A1257" s="337">
        <v>94222</v>
      </c>
      <c r="B1257" s="338" t="s">
        <v>1691</v>
      </c>
      <c r="C1257" s="337" t="s">
        <v>172</v>
      </c>
      <c r="D1257" s="339">
        <v>38.31</v>
      </c>
    </row>
    <row r="1258" spans="1:4" ht="40.5">
      <c r="A1258" s="337" t="s">
        <v>1692</v>
      </c>
      <c r="B1258" s="338" t="s">
        <v>1693</v>
      </c>
      <c r="C1258" s="337" t="s">
        <v>172</v>
      </c>
      <c r="D1258" s="339">
        <v>43.31</v>
      </c>
    </row>
    <row r="1259" spans="1:4" ht="40.5">
      <c r="A1259" s="337">
        <v>94223</v>
      </c>
      <c r="B1259" s="338" t="s">
        <v>1694</v>
      </c>
      <c r="C1259" s="337" t="s">
        <v>172</v>
      </c>
      <c r="D1259" s="339">
        <v>41.5</v>
      </c>
    </row>
    <row r="1260" spans="1:4" ht="40.5">
      <c r="A1260" s="337">
        <v>94451</v>
      </c>
      <c r="B1260" s="338" t="s">
        <v>1695</v>
      </c>
      <c r="C1260" s="337" t="s">
        <v>172</v>
      </c>
      <c r="D1260" s="339">
        <v>92.57</v>
      </c>
    </row>
    <row r="1261" spans="1:4" ht="67.5">
      <c r="A1261" s="337">
        <v>94230</v>
      </c>
      <c r="B1261" s="338" t="s">
        <v>1696</v>
      </c>
      <c r="C1261" s="337" t="s">
        <v>172</v>
      </c>
      <c r="D1261" s="339">
        <v>69.25</v>
      </c>
    </row>
    <row r="1262" spans="1:4" ht="40.5">
      <c r="A1262" s="337">
        <v>94227</v>
      </c>
      <c r="B1262" s="338" t="s">
        <v>1697</v>
      </c>
      <c r="C1262" s="337" t="s">
        <v>172</v>
      </c>
      <c r="D1262" s="339">
        <v>33.99</v>
      </c>
    </row>
    <row r="1263" spans="1:4" ht="40.5">
      <c r="A1263" s="337">
        <v>94228</v>
      </c>
      <c r="B1263" s="338" t="s">
        <v>1698</v>
      </c>
      <c r="C1263" s="337" t="s">
        <v>172</v>
      </c>
      <c r="D1263" s="339">
        <v>47.06</v>
      </c>
    </row>
    <row r="1264" spans="1:4" ht="40.5">
      <c r="A1264" s="337">
        <v>94229</v>
      </c>
      <c r="B1264" s="338" t="s">
        <v>1699</v>
      </c>
      <c r="C1264" s="337" t="s">
        <v>172</v>
      </c>
      <c r="D1264" s="339">
        <v>91.45</v>
      </c>
    </row>
    <row r="1265" spans="1:4" ht="40.5">
      <c r="A1265" s="337">
        <v>94231</v>
      </c>
      <c r="B1265" s="338" t="s">
        <v>1700</v>
      </c>
      <c r="C1265" s="337" t="s">
        <v>172</v>
      </c>
      <c r="D1265" s="339">
        <v>24.35</v>
      </c>
    </row>
    <row r="1266" spans="1:4" ht="40.5">
      <c r="A1266" s="337">
        <v>94450</v>
      </c>
      <c r="B1266" s="338" t="s">
        <v>1701</v>
      </c>
      <c r="C1266" s="337" t="s">
        <v>172</v>
      </c>
      <c r="D1266" s="339">
        <v>46.75</v>
      </c>
    </row>
    <row r="1267" spans="1:4" ht="54">
      <c r="A1267" s="337">
        <v>94449</v>
      </c>
      <c r="B1267" s="338" t="s">
        <v>1702</v>
      </c>
      <c r="C1267" s="337" t="s">
        <v>145</v>
      </c>
      <c r="D1267" s="339">
        <v>45.16</v>
      </c>
    </row>
    <row r="1268" spans="1:4" ht="94.5">
      <c r="A1268" s="337">
        <v>72110</v>
      </c>
      <c r="B1268" s="338" t="s">
        <v>1703</v>
      </c>
      <c r="C1268" s="337" t="s">
        <v>145</v>
      </c>
      <c r="D1268" s="339">
        <v>68.239999999999995</v>
      </c>
    </row>
    <row r="1269" spans="1:4" ht="94.5">
      <c r="A1269" s="337">
        <v>72111</v>
      </c>
      <c r="B1269" s="338" t="s">
        <v>1704</v>
      </c>
      <c r="C1269" s="337" t="s">
        <v>145</v>
      </c>
      <c r="D1269" s="339">
        <v>74.510000000000005</v>
      </c>
    </row>
    <row r="1270" spans="1:4" ht="94.5">
      <c r="A1270" s="337">
        <v>72112</v>
      </c>
      <c r="B1270" s="338" t="s">
        <v>1705</v>
      </c>
      <c r="C1270" s="337" t="s">
        <v>145</v>
      </c>
      <c r="D1270" s="339">
        <v>80.77</v>
      </c>
    </row>
    <row r="1271" spans="1:4" ht="94.5">
      <c r="A1271" s="337">
        <v>72113</v>
      </c>
      <c r="B1271" s="338" t="s">
        <v>1706</v>
      </c>
      <c r="C1271" s="337" t="s">
        <v>145</v>
      </c>
      <c r="D1271" s="339">
        <v>90.87</v>
      </c>
    </row>
    <row r="1272" spans="1:4" ht="94.5">
      <c r="A1272" s="337">
        <v>72114</v>
      </c>
      <c r="B1272" s="338" t="s">
        <v>1707</v>
      </c>
      <c r="C1272" s="337" t="s">
        <v>145</v>
      </c>
      <c r="D1272" s="339">
        <v>100.98</v>
      </c>
    </row>
    <row r="1273" spans="1:4" ht="27">
      <c r="A1273" s="337" t="s">
        <v>1708</v>
      </c>
      <c r="B1273" s="338" t="s">
        <v>1709</v>
      </c>
      <c r="C1273" s="337" t="s">
        <v>283</v>
      </c>
      <c r="D1273" s="339">
        <v>9.59</v>
      </c>
    </row>
    <row r="1274" spans="1:4" ht="27">
      <c r="A1274" s="337" t="s">
        <v>1710</v>
      </c>
      <c r="B1274" s="338" t="s">
        <v>1711</v>
      </c>
      <c r="C1274" s="337" t="s">
        <v>283</v>
      </c>
      <c r="D1274" s="339">
        <v>7.05</v>
      </c>
    </row>
    <row r="1275" spans="1:4" ht="54">
      <c r="A1275" s="337">
        <v>92255</v>
      </c>
      <c r="B1275" s="338" t="s">
        <v>1712</v>
      </c>
      <c r="C1275" s="337" t="s">
        <v>474</v>
      </c>
      <c r="D1275" s="339">
        <v>113.09</v>
      </c>
    </row>
    <row r="1276" spans="1:4" ht="54">
      <c r="A1276" s="337">
        <v>92256</v>
      </c>
      <c r="B1276" s="338" t="s">
        <v>1713</v>
      </c>
      <c r="C1276" s="337" t="s">
        <v>474</v>
      </c>
      <c r="D1276" s="339">
        <v>138.57</v>
      </c>
    </row>
    <row r="1277" spans="1:4" ht="54">
      <c r="A1277" s="337">
        <v>92257</v>
      </c>
      <c r="B1277" s="338" t="s">
        <v>1714</v>
      </c>
      <c r="C1277" s="337" t="s">
        <v>474</v>
      </c>
      <c r="D1277" s="339">
        <v>163.84</v>
      </c>
    </row>
    <row r="1278" spans="1:4" ht="54">
      <c r="A1278" s="337">
        <v>92258</v>
      </c>
      <c r="B1278" s="338" t="s">
        <v>1715</v>
      </c>
      <c r="C1278" s="337" t="s">
        <v>474</v>
      </c>
      <c r="D1278" s="339">
        <v>204.49</v>
      </c>
    </row>
    <row r="1279" spans="1:4" ht="67.5">
      <c r="A1279" s="337">
        <v>92568</v>
      </c>
      <c r="B1279" s="338" t="s">
        <v>1716</v>
      </c>
      <c r="C1279" s="337" t="s">
        <v>145</v>
      </c>
      <c r="D1279" s="339">
        <v>58.98</v>
      </c>
    </row>
    <row r="1280" spans="1:4" ht="67.5">
      <c r="A1280" s="337">
        <v>92569</v>
      </c>
      <c r="B1280" s="338" t="s">
        <v>1717</v>
      </c>
      <c r="C1280" s="337" t="s">
        <v>145</v>
      </c>
      <c r="D1280" s="339">
        <v>26.73</v>
      </c>
    </row>
    <row r="1281" spans="1:4" ht="54">
      <c r="A1281" s="337">
        <v>92570</v>
      </c>
      <c r="B1281" s="338" t="s">
        <v>1718</v>
      </c>
      <c r="C1281" s="337" t="s">
        <v>145</v>
      </c>
      <c r="D1281" s="339">
        <v>12.1</v>
      </c>
    </row>
    <row r="1282" spans="1:4" ht="67.5">
      <c r="A1282" s="337">
        <v>92571</v>
      </c>
      <c r="B1282" s="338" t="s">
        <v>1719</v>
      </c>
      <c r="C1282" s="337" t="s">
        <v>145</v>
      </c>
      <c r="D1282" s="339">
        <v>63.84</v>
      </c>
    </row>
    <row r="1283" spans="1:4" ht="67.5">
      <c r="A1283" s="337">
        <v>92572</v>
      </c>
      <c r="B1283" s="338" t="s">
        <v>1720</v>
      </c>
      <c r="C1283" s="337" t="s">
        <v>145</v>
      </c>
      <c r="D1283" s="339">
        <v>29.66</v>
      </c>
    </row>
    <row r="1284" spans="1:4" ht="67.5">
      <c r="A1284" s="337">
        <v>92573</v>
      </c>
      <c r="B1284" s="338" t="s">
        <v>1721</v>
      </c>
      <c r="C1284" s="337" t="s">
        <v>145</v>
      </c>
      <c r="D1284" s="339">
        <v>14.13</v>
      </c>
    </row>
    <row r="1285" spans="1:4" ht="54">
      <c r="A1285" s="337">
        <v>92574</v>
      </c>
      <c r="B1285" s="338" t="s">
        <v>1722</v>
      </c>
      <c r="C1285" s="337" t="s">
        <v>145</v>
      </c>
      <c r="D1285" s="339">
        <v>64.34</v>
      </c>
    </row>
    <row r="1286" spans="1:4" ht="54">
      <c r="A1286" s="337">
        <v>92575</v>
      </c>
      <c r="B1286" s="338" t="s">
        <v>1723</v>
      </c>
      <c r="C1286" s="337" t="s">
        <v>145</v>
      </c>
      <c r="D1286" s="339">
        <v>26.79</v>
      </c>
    </row>
    <row r="1287" spans="1:4" ht="54">
      <c r="A1287" s="337">
        <v>92576</v>
      </c>
      <c r="B1287" s="338" t="s">
        <v>1724</v>
      </c>
      <c r="C1287" s="337" t="s">
        <v>145</v>
      </c>
      <c r="D1287" s="339">
        <v>9.82</v>
      </c>
    </row>
    <row r="1288" spans="1:4" ht="67.5">
      <c r="A1288" s="337">
        <v>92577</v>
      </c>
      <c r="B1288" s="338" t="s">
        <v>1725</v>
      </c>
      <c r="C1288" s="337" t="s">
        <v>145</v>
      </c>
      <c r="D1288" s="339">
        <v>69.489999999999995</v>
      </c>
    </row>
    <row r="1289" spans="1:4" ht="54">
      <c r="A1289" s="337">
        <v>92578</v>
      </c>
      <c r="B1289" s="338" t="s">
        <v>1726</v>
      </c>
      <c r="C1289" s="337" t="s">
        <v>145</v>
      </c>
      <c r="D1289" s="339">
        <v>29.62</v>
      </c>
    </row>
    <row r="1290" spans="1:4" ht="54">
      <c r="A1290" s="337">
        <v>92579</v>
      </c>
      <c r="B1290" s="338" t="s">
        <v>1727</v>
      </c>
      <c r="C1290" s="337" t="s">
        <v>145</v>
      </c>
      <c r="D1290" s="339">
        <v>11.45</v>
      </c>
    </row>
    <row r="1291" spans="1:4" ht="67.5">
      <c r="A1291" s="337">
        <v>92580</v>
      </c>
      <c r="B1291" s="338" t="s">
        <v>1728</v>
      </c>
      <c r="C1291" s="337" t="s">
        <v>145</v>
      </c>
      <c r="D1291" s="339">
        <v>28.21</v>
      </c>
    </row>
    <row r="1292" spans="1:4" ht="54">
      <c r="A1292" s="337">
        <v>92581</v>
      </c>
      <c r="B1292" s="338" t="s">
        <v>1729</v>
      </c>
      <c r="C1292" s="337" t="s">
        <v>145</v>
      </c>
      <c r="D1292" s="339">
        <v>29.41</v>
      </c>
    </row>
    <row r="1293" spans="1:4" ht="54">
      <c r="A1293" s="337">
        <v>92582</v>
      </c>
      <c r="B1293" s="338" t="s">
        <v>1730</v>
      </c>
      <c r="C1293" s="337" t="s">
        <v>474</v>
      </c>
      <c r="D1293" s="339">
        <v>404.8</v>
      </c>
    </row>
    <row r="1294" spans="1:4" ht="54">
      <c r="A1294" s="337">
        <v>92584</v>
      </c>
      <c r="B1294" s="338" t="s">
        <v>1731</v>
      </c>
      <c r="C1294" s="337" t="s">
        <v>474</v>
      </c>
      <c r="D1294" s="339">
        <v>472.46</v>
      </c>
    </row>
    <row r="1295" spans="1:4" ht="54">
      <c r="A1295" s="337">
        <v>92586</v>
      </c>
      <c r="B1295" s="338" t="s">
        <v>1732</v>
      </c>
      <c r="C1295" s="337" t="s">
        <v>474</v>
      </c>
      <c r="D1295" s="339">
        <v>540.12</v>
      </c>
    </row>
    <row r="1296" spans="1:4" ht="54">
      <c r="A1296" s="337">
        <v>92588</v>
      </c>
      <c r="B1296" s="338" t="s">
        <v>1733</v>
      </c>
      <c r="C1296" s="337" t="s">
        <v>474</v>
      </c>
      <c r="D1296" s="339">
        <v>673.47</v>
      </c>
    </row>
    <row r="1297" spans="1:4" ht="54">
      <c r="A1297" s="337">
        <v>92590</v>
      </c>
      <c r="B1297" s="338" t="s">
        <v>1734</v>
      </c>
      <c r="C1297" s="337" t="s">
        <v>474</v>
      </c>
      <c r="D1297" s="339">
        <v>741.13</v>
      </c>
    </row>
    <row r="1298" spans="1:4" ht="54">
      <c r="A1298" s="337">
        <v>92592</v>
      </c>
      <c r="B1298" s="338" t="s">
        <v>1735</v>
      </c>
      <c r="C1298" s="337" t="s">
        <v>474</v>
      </c>
      <c r="D1298" s="339">
        <v>834.06</v>
      </c>
    </row>
    <row r="1299" spans="1:4" ht="67.5">
      <c r="A1299" s="337">
        <v>92593</v>
      </c>
      <c r="B1299" s="338" t="s">
        <v>1736</v>
      </c>
      <c r="C1299" s="337" t="s">
        <v>283</v>
      </c>
      <c r="D1299" s="339">
        <v>6.31</v>
      </c>
    </row>
    <row r="1300" spans="1:4" ht="54">
      <c r="A1300" s="337">
        <v>92594</v>
      </c>
      <c r="B1300" s="338" t="s">
        <v>1737</v>
      </c>
      <c r="C1300" s="337" t="s">
        <v>474</v>
      </c>
      <c r="D1300" s="339">
        <v>955.1</v>
      </c>
    </row>
    <row r="1301" spans="1:4" ht="54">
      <c r="A1301" s="337">
        <v>92596</v>
      </c>
      <c r="B1301" s="338" t="s">
        <v>1738</v>
      </c>
      <c r="C1301" s="337" t="s">
        <v>474</v>
      </c>
      <c r="D1301" s="340">
        <v>1065.6400000000001</v>
      </c>
    </row>
    <row r="1302" spans="1:4" ht="54">
      <c r="A1302" s="337">
        <v>92598</v>
      </c>
      <c r="B1302" s="338" t="s">
        <v>1739</v>
      </c>
      <c r="C1302" s="337" t="s">
        <v>474</v>
      </c>
      <c r="D1302" s="340">
        <v>1133.29</v>
      </c>
    </row>
    <row r="1303" spans="1:4" ht="54">
      <c r="A1303" s="337">
        <v>92600</v>
      </c>
      <c r="B1303" s="338" t="s">
        <v>1740</v>
      </c>
      <c r="C1303" s="337" t="s">
        <v>474</v>
      </c>
      <c r="D1303" s="340">
        <v>1214.1300000000001</v>
      </c>
    </row>
    <row r="1304" spans="1:4" ht="67.5">
      <c r="A1304" s="337">
        <v>92602</v>
      </c>
      <c r="B1304" s="338" t="s">
        <v>1741</v>
      </c>
      <c r="C1304" s="337" t="s">
        <v>474</v>
      </c>
      <c r="D1304" s="339">
        <v>404.8</v>
      </c>
    </row>
    <row r="1305" spans="1:4" ht="67.5">
      <c r="A1305" s="337">
        <v>92604</v>
      </c>
      <c r="B1305" s="338" t="s">
        <v>1742</v>
      </c>
      <c r="C1305" s="337" t="s">
        <v>474</v>
      </c>
      <c r="D1305" s="339">
        <v>459.28</v>
      </c>
    </row>
    <row r="1306" spans="1:4" ht="67.5">
      <c r="A1306" s="337">
        <v>92606</v>
      </c>
      <c r="B1306" s="338" t="s">
        <v>1743</v>
      </c>
      <c r="C1306" s="337" t="s">
        <v>474</v>
      </c>
      <c r="D1306" s="339">
        <v>526.94000000000005</v>
      </c>
    </row>
    <row r="1307" spans="1:4" ht="67.5">
      <c r="A1307" s="337">
        <v>92608</v>
      </c>
      <c r="B1307" s="338" t="s">
        <v>1744</v>
      </c>
      <c r="C1307" s="337" t="s">
        <v>474</v>
      </c>
      <c r="D1307" s="339">
        <v>647.12</v>
      </c>
    </row>
    <row r="1308" spans="1:4" ht="67.5">
      <c r="A1308" s="337">
        <v>92610</v>
      </c>
      <c r="B1308" s="338" t="s">
        <v>1745</v>
      </c>
      <c r="C1308" s="337" t="s">
        <v>474</v>
      </c>
      <c r="D1308" s="339">
        <v>714.78</v>
      </c>
    </row>
    <row r="1309" spans="1:4" ht="67.5">
      <c r="A1309" s="337">
        <v>92612</v>
      </c>
      <c r="B1309" s="338" t="s">
        <v>1746</v>
      </c>
      <c r="C1309" s="337" t="s">
        <v>474</v>
      </c>
      <c r="D1309" s="339">
        <v>807.7</v>
      </c>
    </row>
    <row r="1310" spans="1:4" ht="67.5">
      <c r="A1310" s="337">
        <v>92614</v>
      </c>
      <c r="B1310" s="338" t="s">
        <v>1747</v>
      </c>
      <c r="C1310" s="337" t="s">
        <v>474</v>
      </c>
      <c r="D1310" s="339">
        <v>902.4</v>
      </c>
    </row>
    <row r="1311" spans="1:4" ht="67.5">
      <c r="A1311" s="337">
        <v>92616</v>
      </c>
      <c r="B1311" s="338" t="s">
        <v>1748</v>
      </c>
      <c r="C1311" s="337" t="s">
        <v>474</v>
      </c>
      <c r="D1311" s="340">
        <v>1026.1099999999999</v>
      </c>
    </row>
    <row r="1312" spans="1:4" ht="67.5">
      <c r="A1312" s="337">
        <v>92618</v>
      </c>
      <c r="B1312" s="338" t="s">
        <v>1749</v>
      </c>
      <c r="C1312" s="337" t="s">
        <v>474</v>
      </c>
      <c r="D1312" s="340">
        <v>1093.77</v>
      </c>
    </row>
    <row r="1313" spans="1:4" ht="67.5">
      <c r="A1313" s="337">
        <v>92620</v>
      </c>
      <c r="B1313" s="338" t="s">
        <v>1750</v>
      </c>
      <c r="C1313" s="337" t="s">
        <v>474</v>
      </c>
      <c r="D1313" s="340">
        <v>1161.42</v>
      </c>
    </row>
    <row r="1314" spans="1:4" ht="40.5">
      <c r="A1314" s="337">
        <v>94444</v>
      </c>
      <c r="B1314" s="338" t="s">
        <v>1751</v>
      </c>
      <c r="C1314" s="337" t="s">
        <v>145</v>
      </c>
      <c r="D1314" s="339">
        <v>628.58000000000004</v>
      </c>
    </row>
    <row r="1315" spans="1:4" ht="27">
      <c r="A1315" s="337" t="s">
        <v>1752</v>
      </c>
      <c r="B1315" s="338" t="s">
        <v>1753</v>
      </c>
      <c r="C1315" s="337" t="s">
        <v>9</v>
      </c>
      <c r="D1315" s="339">
        <v>5.48</v>
      </c>
    </row>
    <row r="1316" spans="1:4" ht="27">
      <c r="A1316" s="337" t="s">
        <v>1754</v>
      </c>
      <c r="B1316" s="338" t="s">
        <v>1755</v>
      </c>
      <c r="C1316" s="337" t="s">
        <v>172</v>
      </c>
      <c r="D1316" s="339">
        <v>25.7</v>
      </c>
    </row>
    <row r="1317" spans="1:4" ht="27">
      <c r="A1317" s="337" t="s">
        <v>1756</v>
      </c>
      <c r="B1317" s="338" t="s">
        <v>1757</v>
      </c>
      <c r="C1317" s="337" t="s">
        <v>172</v>
      </c>
      <c r="D1317" s="339">
        <v>72.400000000000006</v>
      </c>
    </row>
    <row r="1318" spans="1:4" ht="27">
      <c r="A1318" s="337" t="s">
        <v>1758</v>
      </c>
      <c r="B1318" s="338" t="s">
        <v>1759</v>
      </c>
      <c r="C1318" s="337" t="s">
        <v>172</v>
      </c>
      <c r="D1318" s="339">
        <v>28.15</v>
      </c>
    </row>
    <row r="1319" spans="1:4" ht="27">
      <c r="A1319" s="337" t="s">
        <v>1760</v>
      </c>
      <c r="B1319" s="338" t="s">
        <v>1761</v>
      </c>
      <c r="C1319" s="337" t="s">
        <v>172</v>
      </c>
      <c r="D1319" s="339">
        <v>23.82</v>
      </c>
    </row>
    <row r="1320" spans="1:4" ht="27">
      <c r="A1320" s="337" t="s">
        <v>1762</v>
      </c>
      <c r="B1320" s="338" t="s">
        <v>1763</v>
      </c>
      <c r="C1320" s="337" t="s">
        <v>145</v>
      </c>
      <c r="D1320" s="339">
        <v>5.81</v>
      </c>
    </row>
    <row r="1321" spans="1:4" ht="27">
      <c r="A1321" s="337" t="s">
        <v>1764</v>
      </c>
      <c r="B1321" s="338" t="s">
        <v>1765</v>
      </c>
      <c r="C1321" s="337" t="s">
        <v>145</v>
      </c>
      <c r="D1321" s="339">
        <v>11.38</v>
      </c>
    </row>
    <row r="1322" spans="1:4" ht="27">
      <c r="A1322" s="337" t="s">
        <v>1766</v>
      </c>
      <c r="B1322" s="338" t="s">
        <v>1767</v>
      </c>
      <c r="C1322" s="337" t="s">
        <v>178</v>
      </c>
      <c r="D1322" s="339">
        <v>93.9</v>
      </c>
    </row>
    <row r="1323" spans="1:4" ht="27">
      <c r="A1323" s="337" t="s">
        <v>1768</v>
      </c>
      <c r="B1323" s="338" t="s">
        <v>1769</v>
      </c>
      <c r="C1323" s="337" t="s">
        <v>178</v>
      </c>
      <c r="D1323" s="339">
        <v>101.95</v>
      </c>
    </row>
    <row r="1324" spans="1:4" ht="13.5">
      <c r="A1324" s="337" t="s">
        <v>1770</v>
      </c>
      <c r="B1324" s="338" t="s">
        <v>1771</v>
      </c>
      <c r="C1324" s="337" t="s">
        <v>178</v>
      </c>
      <c r="D1324" s="339">
        <v>63.04</v>
      </c>
    </row>
    <row r="1325" spans="1:4" ht="13.5">
      <c r="A1325" s="337" t="s">
        <v>1772</v>
      </c>
      <c r="B1325" s="338" t="s">
        <v>1773</v>
      </c>
      <c r="C1325" s="337" t="s">
        <v>178</v>
      </c>
      <c r="D1325" s="339">
        <v>105.91</v>
      </c>
    </row>
    <row r="1326" spans="1:4" ht="27">
      <c r="A1326" s="337" t="s">
        <v>1774</v>
      </c>
      <c r="B1326" s="338" t="s">
        <v>1775</v>
      </c>
      <c r="C1326" s="337" t="s">
        <v>145</v>
      </c>
      <c r="D1326" s="339">
        <v>43.27</v>
      </c>
    </row>
    <row r="1327" spans="1:4" ht="40.5">
      <c r="A1327" s="337" t="s">
        <v>1776</v>
      </c>
      <c r="B1327" s="338" t="s">
        <v>1777</v>
      </c>
      <c r="C1327" s="337" t="s">
        <v>172</v>
      </c>
      <c r="D1327" s="339">
        <v>65.31</v>
      </c>
    </row>
    <row r="1328" spans="1:4" ht="40.5">
      <c r="A1328" s="337" t="s">
        <v>1778</v>
      </c>
      <c r="B1328" s="338" t="s">
        <v>1779</v>
      </c>
      <c r="C1328" s="337" t="s">
        <v>172</v>
      </c>
      <c r="D1328" s="339">
        <v>46.5</v>
      </c>
    </row>
    <row r="1329" spans="1:4" ht="40.5">
      <c r="A1329" s="337" t="s">
        <v>1780</v>
      </c>
      <c r="B1329" s="338" t="s">
        <v>1781</v>
      </c>
      <c r="C1329" s="337" t="s">
        <v>172</v>
      </c>
      <c r="D1329" s="339">
        <v>65.459999999999994</v>
      </c>
    </row>
    <row r="1330" spans="1:4" ht="40.5">
      <c r="A1330" s="337" t="s">
        <v>1782</v>
      </c>
      <c r="B1330" s="338" t="s">
        <v>1783</v>
      </c>
      <c r="C1330" s="337" t="s">
        <v>172</v>
      </c>
      <c r="D1330" s="339">
        <v>44.63</v>
      </c>
    </row>
    <row r="1331" spans="1:4" ht="27">
      <c r="A1331" s="337">
        <v>83651</v>
      </c>
      <c r="B1331" s="338" t="s">
        <v>1784</v>
      </c>
      <c r="C1331" s="337" t="s">
        <v>172</v>
      </c>
      <c r="D1331" s="339">
        <v>30.07</v>
      </c>
    </row>
    <row r="1332" spans="1:4" ht="54">
      <c r="A1332" s="337">
        <v>83656</v>
      </c>
      <c r="B1332" s="338" t="s">
        <v>1785</v>
      </c>
      <c r="C1332" s="337" t="s">
        <v>145</v>
      </c>
      <c r="D1332" s="339">
        <v>38.49</v>
      </c>
    </row>
    <row r="1333" spans="1:4" ht="67.5">
      <c r="A1333" s="337">
        <v>83658</v>
      </c>
      <c r="B1333" s="338" t="s">
        <v>1786</v>
      </c>
      <c r="C1333" s="337" t="s">
        <v>172</v>
      </c>
      <c r="D1333" s="339">
        <v>142.46</v>
      </c>
    </row>
    <row r="1334" spans="1:4" ht="27">
      <c r="A1334" s="337">
        <v>83661</v>
      </c>
      <c r="B1334" s="338" t="s">
        <v>1787</v>
      </c>
      <c r="C1334" s="337" t="s">
        <v>172</v>
      </c>
      <c r="D1334" s="339">
        <v>100.71</v>
      </c>
    </row>
    <row r="1335" spans="1:4" ht="13.5">
      <c r="A1335" s="337">
        <v>83662</v>
      </c>
      <c r="B1335" s="338" t="s">
        <v>1788</v>
      </c>
      <c r="C1335" s="337" t="s">
        <v>178</v>
      </c>
      <c r="D1335" s="339">
        <v>94.48</v>
      </c>
    </row>
    <row r="1336" spans="1:4" ht="40.5">
      <c r="A1336" s="337">
        <v>83664</v>
      </c>
      <c r="B1336" s="338" t="s">
        <v>1789</v>
      </c>
      <c r="C1336" s="337" t="s">
        <v>172</v>
      </c>
      <c r="D1336" s="339">
        <v>61.05</v>
      </c>
    </row>
    <row r="1337" spans="1:4" ht="27">
      <c r="A1337" s="337">
        <v>83665</v>
      </c>
      <c r="B1337" s="338" t="s">
        <v>1790</v>
      </c>
      <c r="C1337" s="337" t="s">
        <v>145</v>
      </c>
      <c r="D1337" s="339">
        <v>7.52</v>
      </c>
    </row>
    <row r="1338" spans="1:4" ht="13.5">
      <c r="A1338" s="337">
        <v>83667</v>
      </c>
      <c r="B1338" s="338" t="s">
        <v>1791</v>
      </c>
      <c r="C1338" s="337" t="s">
        <v>178</v>
      </c>
      <c r="D1338" s="339">
        <v>104.07</v>
      </c>
    </row>
    <row r="1339" spans="1:4" ht="13.5">
      <c r="A1339" s="337">
        <v>83668</v>
      </c>
      <c r="B1339" s="338" t="s">
        <v>1792</v>
      </c>
      <c r="C1339" s="337" t="s">
        <v>178</v>
      </c>
      <c r="D1339" s="339">
        <v>105.19</v>
      </c>
    </row>
    <row r="1340" spans="1:4" ht="27">
      <c r="A1340" s="337">
        <v>83669</v>
      </c>
      <c r="B1340" s="338" t="s">
        <v>1793</v>
      </c>
      <c r="C1340" s="337" t="s">
        <v>145</v>
      </c>
      <c r="D1340" s="339">
        <v>8.9499999999999993</v>
      </c>
    </row>
    <row r="1341" spans="1:4" ht="27">
      <c r="A1341" s="337">
        <v>83670</v>
      </c>
      <c r="B1341" s="338" t="s">
        <v>1794</v>
      </c>
      <c r="C1341" s="337" t="s">
        <v>172</v>
      </c>
      <c r="D1341" s="339">
        <v>41.99</v>
      </c>
    </row>
    <row r="1342" spans="1:4" ht="27">
      <c r="A1342" s="337">
        <v>83671</v>
      </c>
      <c r="B1342" s="338" t="s">
        <v>1795</v>
      </c>
      <c r="C1342" s="337" t="s">
        <v>172</v>
      </c>
      <c r="D1342" s="339">
        <v>45.07</v>
      </c>
    </row>
    <row r="1343" spans="1:4" ht="40.5">
      <c r="A1343" s="337">
        <v>83675</v>
      </c>
      <c r="B1343" s="338" t="s">
        <v>1796</v>
      </c>
      <c r="C1343" s="337" t="s">
        <v>172</v>
      </c>
      <c r="D1343" s="339">
        <v>81.59</v>
      </c>
    </row>
    <row r="1344" spans="1:4" ht="40.5">
      <c r="A1344" s="337">
        <v>83676</v>
      </c>
      <c r="B1344" s="338" t="s">
        <v>1797</v>
      </c>
      <c r="C1344" s="337" t="s">
        <v>172</v>
      </c>
      <c r="D1344" s="339">
        <v>100.46</v>
      </c>
    </row>
    <row r="1345" spans="1:4" ht="40.5">
      <c r="A1345" s="337">
        <v>83677</v>
      </c>
      <c r="B1345" s="338" t="s">
        <v>1798</v>
      </c>
      <c r="C1345" s="337" t="s">
        <v>172</v>
      </c>
      <c r="D1345" s="339">
        <v>125.85</v>
      </c>
    </row>
    <row r="1346" spans="1:4" ht="40.5">
      <c r="A1346" s="337">
        <v>83678</v>
      </c>
      <c r="B1346" s="338" t="s">
        <v>1799</v>
      </c>
      <c r="C1346" s="337" t="s">
        <v>172</v>
      </c>
      <c r="D1346" s="339">
        <v>161.87</v>
      </c>
    </row>
    <row r="1347" spans="1:4" ht="40.5">
      <c r="A1347" s="337">
        <v>83679</v>
      </c>
      <c r="B1347" s="338" t="s">
        <v>1800</v>
      </c>
      <c r="C1347" s="337" t="s">
        <v>172</v>
      </c>
      <c r="D1347" s="339">
        <v>12.32</v>
      </c>
    </row>
    <row r="1348" spans="1:4" ht="40.5">
      <c r="A1348" s="337">
        <v>83680</v>
      </c>
      <c r="B1348" s="338" t="s">
        <v>1801</v>
      </c>
      <c r="C1348" s="337" t="s">
        <v>172</v>
      </c>
      <c r="D1348" s="339">
        <v>14.2</v>
      </c>
    </row>
    <row r="1349" spans="1:4" ht="40.5">
      <c r="A1349" s="337">
        <v>83681</v>
      </c>
      <c r="B1349" s="338" t="s">
        <v>1802</v>
      </c>
      <c r="C1349" s="337" t="s">
        <v>172</v>
      </c>
      <c r="D1349" s="339">
        <v>15.26</v>
      </c>
    </row>
    <row r="1350" spans="1:4" ht="27">
      <c r="A1350" s="337">
        <v>83682</v>
      </c>
      <c r="B1350" s="338" t="s">
        <v>1803</v>
      </c>
      <c r="C1350" s="337" t="s">
        <v>178</v>
      </c>
      <c r="D1350" s="339">
        <v>105.91</v>
      </c>
    </row>
    <row r="1351" spans="1:4" ht="27">
      <c r="A1351" s="337">
        <v>83683</v>
      </c>
      <c r="B1351" s="338" t="s">
        <v>1804</v>
      </c>
      <c r="C1351" s="337" t="s">
        <v>178</v>
      </c>
      <c r="D1351" s="339">
        <v>115.61</v>
      </c>
    </row>
    <row r="1352" spans="1:4" ht="27">
      <c r="A1352" s="337">
        <v>83729</v>
      </c>
      <c r="B1352" s="338" t="s">
        <v>1805</v>
      </c>
      <c r="C1352" s="337" t="s">
        <v>145</v>
      </c>
      <c r="D1352" s="339">
        <v>17.55</v>
      </c>
    </row>
    <row r="1353" spans="1:4" ht="27">
      <c r="A1353" s="337">
        <v>83739</v>
      </c>
      <c r="B1353" s="338" t="s">
        <v>1806</v>
      </c>
      <c r="C1353" s="337" t="s">
        <v>145</v>
      </c>
      <c r="D1353" s="339">
        <v>6.11</v>
      </c>
    </row>
    <row r="1354" spans="1:4" ht="27">
      <c r="A1354" s="337">
        <v>6454</v>
      </c>
      <c r="B1354" s="338" t="s">
        <v>1807</v>
      </c>
      <c r="C1354" s="337" t="s">
        <v>178</v>
      </c>
      <c r="D1354" s="339">
        <v>159.19</v>
      </c>
    </row>
    <row r="1355" spans="1:4" ht="27">
      <c r="A1355" s="337">
        <v>73611</v>
      </c>
      <c r="B1355" s="338" t="s">
        <v>1808</v>
      </c>
      <c r="C1355" s="337" t="s">
        <v>178</v>
      </c>
      <c r="D1355" s="339">
        <v>350.64</v>
      </c>
    </row>
    <row r="1356" spans="1:4" ht="27">
      <c r="A1356" s="337">
        <v>73697</v>
      </c>
      <c r="B1356" s="338" t="s">
        <v>1809</v>
      </c>
      <c r="C1356" s="337" t="s">
        <v>178</v>
      </c>
      <c r="D1356" s="339">
        <v>156.69</v>
      </c>
    </row>
    <row r="1357" spans="1:4" ht="27">
      <c r="A1357" s="337">
        <v>73698</v>
      </c>
      <c r="B1357" s="338" t="s">
        <v>1810</v>
      </c>
      <c r="C1357" s="337" t="s">
        <v>178</v>
      </c>
      <c r="D1357" s="339">
        <v>204.45</v>
      </c>
    </row>
    <row r="1358" spans="1:4" ht="27">
      <c r="A1358" s="337" t="s">
        <v>1811</v>
      </c>
      <c r="B1358" s="338" t="s">
        <v>1812</v>
      </c>
      <c r="C1358" s="337" t="s">
        <v>145</v>
      </c>
      <c r="D1358" s="339">
        <v>98.96</v>
      </c>
    </row>
    <row r="1359" spans="1:4" ht="13.5">
      <c r="A1359" s="337" t="s">
        <v>1813</v>
      </c>
      <c r="B1359" s="338" t="s">
        <v>1814</v>
      </c>
      <c r="C1359" s="337" t="s">
        <v>145</v>
      </c>
      <c r="D1359" s="339">
        <v>248.73</v>
      </c>
    </row>
    <row r="1360" spans="1:4" ht="81">
      <c r="A1360" s="337">
        <v>92743</v>
      </c>
      <c r="B1360" s="338" t="s">
        <v>1815</v>
      </c>
      <c r="C1360" s="337" t="s">
        <v>178</v>
      </c>
      <c r="D1360" s="339">
        <v>431.64</v>
      </c>
    </row>
    <row r="1361" spans="1:4" ht="81">
      <c r="A1361" s="337">
        <v>92744</v>
      </c>
      <c r="B1361" s="338" t="s">
        <v>1816</v>
      </c>
      <c r="C1361" s="337" t="s">
        <v>178</v>
      </c>
      <c r="D1361" s="339">
        <v>411.75</v>
      </c>
    </row>
    <row r="1362" spans="1:4" ht="81">
      <c r="A1362" s="337">
        <v>92745</v>
      </c>
      <c r="B1362" s="338" t="s">
        <v>1817</v>
      </c>
      <c r="C1362" s="337" t="s">
        <v>178</v>
      </c>
      <c r="D1362" s="339">
        <v>533.04</v>
      </c>
    </row>
    <row r="1363" spans="1:4" ht="81">
      <c r="A1363" s="337">
        <v>92746</v>
      </c>
      <c r="B1363" s="338" t="s">
        <v>1818</v>
      </c>
      <c r="C1363" s="337" t="s">
        <v>178</v>
      </c>
      <c r="D1363" s="339">
        <v>487.27</v>
      </c>
    </row>
    <row r="1364" spans="1:4" ht="81">
      <c r="A1364" s="337">
        <v>92747</v>
      </c>
      <c r="B1364" s="338" t="s">
        <v>1819</v>
      </c>
      <c r="C1364" s="337" t="s">
        <v>178</v>
      </c>
      <c r="D1364" s="339">
        <v>591.04999999999995</v>
      </c>
    </row>
    <row r="1365" spans="1:4" ht="81">
      <c r="A1365" s="337">
        <v>92748</v>
      </c>
      <c r="B1365" s="338" t="s">
        <v>1820</v>
      </c>
      <c r="C1365" s="337" t="s">
        <v>178</v>
      </c>
      <c r="D1365" s="339">
        <v>530.78</v>
      </c>
    </row>
    <row r="1366" spans="1:4" ht="67.5">
      <c r="A1366" s="337">
        <v>92749</v>
      </c>
      <c r="B1366" s="338" t="s">
        <v>1821</v>
      </c>
      <c r="C1366" s="337" t="s">
        <v>178</v>
      </c>
      <c r="D1366" s="339">
        <v>610.54999999999995</v>
      </c>
    </row>
    <row r="1367" spans="1:4" ht="67.5">
      <c r="A1367" s="337">
        <v>92750</v>
      </c>
      <c r="B1367" s="338" t="s">
        <v>1822</v>
      </c>
      <c r="C1367" s="337" t="s">
        <v>178</v>
      </c>
      <c r="D1367" s="340">
        <v>1041.6099999999999</v>
      </c>
    </row>
    <row r="1368" spans="1:4" ht="67.5">
      <c r="A1368" s="337">
        <v>92751</v>
      </c>
      <c r="B1368" s="338" t="s">
        <v>1823</v>
      </c>
      <c r="C1368" s="337" t="s">
        <v>178</v>
      </c>
      <c r="D1368" s="340">
        <v>1292.25</v>
      </c>
    </row>
    <row r="1369" spans="1:4" ht="67.5">
      <c r="A1369" s="337">
        <v>92752</v>
      </c>
      <c r="B1369" s="338" t="s">
        <v>1824</v>
      </c>
      <c r="C1369" s="337" t="s">
        <v>178</v>
      </c>
      <c r="D1369" s="340">
        <v>1541.9</v>
      </c>
    </row>
    <row r="1370" spans="1:4" ht="81">
      <c r="A1370" s="337">
        <v>92753</v>
      </c>
      <c r="B1370" s="338" t="s">
        <v>1825</v>
      </c>
      <c r="C1370" s="337" t="s">
        <v>178</v>
      </c>
      <c r="D1370" s="339">
        <v>408.9</v>
      </c>
    </row>
    <row r="1371" spans="1:4" ht="94.5">
      <c r="A1371" s="337">
        <v>92754</v>
      </c>
      <c r="B1371" s="338" t="s">
        <v>1826</v>
      </c>
      <c r="C1371" s="337" t="s">
        <v>178</v>
      </c>
      <c r="D1371" s="339">
        <v>374.71</v>
      </c>
    </row>
    <row r="1372" spans="1:4" ht="54">
      <c r="A1372" s="337">
        <v>92755</v>
      </c>
      <c r="B1372" s="338" t="s">
        <v>1827</v>
      </c>
      <c r="C1372" s="337" t="s">
        <v>145</v>
      </c>
      <c r="D1372" s="339">
        <v>156.52000000000001</v>
      </c>
    </row>
    <row r="1373" spans="1:4" ht="54">
      <c r="A1373" s="337">
        <v>92756</v>
      </c>
      <c r="B1373" s="338" t="s">
        <v>1828</v>
      </c>
      <c r="C1373" s="337" t="s">
        <v>145</v>
      </c>
      <c r="D1373" s="339">
        <v>178.18</v>
      </c>
    </row>
    <row r="1374" spans="1:4" ht="54">
      <c r="A1374" s="337">
        <v>92757</v>
      </c>
      <c r="B1374" s="338" t="s">
        <v>1829</v>
      </c>
      <c r="C1374" s="337" t="s">
        <v>145</v>
      </c>
      <c r="D1374" s="339">
        <v>204.41</v>
      </c>
    </row>
    <row r="1375" spans="1:4" ht="67.5">
      <c r="A1375" s="337">
        <v>92758</v>
      </c>
      <c r="B1375" s="338" t="s">
        <v>1830</v>
      </c>
      <c r="C1375" s="337" t="s">
        <v>178</v>
      </c>
      <c r="D1375" s="339">
        <v>486.73</v>
      </c>
    </row>
    <row r="1376" spans="1:4" ht="27">
      <c r="A1376" s="337" t="s">
        <v>1831</v>
      </c>
      <c r="B1376" s="338" t="s">
        <v>1832</v>
      </c>
      <c r="C1376" s="337" t="s">
        <v>178</v>
      </c>
      <c r="D1376" s="339">
        <v>331.19</v>
      </c>
    </row>
    <row r="1377" spans="1:4" ht="27">
      <c r="A1377" s="337" t="s">
        <v>1833</v>
      </c>
      <c r="B1377" s="338" t="s">
        <v>1834</v>
      </c>
      <c r="C1377" s="337" t="s">
        <v>178</v>
      </c>
      <c r="D1377" s="339">
        <v>472.62</v>
      </c>
    </row>
    <row r="1378" spans="1:4" ht="13.5">
      <c r="A1378" s="337" t="s">
        <v>1835</v>
      </c>
      <c r="B1378" s="338" t="s">
        <v>1836</v>
      </c>
      <c r="C1378" s="337" t="s">
        <v>178</v>
      </c>
      <c r="D1378" s="339">
        <v>443.76</v>
      </c>
    </row>
    <row r="1379" spans="1:4" ht="54">
      <c r="A1379" s="337" t="s">
        <v>1837</v>
      </c>
      <c r="B1379" s="338" t="s">
        <v>1838</v>
      </c>
      <c r="C1379" s="337" t="s">
        <v>178</v>
      </c>
      <c r="D1379" s="339">
        <v>248.5</v>
      </c>
    </row>
    <row r="1380" spans="1:4" ht="54">
      <c r="A1380" s="337" t="s">
        <v>1839</v>
      </c>
      <c r="B1380" s="338" t="s">
        <v>1840</v>
      </c>
      <c r="C1380" s="337" t="s">
        <v>178</v>
      </c>
      <c r="D1380" s="339">
        <v>111.76</v>
      </c>
    </row>
    <row r="1381" spans="1:4" ht="81">
      <c r="A1381" s="337">
        <v>91069</v>
      </c>
      <c r="B1381" s="338" t="s">
        <v>1841</v>
      </c>
      <c r="C1381" s="337" t="s">
        <v>145</v>
      </c>
      <c r="D1381" s="339">
        <v>73.94</v>
      </c>
    </row>
    <row r="1382" spans="1:4" ht="81">
      <c r="A1382" s="337">
        <v>91070</v>
      </c>
      <c r="B1382" s="338" t="s">
        <v>1842</v>
      </c>
      <c r="C1382" s="337" t="s">
        <v>145</v>
      </c>
      <c r="D1382" s="339">
        <v>82.63</v>
      </c>
    </row>
    <row r="1383" spans="1:4" ht="81">
      <c r="A1383" s="337">
        <v>91071</v>
      </c>
      <c r="B1383" s="338" t="s">
        <v>1843</v>
      </c>
      <c r="C1383" s="337" t="s">
        <v>145</v>
      </c>
      <c r="D1383" s="339">
        <v>101.45</v>
      </c>
    </row>
    <row r="1384" spans="1:4" ht="81">
      <c r="A1384" s="337">
        <v>91072</v>
      </c>
      <c r="B1384" s="338" t="s">
        <v>1844</v>
      </c>
      <c r="C1384" s="337" t="s">
        <v>145</v>
      </c>
      <c r="D1384" s="339">
        <v>110.12</v>
      </c>
    </row>
    <row r="1385" spans="1:4" ht="81">
      <c r="A1385" s="337">
        <v>91073</v>
      </c>
      <c r="B1385" s="338" t="s">
        <v>1845</v>
      </c>
      <c r="C1385" s="337" t="s">
        <v>145</v>
      </c>
      <c r="D1385" s="339">
        <v>83.5</v>
      </c>
    </row>
    <row r="1386" spans="1:4" ht="81">
      <c r="A1386" s="337">
        <v>91074</v>
      </c>
      <c r="B1386" s="338" t="s">
        <v>1846</v>
      </c>
      <c r="C1386" s="337" t="s">
        <v>145</v>
      </c>
      <c r="D1386" s="339">
        <v>93.18</v>
      </c>
    </row>
    <row r="1387" spans="1:4" ht="81">
      <c r="A1387" s="337">
        <v>91075</v>
      </c>
      <c r="B1387" s="338" t="s">
        <v>1847</v>
      </c>
      <c r="C1387" s="337" t="s">
        <v>145</v>
      </c>
      <c r="D1387" s="339">
        <v>112.9</v>
      </c>
    </row>
    <row r="1388" spans="1:4" ht="81">
      <c r="A1388" s="337">
        <v>91076</v>
      </c>
      <c r="B1388" s="338" t="s">
        <v>1848</v>
      </c>
      <c r="C1388" s="337" t="s">
        <v>145</v>
      </c>
      <c r="D1388" s="339">
        <v>122.64</v>
      </c>
    </row>
    <row r="1389" spans="1:4" ht="81">
      <c r="A1389" s="337">
        <v>91077</v>
      </c>
      <c r="B1389" s="338" t="s">
        <v>1849</v>
      </c>
      <c r="C1389" s="337" t="s">
        <v>145</v>
      </c>
      <c r="D1389" s="339">
        <v>123.62</v>
      </c>
    </row>
    <row r="1390" spans="1:4" ht="81">
      <c r="A1390" s="337">
        <v>91078</v>
      </c>
      <c r="B1390" s="338" t="s">
        <v>1850</v>
      </c>
      <c r="C1390" s="337" t="s">
        <v>145</v>
      </c>
      <c r="D1390" s="339">
        <v>146.54</v>
      </c>
    </row>
    <row r="1391" spans="1:4" ht="81">
      <c r="A1391" s="337">
        <v>91079</v>
      </c>
      <c r="B1391" s="338" t="s">
        <v>1851</v>
      </c>
      <c r="C1391" s="337" t="s">
        <v>145</v>
      </c>
      <c r="D1391" s="339">
        <v>127.68</v>
      </c>
    </row>
    <row r="1392" spans="1:4" ht="81">
      <c r="A1392" s="337">
        <v>91080</v>
      </c>
      <c r="B1392" s="338" t="s">
        <v>1852</v>
      </c>
      <c r="C1392" s="337" t="s">
        <v>145</v>
      </c>
      <c r="D1392" s="339">
        <v>150.44</v>
      </c>
    </row>
    <row r="1393" spans="1:4" ht="81">
      <c r="A1393" s="337">
        <v>91081</v>
      </c>
      <c r="B1393" s="338" t="s">
        <v>1853</v>
      </c>
      <c r="C1393" s="337" t="s">
        <v>145</v>
      </c>
      <c r="D1393" s="339">
        <v>134.26</v>
      </c>
    </row>
    <row r="1394" spans="1:4" ht="81">
      <c r="A1394" s="337">
        <v>91082</v>
      </c>
      <c r="B1394" s="338" t="s">
        <v>1854</v>
      </c>
      <c r="C1394" s="337" t="s">
        <v>145</v>
      </c>
      <c r="D1394" s="339">
        <v>158.05000000000001</v>
      </c>
    </row>
    <row r="1395" spans="1:4" ht="81">
      <c r="A1395" s="337">
        <v>91083</v>
      </c>
      <c r="B1395" s="338" t="s">
        <v>1855</v>
      </c>
      <c r="C1395" s="337" t="s">
        <v>145</v>
      </c>
      <c r="D1395" s="339">
        <v>141.4</v>
      </c>
    </row>
    <row r="1396" spans="1:4" ht="81">
      <c r="A1396" s="337">
        <v>91084</v>
      </c>
      <c r="B1396" s="338" t="s">
        <v>1856</v>
      </c>
      <c r="C1396" s="337" t="s">
        <v>145</v>
      </c>
      <c r="D1396" s="339">
        <v>165</v>
      </c>
    </row>
    <row r="1397" spans="1:4" ht="81">
      <c r="A1397" s="337">
        <v>91086</v>
      </c>
      <c r="B1397" s="338" t="s">
        <v>1857</v>
      </c>
      <c r="C1397" s="337" t="s">
        <v>145</v>
      </c>
      <c r="D1397" s="339">
        <v>80.86</v>
      </c>
    </row>
    <row r="1398" spans="1:4" ht="81">
      <c r="A1398" s="337">
        <v>91087</v>
      </c>
      <c r="B1398" s="338" t="s">
        <v>1858</v>
      </c>
      <c r="C1398" s="337" t="s">
        <v>145</v>
      </c>
      <c r="D1398" s="339">
        <v>89.78</v>
      </c>
    </row>
    <row r="1399" spans="1:4" ht="81">
      <c r="A1399" s="337">
        <v>91088</v>
      </c>
      <c r="B1399" s="338" t="s">
        <v>1859</v>
      </c>
      <c r="C1399" s="337" t="s">
        <v>145</v>
      </c>
      <c r="D1399" s="339">
        <v>109.41</v>
      </c>
    </row>
    <row r="1400" spans="1:4" ht="81">
      <c r="A1400" s="337">
        <v>91089</v>
      </c>
      <c r="B1400" s="338" t="s">
        <v>1860</v>
      </c>
      <c r="C1400" s="337" t="s">
        <v>145</v>
      </c>
      <c r="D1400" s="339">
        <v>118.43</v>
      </c>
    </row>
    <row r="1401" spans="1:4" ht="81">
      <c r="A1401" s="337">
        <v>91090</v>
      </c>
      <c r="B1401" s="338" t="s">
        <v>1861</v>
      </c>
      <c r="C1401" s="337" t="s">
        <v>145</v>
      </c>
      <c r="D1401" s="339">
        <v>89.14</v>
      </c>
    </row>
    <row r="1402" spans="1:4" ht="81">
      <c r="A1402" s="337">
        <v>91091</v>
      </c>
      <c r="B1402" s="338" t="s">
        <v>1862</v>
      </c>
      <c r="C1402" s="337" t="s">
        <v>145</v>
      </c>
      <c r="D1402" s="339">
        <v>99.19</v>
      </c>
    </row>
    <row r="1403" spans="1:4" ht="81">
      <c r="A1403" s="337">
        <v>91092</v>
      </c>
      <c r="B1403" s="338" t="s">
        <v>1863</v>
      </c>
      <c r="C1403" s="337" t="s">
        <v>145</v>
      </c>
      <c r="D1403" s="339">
        <v>119.23</v>
      </c>
    </row>
    <row r="1404" spans="1:4" ht="81">
      <c r="A1404" s="337">
        <v>91093</v>
      </c>
      <c r="B1404" s="338" t="s">
        <v>1864</v>
      </c>
      <c r="C1404" s="337" t="s">
        <v>145</v>
      </c>
      <c r="D1404" s="339">
        <v>129.52000000000001</v>
      </c>
    </row>
    <row r="1405" spans="1:4" ht="81">
      <c r="A1405" s="337">
        <v>91094</v>
      </c>
      <c r="B1405" s="338" t="s">
        <v>1865</v>
      </c>
      <c r="C1405" s="337" t="s">
        <v>145</v>
      </c>
      <c r="D1405" s="339">
        <v>127.81</v>
      </c>
    </row>
    <row r="1406" spans="1:4" ht="81">
      <c r="A1406" s="337">
        <v>91095</v>
      </c>
      <c r="B1406" s="338" t="s">
        <v>1866</v>
      </c>
      <c r="C1406" s="337" t="s">
        <v>145</v>
      </c>
      <c r="D1406" s="339">
        <v>151</v>
      </c>
    </row>
    <row r="1407" spans="1:4" ht="81">
      <c r="A1407" s="337">
        <v>91096</v>
      </c>
      <c r="B1407" s="338" t="s">
        <v>1867</v>
      </c>
      <c r="C1407" s="337" t="s">
        <v>145</v>
      </c>
      <c r="D1407" s="339">
        <v>129.94999999999999</v>
      </c>
    </row>
    <row r="1408" spans="1:4" ht="81">
      <c r="A1408" s="337">
        <v>91097</v>
      </c>
      <c r="B1408" s="338" t="s">
        <v>1868</v>
      </c>
      <c r="C1408" s="337" t="s">
        <v>145</v>
      </c>
      <c r="D1408" s="339">
        <v>153.03</v>
      </c>
    </row>
    <row r="1409" spans="1:4" ht="81">
      <c r="A1409" s="337">
        <v>91098</v>
      </c>
      <c r="B1409" s="338" t="s">
        <v>1869</v>
      </c>
      <c r="C1409" s="337" t="s">
        <v>145</v>
      </c>
      <c r="D1409" s="339">
        <v>138.37</v>
      </c>
    </row>
    <row r="1410" spans="1:4" ht="81">
      <c r="A1410" s="337">
        <v>91099</v>
      </c>
      <c r="B1410" s="338" t="s">
        <v>1870</v>
      </c>
      <c r="C1410" s="337" t="s">
        <v>145</v>
      </c>
      <c r="D1410" s="339">
        <v>162.49</v>
      </c>
    </row>
    <row r="1411" spans="1:4" ht="81">
      <c r="A1411" s="337">
        <v>91100</v>
      </c>
      <c r="B1411" s="338" t="s">
        <v>1871</v>
      </c>
      <c r="C1411" s="337" t="s">
        <v>145</v>
      </c>
      <c r="D1411" s="339">
        <v>144.09</v>
      </c>
    </row>
    <row r="1412" spans="1:4" ht="81">
      <c r="A1412" s="337">
        <v>91101</v>
      </c>
      <c r="B1412" s="338" t="s">
        <v>1872</v>
      </c>
      <c r="C1412" s="337" t="s">
        <v>145</v>
      </c>
      <c r="D1412" s="339">
        <v>168.17</v>
      </c>
    </row>
    <row r="1413" spans="1:4" ht="67.5">
      <c r="A1413" s="337">
        <v>93952</v>
      </c>
      <c r="B1413" s="338" t="s">
        <v>1873</v>
      </c>
      <c r="C1413" s="337" t="s">
        <v>172</v>
      </c>
      <c r="D1413" s="339">
        <v>143.09</v>
      </c>
    </row>
    <row r="1414" spans="1:4" ht="81">
      <c r="A1414" s="337">
        <v>93953</v>
      </c>
      <c r="B1414" s="338" t="s">
        <v>1874</v>
      </c>
      <c r="C1414" s="337" t="s">
        <v>172</v>
      </c>
      <c r="D1414" s="339">
        <v>132.85</v>
      </c>
    </row>
    <row r="1415" spans="1:4" ht="81">
      <c r="A1415" s="337">
        <v>93954</v>
      </c>
      <c r="B1415" s="338" t="s">
        <v>1875</v>
      </c>
      <c r="C1415" s="337" t="s">
        <v>172</v>
      </c>
      <c r="D1415" s="339">
        <v>126.76</v>
      </c>
    </row>
    <row r="1416" spans="1:4" ht="81">
      <c r="A1416" s="337">
        <v>93955</v>
      </c>
      <c r="B1416" s="338" t="s">
        <v>1876</v>
      </c>
      <c r="C1416" s="337" t="s">
        <v>172</v>
      </c>
      <c r="D1416" s="339">
        <v>122.43</v>
      </c>
    </row>
    <row r="1417" spans="1:4" ht="67.5">
      <c r="A1417" s="337">
        <v>93956</v>
      </c>
      <c r="B1417" s="338" t="s">
        <v>1877</v>
      </c>
      <c r="C1417" s="337" t="s">
        <v>172</v>
      </c>
      <c r="D1417" s="339">
        <v>119.05</v>
      </c>
    </row>
    <row r="1418" spans="1:4" ht="67.5">
      <c r="A1418" s="337">
        <v>93957</v>
      </c>
      <c r="B1418" s="338" t="s">
        <v>1878</v>
      </c>
      <c r="C1418" s="337" t="s">
        <v>172</v>
      </c>
      <c r="D1418" s="339">
        <v>148.59</v>
      </c>
    </row>
    <row r="1419" spans="1:4" ht="81">
      <c r="A1419" s="337">
        <v>93958</v>
      </c>
      <c r="B1419" s="338" t="s">
        <v>1879</v>
      </c>
      <c r="C1419" s="337" t="s">
        <v>172</v>
      </c>
      <c r="D1419" s="339">
        <v>137.80000000000001</v>
      </c>
    </row>
    <row r="1420" spans="1:4" ht="81">
      <c r="A1420" s="337">
        <v>93959</v>
      </c>
      <c r="B1420" s="338" t="s">
        <v>1880</v>
      </c>
      <c r="C1420" s="337" t="s">
        <v>172</v>
      </c>
      <c r="D1420" s="339">
        <v>131.44</v>
      </c>
    </row>
    <row r="1421" spans="1:4" ht="81">
      <c r="A1421" s="337">
        <v>93960</v>
      </c>
      <c r="B1421" s="338" t="s">
        <v>1881</v>
      </c>
      <c r="C1421" s="337" t="s">
        <v>172</v>
      </c>
      <c r="D1421" s="339">
        <v>126.94</v>
      </c>
    </row>
    <row r="1422" spans="1:4" ht="67.5">
      <c r="A1422" s="337">
        <v>93961</v>
      </c>
      <c r="B1422" s="338" t="s">
        <v>1882</v>
      </c>
      <c r="C1422" s="337" t="s">
        <v>172</v>
      </c>
      <c r="D1422" s="339">
        <v>123.43</v>
      </c>
    </row>
    <row r="1423" spans="1:4" ht="67.5">
      <c r="A1423" s="337">
        <v>93962</v>
      </c>
      <c r="B1423" s="338" t="s">
        <v>1883</v>
      </c>
      <c r="C1423" s="337" t="s">
        <v>172</v>
      </c>
      <c r="D1423" s="339">
        <v>133.97</v>
      </c>
    </row>
    <row r="1424" spans="1:4" ht="81">
      <c r="A1424" s="337">
        <v>93963</v>
      </c>
      <c r="B1424" s="338" t="s">
        <v>1884</v>
      </c>
      <c r="C1424" s="337" t="s">
        <v>172</v>
      </c>
      <c r="D1424" s="339">
        <v>123.74</v>
      </c>
    </row>
    <row r="1425" spans="1:4" ht="81">
      <c r="A1425" s="337">
        <v>93964</v>
      </c>
      <c r="B1425" s="338" t="s">
        <v>1885</v>
      </c>
      <c r="C1425" s="337" t="s">
        <v>172</v>
      </c>
      <c r="D1425" s="339">
        <v>117.69</v>
      </c>
    </row>
    <row r="1426" spans="1:4" ht="81">
      <c r="A1426" s="337">
        <v>93965</v>
      </c>
      <c r="B1426" s="338" t="s">
        <v>1886</v>
      </c>
      <c r="C1426" s="337" t="s">
        <v>172</v>
      </c>
      <c r="D1426" s="339">
        <v>111.97</v>
      </c>
    </row>
    <row r="1427" spans="1:4" ht="67.5">
      <c r="A1427" s="337">
        <v>93966</v>
      </c>
      <c r="B1427" s="338" t="s">
        <v>1887</v>
      </c>
      <c r="C1427" s="337" t="s">
        <v>172</v>
      </c>
      <c r="D1427" s="339">
        <v>110.02</v>
      </c>
    </row>
    <row r="1428" spans="1:4" ht="67.5">
      <c r="A1428" s="337">
        <v>93967</v>
      </c>
      <c r="B1428" s="338" t="s">
        <v>1888</v>
      </c>
      <c r="C1428" s="337" t="s">
        <v>172</v>
      </c>
      <c r="D1428" s="339">
        <v>139.43</v>
      </c>
    </row>
    <row r="1429" spans="1:4" ht="81">
      <c r="A1429" s="337">
        <v>93968</v>
      </c>
      <c r="B1429" s="338" t="s">
        <v>1889</v>
      </c>
      <c r="C1429" s="337" t="s">
        <v>172</v>
      </c>
      <c r="D1429" s="339">
        <v>128.68</v>
      </c>
    </row>
    <row r="1430" spans="1:4" ht="81">
      <c r="A1430" s="337">
        <v>93969</v>
      </c>
      <c r="B1430" s="338" t="s">
        <v>1890</v>
      </c>
      <c r="C1430" s="337" t="s">
        <v>172</v>
      </c>
      <c r="D1430" s="339">
        <v>122.35</v>
      </c>
    </row>
    <row r="1431" spans="1:4" ht="81">
      <c r="A1431" s="337">
        <v>93970</v>
      </c>
      <c r="B1431" s="338" t="s">
        <v>1891</v>
      </c>
      <c r="C1431" s="337" t="s">
        <v>172</v>
      </c>
      <c r="D1431" s="339">
        <v>117.88</v>
      </c>
    </row>
    <row r="1432" spans="1:4" ht="67.5">
      <c r="A1432" s="337">
        <v>93971</v>
      </c>
      <c r="B1432" s="338" t="s">
        <v>1892</v>
      </c>
      <c r="C1432" s="337" t="s">
        <v>172</v>
      </c>
      <c r="D1432" s="339">
        <v>110.91</v>
      </c>
    </row>
    <row r="1433" spans="1:4" ht="54">
      <c r="A1433" s="337">
        <v>95108</v>
      </c>
      <c r="B1433" s="338" t="s">
        <v>1893</v>
      </c>
      <c r="C1433" s="337" t="s">
        <v>474</v>
      </c>
      <c r="D1433" s="339">
        <v>20.47</v>
      </c>
    </row>
    <row r="1434" spans="1:4" ht="54">
      <c r="A1434" s="337">
        <v>83690</v>
      </c>
      <c r="B1434" s="338" t="s">
        <v>1894</v>
      </c>
      <c r="C1434" s="337" t="s">
        <v>178</v>
      </c>
      <c r="D1434" s="339">
        <v>458.64</v>
      </c>
    </row>
    <row r="1435" spans="1:4" ht="67.5">
      <c r="A1435" s="337" t="s">
        <v>1895</v>
      </c>
      <c r="B1435" s="338" t="s">
        <v>1896</v>
      </c>
      <c r="C1435" s="337" t="s">
        <v>474</v>
      </c>
      <c r="D1435" s="339">
        <v>329.76</v>
      </c>
    </row>
    <row r="1436" spans="1:4" ht="67.5">
      <c r="A1436" s="337" t="s">
        <v>1897</v>
      </c>
      <c r="B1436" s="338" t="s">
        <v>1898</v>
      </c>
      <c r="C1436" s="337" t="s">
        <v>474</v>
      </c>
      <c r="D1436" s="339">
        <v>474.26</v>
      </c>
    </row>
    <row r="1437" spans="1:4" ht="67.5">
      <c r="A1437" s="337" t="s">
        <v>1899</v>
      </c>
      <c r="B1437" s="338" t="s">
        <v>1900</v>
      </c>
      <c r="C1437" s="337" t="s">
        <v>474</v>
      </c>
      <c r="D1437" s="339">
        <v>780.67</v>
      </c>
    </row>
    <row r="1438" spans="1:4" ht="67.5">
      <c r="A1438" s="337" t="s">
        <v>1901</v>
      </c>
      <c r="B1438" s="338" t="s">
        <v>1902</v>
      </c>
      <c r="C1438" s="337" t="s">
        <v>474</v>
      </c>
      <c r="D1438" s="340">
        <v>1174.26</v>
      </c>
    </row>
    <row r="1439" spans="1:4" ht="67.5">
      <c r="A1439" s="337" t="s">
        <v>1903</v>
      </c>
      <c r="B1439" s="338" t="s">
        <v>1904</v>
      </c>
      <c r="C1439" s="337" t="s">
        <v>474</v>
      </c>
      <c r="D1439" s="340">
        <v>1661.24</v>
      </c>
    </row>
    <row r="1440" spans="1:4" ht="67.5">
      <c r="A1440" s="337" t="s">
        <v>1905</v>
      </c>
      <c r="B1440" s="338" t="s">
        <v>1906</v>
      </c>
      <c r="C1440" s="337" t="s">
        <v>474</v>
      </c>
      <c r="D1440" s="340">
        <v>2246.5700000000002</v>
      </c>
    </row>
    <row r="1441" spans="1:4" ht="67.5">
      <c r="A1441" s="337" t="s">
        <v>1907</v>
      </c>
      <c r="B1441" s="338" t="s">
        <v>1908</v>
      </c>
      <c r="C1441" s="337" t="s">
        <v>474</v>
      </c>
      <c r="D1441" s="339">
        <v>672.15</v>
      </c>
    </row>
    <row r="1442" spans="1:4" ht="67.5">
      <c r="A1442" s="337" t="s">
        <v>1909</v>
      </c>
      <c r="B1442" s="338" t="s">
        <v>1910</v>
      </c>
      <c r="C1442" s="337" t="s">
        <v>474</v>
      </c>
      <c r="D1442" s="340">
        <v>1112.55</v>
      </c>
    </row>
    <row r="1443" spans="1:4" ht="67.5">
      <c r="A1443" s="337" t="s">
        <v>1911</v>
      </c>
      <c r="B1443" s="338" t="s">
        <v>1912</v>
      </c>
      <c r="C1443" s="337" t="s">
        <v>474</v>
      </c>
      <c r="D1443" s="340">
        <v>1675.78</v>
      </c>
    </row>
    <row r="1444" spans="1:4" ht="67.5">
      <c r="A1444" s="337" t="s">
        <v>1913</v>
      </c>
      <c r="B1444" s="338" t="s">
        <v>1914</v>
      </c>
      <c r="C1444" s="337" t="s">
        <v>474</v>
      </c>
      <c r="D1444" s="340">
        <v>2103.77</v>
      </c>
    </row>
    <row r="1445" spans="1:4" ht="67.5">
      <c r="A1445" s="337" t="s">
        <v>1915</v>
      </c>
      <c r="B1445" s="338" t="s">
        <v>1916</v>
      </c>
      <c r="C1445" s="337" t="s">
        <v>474</v>
      </c>
      <c r="D1445" s="340">
        <v>3197.89</v>
      </c>
    </row>
    <row r="1446" spans="1:4" ht="67.5">
      <c r="A1446" s="337" t="s">
        <v>1917</v>
      </c>
      <c r="B1446" s="338" t="s">
        <v>1918</v>
      </c>
      <c r="C1446" s="337" t="s">
        <v>474</v>
      </c>
      <c r="D1446" s="339">
        <v>869.63</v>
      </c>
    </row>
    <row r="1447" spans="1:4" ht="67.5">
      <c r="A1447" s="337" t="s">
        <v>1919</v>
      </c>
      <c r="B1447" s="338" t="s">
        <v>1920</v>
      </c>
      <c r="C1447" s="337" t="s">
        <v>474</v>
      </c>
      <c r="D1447" s="340">
        <v>1444.01</v>
      </c>
    </row>
    <row r="1448" spans="1:4" ht="67.5">
      <c r="A1448" s="337" t="s">
        <v>1921</v>
      </c>
      <c r="B1448" s="338" t="s">
        <v>1922</v>
      </c>
      <c r="C1448" s="337" t="s">
        <v>474</v>
      </c>
      <c r="D1448" s="340">
        <v>2176.94</v>
      </c>
    </row>
    <row r="1449" spans="1:4" ht="67.5">
      <c r="A1449" s="337" t="s">
        <v>1923</v>
      </c>
      <c r="B1449" s="338" t="s">
        <v>1924</v>
      </c>
      <c r="C1449" s="337" t="s">
        <v>474</v>
      </c>
      <c r="D1449" s="340">
        <v>3076.21</v>
      </c>
    </row>
    <row r="1450" spans="1:4" ht="67.5">
      <c r="A1450" s="337" t="s">
        <v>1925</v>
      </c>
      <c r="B1450" s="338" t="s">
        <v>1926</v>
      </c>
      <c r="C1450" s="337" t="s">
        <v>474</v>
      </c>
      <c r="D1450" s="340">
        <v>4149.29</v>
      </c>
    </row>
    <row r="1451" spans="1:4" ht="67.5">
      <c r="A1451" s="337" t="s">
        <v>1927</v>
      </c>
      <c r="B1451" s="338" t="s">
        <v>1928</v>
      </c>
      <c r="C1451" s="337" t="s">
        <v>474</v>
      </c>
      <c r="D1451" s="340">
        <v>1312.35</v>
      </c>
    </row>
    <row r="1452" spans="1:4" ht="67.5">
      <c r="A1452" s="337">
        <v>83659</v>
      </c>
      <c r="B1452" s="338" t="s">
        <v>1929</v>
      </c>
      <c r="C1452" s="337" t="s">
        <v>474</v>
      </c>
      <c r="D1452" s="339">
        <v>687.82</v>
      </c>
    </row>
    <row r="1453" spans="1:4" ht="54">
      <c r="A1453" s="337">
        <v>83716</v>
      </c>
      <c r="B1453" s="338" t="s">
        <v>1930</v>
      </c>
      <c r="C1453" s="337" t="s">
        <v>474</v>
      </c>
      <c r="D1453" s="339">
        <v>329.03</v>
      </c>
    </row>
    <row r="1454" spans="1:4" ht="67.5">
      <c r="A1454" s="337">
        <v>97976</v>
      </c>
      <c r="B1454" s="338" t="s">
        <v>1931</v>
      </c>
      <c r="C1454" s="337" t="s">
        <v>474</v>
      </c>
      <c r="D1454" s="339">
        <v>777.73</v>
      </c>
    </row>
    <row r="1455" spans="1:4" ht="67.5">
      <c r="A1455" s="337">
        <v>97977</v>
      </c>
      <c r="B1455" s="338" t="s">
        <v>1932</v>
      </c>
      <c r="C1455" s="337" t="s">
        <v>474</v>
      </c>
      <c r="D1455" s="340">
        <v>1131.78</v>
      </c>
    </row>
    <row r="1456" spans="1:4" ht="67.5">
      <c r="A1456" s="337">
        <v>97980</v>
      </c>
      <c r="B1456" s="338" t="s">
        <v>1933</v>
      </c>
      <c r="C1456" s="337" t="s">
        <v>474</v>
      </c>
      <c r="D1456" s="340">
        <v>1452.7</v>
      </c>
    </row>
    <row r="1457" spans="1:4" ht="54">
      <c r="A1457" s="337">
        <v>97981</v>
      </c>
      <c r="B1457" s="338" t="s">
        <v>1934</v>
      </c>
      <c r="C1457" s="337" t="s">
        <v>172</v>
      </c>
      <c r="D1457" s="339">
        <v>864.52</v>
      </c>
    </row>
    <row r="1458" spans="1:4" ht="40.5">
      <c r="A1458" s="337">
        <v>97983</v>
      </c>
      <c r="B1458" s="338" t="s">
        <v>1935</v>
      </c>
      <c r="C1458" s="337" t="s">
        <v>172</v>
      </c>
      <c r="D1458" s="339">
        <v>290.93</v>
      </c>
    </row>
    <row r="1459" spans="1:4" ht="54">
      <c r="A1459" s="337">
        <v>97985</v>
      </c>
      <c r="B1459" s="338" t="s">
        <v>1936</v>
      </c>
      <c r="C1459" s="337" t="s">
        <v>172</v>
      </c>
      <c r="D1459" s="340">
        <v>1045.98</v>
      </c>
    </row>
    <row r="1460" spans="1:4" ht="40.5">
      <c r="A1460" s="337">
        <v>97987</v>
      </c>
      <c r="B1460" s="338" t="s">
        <v>1937</v>
      </c>
      <c r="C1460" s="337" t="s">
        <v>172</v>
      </c>
      <c r="D1460" s="339">
        <v>327.44</v>
      </c>
    </row>
    <row r="1461" spans="1:4" ht="67.5">
      <c r="A1461" s="337">
        <v>97988</v>
      </c>
      <c r="B1461" s="338" t="s">
        <v>1938</v>
      </c>
      <c r="C1461" s="337" t="s">
        <v>474</v>
      </c>
      <c r="D1461" s="340">
        <v>2105.09</v>
      </c>
    </row>
    <row r="1462" spans="1:4" ht="54">
      <c r="A1462" s="337">
        <v>97989</v>
      </c>
      <c r="B1462" s="338" t="s">
        <v>1939</v>
      </c>
      <c r="C1462" s="337" t="s">
        <v>172</v>
      </c>
      <c r="D1462" s="340">
        <v>1227.5</v>
      </c>
    </row>
    <row r="1463" spans="1:4" ht="40.5">
      <c r="A1463" s="337">
        <v>97991</v>
      </c>
      <c r="B1463" s="338" t="s">
        <v>1940</v>
      </c>
      <c r="C1463" s="337" t="s">
        <v>172</v>
      </c>
      <c r="D1463" s="339">
        <v>510.89</v>
      </c>
    </row>
    <row r="1464" spans="1:4" ht="67.5">
      <c r="A1464" s="337">
        <v>97992</v>
      </c>
      <c r="B1464" s="338" t="s">
        <v>1941</v>
      </c>
      <c r="C1464" s="337" t="s">
        <v>474</v>
      </c>
      <c r="D1464" s="340">
        <v>2675.27</v>
      </c>
    </row>
    <row r="1465" spans="1:4" ht="54">
      <c r="A1465" s="337">
        <v>97993</v>
      </c>
      <c r="B1465" s="338" t="s">
        <v>1942</v>
      </c>
      <c r="C1465" s="337" t="s">
        <v>172</v>
      </c>
      <c r="D1465" s="340">
        <v>1499.74</v>
      </c>
    </row>
    <row r="1466" spans="1:4" ht="67.5">
      <c r="A1466" s="337">
        <v>97994</v>
      </c>
      <c r="B1466" s="338" t="s">
        <v>1943</v>
      </c>
      <c r="C1466" s="337" t="s">
        <v>474</v>
      </c>
      <c r="D1466" s="340">
        <v>1856.78</v>
      </c>
    </row>
    <row r="1467" spans="1:4" ht="54">
      <c r="A1467" s="337">
        <v>97995</v>
      </c>
      <c r="B1467" s="338" t="s">
        <v>1944</v>
      </c>
      <c r="C1467" s="337" t="s">
        <v>172</v>
      </c>
      <c r="D1467" s="339">
        <v>951.05</v>
      </c>
    </row>
    <row r="1468" spans="1:4" ht="67.5">
      <c r="A1468" s="337">
        <v>97996</v>
      </c>
      <c r="B1468" s="338" t="s">
        <v>1945</v>
      </c>
      <c r="C1468" s="337" t="s">
        <v>474</v>
      </c>
      <c r="D1468" s="340">
        <v>2347.0500000000002</v>
      </c>
    </row>
    <row r="1469" spans="1:4" ht="54">
      <c r="A1469" s="337">
        <v>97997</v>
      </c>
      <c r="B1469" s="338" t="s">
        <v>1946</v>
      </c>
      <c r="C1469" s="337" t="s">
        <v>172</v>
      </c>
      <c r="D1469" s="340">
        <v>1139.24</v>
      </c>
    </row>
    <row r="1470" spans="1:4" ht="54">
      <c r="A1470" s="337">
        <v>97999</v>
      </c>
      <c r="B1470" s="338" t="s">
        <v>1947</v>
      </c>
      <c r="C1470" s="337" t="s">
        <v>172</v>
      </c>
      <c r="D1470" s="340">
        <v>1327.48</v>
      </c>
    </row>
    <row r="1471" spans="1:4" ht="54">
      <c r="A1471" s="337">
        <v>98001</v>
      </c>
      <c r="B1471" s="338" t="s">
        <v>1948</v>
      </c>
      <c r="C1471" s="337" t="s">
        <v>172</v>
      </c>
      <c r="D1471" s="340">
        <v>1515.67</v>
      </c>
    </row>
    <row r="1472" spans="1:4" ht="67.5">
      <c r="A1472" s="337">
        <v>98002</v>
      </c>
      <c r="B1472" s="338" t="s">
        <v>1949</v>
      </c>
      <c r="C1472" s="337" t="s">
        <v>474</v>
      </c>
      <c r="D1472" s="340">
        <v>3841.98</v>
      </c>
    </row>
    <row r="1473" spans="1:4" ht="54">
      <c r="A1473" s="337">
        <v>98003</v>
      </c>
      <c r="B1473" s="338" t="s">
        <v>1950</v>
      </c>
      <c r="C1473" s="337" t="s">
        <v>172</v>
      </c>
      <c r="D1473" s="340">
        <v>1703.93</v>
      </c>
    </row>
    <row r="1474" spans="1:4" ht="54">
      <c r="A1474" s="337">
        <v>98005</v>
      </c>
      <c r="B1474" s="338" t="s">
        <v>1951</v>
      </c>
      <c r="C1474" s="337" t="s">
        <v>172</v>
      </c>
      <c r="D1474" s="340">
        <v>1892.12</v>
      </c>
    </row>
    <row r="1475" spans="1:4" ht="67.5">
      <c r="A1475" s="337">
        <v>98006</v>
      </c>
      <c r="B1475" s="338" t="s">
        <v>1952</v>
      </c>
      <c r="C1475" s="337" t="s">
        <v>474</v>
      </c>
      <c r="D1475" s="340">
        <v>4828.55</v>
      </c>
    </row>
    <row r="1476" spans="1:4" ht="54">
      <c r="A1476" s="337">
        <v>98007</v>
      </c>
      <c r="B1476" s="338" t="s">
        <v>1953</v>
      </c>
      <c r="C1476" s="337" t="s">
        <v>172</v>
      </c>
      <c r="D1476" s="340">
        <v>2080.33</v>
      </c>
    </row>
    <row r="1477" spans="1:4" ht="67.5">
      <c r="A1477" s="337">
        <v>98008</v>
      </c>
      <c r="B1477" s="338" t="s">
        <v>1954</v>
      </c>
      <c r="C1477" s="337" t="s">
        <v>474</v>
      </c>
      <c r="D1477" s="340">
        <v>2908.96</v>
      </c>
    </row>
    <row r="1478" spans="1:4" ht="54">
      <c r="A1478" s="337">
        <v>98009</v>
      </c>
      <c r="B1478" s="338" t="s">
        <v>1955</v>
      </c>
      <c r="C1478" s="337" t="s">
        <v>172</v>
      </c>
      <c r="D1478" s="340">
        <v>1327.48</v>
      </c>
    </row>
    <row r="1479" spans="1:4" ht="67.5">
      <c r="A1479" s="337">
        <v>98010</v>
      </c>
      <c r="B1479" s="338" t="s">
        <v>1956</v>
      </c>
      <c r="C1479" s="337" t="s">
        <v>474</v>
      </c>
      <c r="D1479" s="340">
        <v>3546.01</v>
      </c>
    </row>
    <row r="1480" spans="1:4" ht="54">
      <c r="A1480" s="337">
        <v>98011</v>
      </c>
      <c r="B1480" s="338" t="s">
        <v>1957</v>
      </c>
      <c r="C1480" s="337" t="s">
        <v>172</v>
      </c>
      <c r="D1480" s="340">
        <v>1515.67</v>
      </c>
    </row>
    <row r="1481" spans="1:4" ht="67.5">
      <c r="A1481" s="337">
        <v>98012</v>
      </c>
      <c r="B1481" s="338" t="s">
        <v>1958</v>
      </c>
      <c r="C1481" s="337" t="s">
        <v>474</v>
      </c>
      <c r="D1481" s="340">
        <v>4164.0200000000004</v>
      </c>
    </row>
    <row r="1482" spans="1:4" ht="54">
      <c r="A1482" s="337">
        <v>98013</v>
      </c>
      <c r="B1482" s="338" t="s">
        <v>1959</v>
      </c>
      <c r="C1482" s="337" t="s">
        <v>172</v>
      </c>
      <c r="D1482" s="340">
        <v>1703.93</v>
      </c>
    </row>
    <row r="1483" spans="1:4" ht="67.5">
      <c r="A1483" s="337">
        <v>98014</v>
      </c>
      <c r="B1483" s="338" t="s">
        <v>1960</v>
      </c>
      <c r="C1483" s="337" t="s">
        <v>474</v>
      </c>
      <c r="D1483" s="340">
        <v>4781.8900000000003</v>
      </c>
    </row>
    <row r="1484" spans="1:4" ht="54">
      <c r="A1484" s="337">
        <v>98015</v>
      </c>
      <c r="B1484" s="338" t="s">
        <v>1961</v>
      </c>
      <c r="C1484" s="337" t="s">
        <v>172</v>
      </c>
      <c r="D1484" s="340">
        <v>1892.12</v>
      </c>
    </row>
    <row r="1485" spans="1:4" ht="67.5">
      <c r="A1485" s="337">
        <v>98016</v>
      </c>
      <c r="B1485" s="338" t="s">
        <v>1962</v>
      </c>
      <c r="C1485" s="337" t="s">
        <v>474</v>
      </c>
      <c r="D1485" s="340">
        <v>5399.89</v>
      </c>
    </row>
    <row r="1486" spans="1:4" ht="54">
      <c r="A1486" s="337">
        <v>98017</v>
      </c>
      <c r="B1486" s="338" t="s">
        <v>1963</v>
      </c>
      <c r="C1486" s="337" t="s">
        <v>172</v>
      </c>
      <c r="D1486" s="340">
        <v>2080.33</v>
      </c>
    </row>
    <row r="1487" spans="1:4" ht="67.5">
      <c r="A1487" s="337">
        <v>98018</v>
      </c>
      <c r="B1487" s="338" t="s">
        <v>1964</v>
      </c>
      <c r="C1487" s="337" t="s">
        <v>474</v>
      </c>
      <c r="D1487" s="340">
        <v>6017.87</v>
      </c>
    </row>
    <row r="1488" spans="1:4" ht="54">
      <c r="A1488" s="337">
        <v>98019</v>
      </c>
      <c r="B1488" s="338" t="s">
        <v>1965</v>
      </c>
      <c r="C1488" s="337" t="s">
        <v>172</v>
      </c>
      <c r="D1488" s="340">
        <v>2294.2399999999998</v>
      </c>
    </row>
    <row r="1489" spans="1:4" ht="67.5">
      <c r="A1489" s="337">
        <v>98020</v>
      </c>
      <c r="B1489" s="338" t="s">
        <v>1966</v>
      </c>
      <c r="C1489" s="337" t="s">
        <v>474</v>
      </c>
      <c r="D1489" s="340">
        <v>4290.2299999999996</v>
      </c>
    </row>
    <row r="1490" spans="1:4" ht="54">
      <c r="A1490" s="337">
        <v>98021</v>
      </c>
      <c r="B1490" s="338" t="s">
        <v>1967</v>
      </c>
      <c r="C1490" s="337" t="s">
        <v>172</v>
      </c>
      <c r="D1490" s="340">
        <v>1729.62</v>
      </c>
    </row>
    <row r="1491" spans="1:4" ht="67.5">
      <c r="A1491" s="337">
        <v>98022</v>
      </c>
      <c r="B1491" s="338" t="s">
        <v>1968</v>
      </c>
      <c r="C1491" s="337" t="s">
        <v>474</v>
      </c>
      <c r="D1491" s="340">
        <v>5025.6000000000004</v>
      </c>
    </row>
    <row r="1492" spans="1:4" ht="54">
      <c r="A1492" s="337">
        <v>98023</v>
      </c>
      <c r="B1492" s="338" t="s">
        <v>1969</v>
      </c>
      <c r="C1492" s="337" t="s">
        <v>172</v>
      </c>
      <c r="D1492" s="340">
        <v>1917.81</v>
      </c>
    </row>
    <row r="1493" spans="1:4" ht="67.5">
      <c r="A1493" s="337">
        <v>98024</v>
      </c>
      <c r="B1493" s="338" t="s">
        <v>1970</v>
      </c>
      <c r="C1493" s="337" t="s">
        <v>474</v>
      </c>
      <c r="D1493" s="340">
        <v>5804.51</v>
      </c>
    </row>
    <row r="1494" spans="1:4" ht="54">
      <c r="A1494" s="337">
        <v>98025</v>
      </c>
      <c r="B1494" s="338" t="s">
        <v>1971</v>
      </c>
      <c r="C1494" s="337" t="s">
        <v>172</v>
      </c>
      <c r="D1494" s="340">
        <v>2106.02</v>
      </c>
    </row>
    <row r="1495" spans="1:4" ht="67.5">
      <c r="A1495" s="337">
        <v>98026</v>
      </c>
      <c r="B1495" s="338" t="s">
        <v>1972</v>
      </c>
      <c r="C1495" s="337" t="s">
        <v>474</v>
      </c>
      <c r="D1495" s="340">
        <v>6545.28</v>
      </c>
    </row>
    <row r="1496" spans="1:4" ht="54">
      <c r="A1496" s="337">
        <v>98027</v>
      </c>
      <c r="B1496" s="338" t="s">
        <v>1973</v>
      </c>
      <c r="C1496" s="337" t="s">
        <v>172</v>
      </c>
      <c r="D1496" s="340">
        <v>2294.2399999999998</v>
      </c>
    </row>
    <row r="1497" spans="1:4" ht="67.5">
      <c r="A1497" s="337">
        <v>98028</v>
      </c>
      <c r="B1497" s="338" t="s">
        <v>1974</v>
      </c>
      <c r="C1497" s="337" t="s">
        <v>474</v>
      </c>
      <c r="D1497" s="340">
        <v>7285.98</v>
      </c>
    </row>
    <row r="1498" spans="1:4" ht="54">
      <c r="A1498" s="337">
        <v>98029</v>
      </c>
      <c r="B1498" s="338" t="s">
        <v>1975</v>
      </c>
      <c r="C1498" s="337" t="s">
        <v>172</v>
      </c>
      <c r="D1498" s="340">
        <v>2487.75</v>
      </c>
    </row>
    <row r="1499" spans="1:4" ht="67.5">
      <c r="A1499" s="337">
        <v>98030</v>
      </c>
      <c r="B1499" s="338" t="s">
        <v>1976</v>
      </c>
      <c r="C1499" s="337" t="s">
        <v>474</v>
      </c>
      <c r="D1499" s="340">
        <v>5950.72</v>
      </c>
    </row>
    <row r="1500" spans="1:4" ht="54">
      <c r="A1500" s="337">
        <v>98031</v>
      </c>
      <c r="B1500" s="338" t="s">
        <v>1977</v>
      </c>
      <c r="C1500" s="337" t="s">
        <v>172</v>
      </c>
      <c r="D1500" s="340">
        <v>2111.39</v>
      </c>
    </row>
    <row r="1501" spans="1:4" ht="67.5">
      <c r="A1501" s="337">
        <v>98032</v>
      </c>
      <c r="B1501" s="338" t="s">
        <v>1978</v>
      </c>
      <c r="C1501" s="337" t="s">
        <v>474</v>
      </c>
      <c r="D1501" s="340">
        <v>6843.8</v>
      </c>
    </row>
    <row r="1502" spans="1:4" ht="54">
      <c r="A1502" s="337">
        <v>98033</v>
      </c>
      <c r="B1502" s="338" t="s">
        <v>1979</v>
      </c>
      <c r="C1502" s="337" t="s">
        <v>172</v>
      </c>
      <c r="D1502" s="340">
        <v>2299.61</v>
      </c>
    </row>
    <row r="1503" spans="1:4" ht="67.5">
      <c r="A1503" s="337">
        <v>98034</v>
      </c>
      <c r="B1503" s="338" t="s">
        <v>1980</v>
      </c>
      <c r="C1503" s="337" t="s">
        <v>474</v>
      </c>
      <c r="D1503" s="340">
        <v>7736.92</v>
      </c>
    </row>
    <row r="1504" spans="1:4" ht="54">
      <c r="A1504" s="337">
        <v>98035</v>
      </c>
      <c r="B1504" s="338" t="s">
        <v>1981</v>
      </c>
      <c r="C1504" s="337" t="s">
        <v>172</v>
      </c>
      <c r="D1504" s="340">
        <v>2487.75</v>
      </c>
    </row>
    <row r="1505" spans="1:4" ht="67.5">
      <c r="A1505" s="337">
        <v>98036</v>
      </c>
      <c r="B1505" s="338" t="s">
        <v>1982</v>
      </c>
      <c r="C1505" s="337" t="s">
        <v>474</v>
      </c>
      <c r="D1505" s="340">
        <v>8630.0300000000007</v>
      </c>
    </row>
    <row r="1506" spans="1:4" ht="54">
      <c r="A1506" s="337">
        <v>98037</v>
      </c>
      <c r="B1506" s="338" t="s">
        <v>1983</v>
      </c>
      <c r="C1506" s="337" t="s">
        <v>172</v>
      </c>
      <c r="D1506" s="340">
        <v>2681.31</v>
      </c>
    </row>
    <row r="1507" spans="1:4" ht="67.5">
      <c r="A1507" s="337">
        <v>98038</v>
      </c>
      <c r="B1507" s="338" t="s">
        <v>1984</v>
      </c>
      <c r="C1507" s="337" t="s">
        <v>474</v>
      </c>
      <c r="D1507" s="340">
        <v>7917.29</v>
      </c>
    </row>
    <row r="1508" spans="1:4" ht="54">
      <c r="A1508" s="337">
        <v>98039</v>
      </c>
      <c r="B1508" s="338" t="s">
        <v>1985</v>
      </c>
      <c r="C1508" s="337" t="s">
        <v>172</v>
      </c>
      <c r="D1508" s="340">
        <v>2493.11</v>
      </c>
    </row>
    <row r="1509" spans="1:4" ht="67.5">
      <c r="A1509" s="337">
        <v>98040</v>
      </c>
      <c r="B1509" s="338" t="s">
        <v>1986</v>
      </c>
      <c r="C1509" s="337" t="s">
        <v>474</v>
      </c>
      <c r="D1509" s="340">
        <v>8946.67</v>
      </c>
    </row>
    <row r="1510" spans="1:4" ht="54">
      <c r="A1510" s="337">
        <v>98041</v>
      </c>
      <c r="B1510" s="338" t="s">
        <v>1987</v>
      </c>
      <c r="C1510" s="337" t="s">
        <v>172</v>
      </c>
      <c r="D1510" s="340">
        <v>2681.31</v>
      </c>
    </row>
    <row r="1511" spans="1:4" ht="67.5">
      <c r="A1511" s="337">
        <v>98042</v>
      </c>
      <c r="B1511" s="338" t="s">
        <v>1988</v>
      </c>
      <c r="C1511" s="337" t="s">
        <v>474</v>
      </c>
      <c r="D1511" s="340">
        <v>9976.08</v>
      </c>
    </row>
    <row r="1512" spans="1:4" ht="54">
      <c r="A1512" s="337">
        <v>98043</v>
      </c>
      <c r="B1512" s="338" t="s">
        <v>1989</v>
      </c>
      <c r="C1512" s="337" t="s">
        <v>172</v>
      </c>
      <c r="D1512" s="340">
        <v>2874.91</v>
      </c>
    </row>
    <row r="1513" spans="1:4" ht="67.5">
      <c r="A1513" s="337">
        <v>98044</v>
      </c>
      <c r="B1513" s="338" t="s">
        <v>1990</v>
      </c>
      <c r="C1513" s="337" t="s">
        <v>474</v>
      </c>
      <c r="D1513" s="340">
        <v>10164.370000000001</v>
      </c>
    </row>
    <row r="1514" spans="1:4" ht="54">
      <c r="A1514" s="337">
        <v>98045</v>
      </c>
      <c r="B1514" s="338" t="s">
        <v>1991</v>
      </c>
      <c r="C1514" s="337" t="s">
        <v>172</v>
      </c>
      <c r="D1514" s="340">
        <v>2874.91</v>
      </c>
    </row>
    <row r="1515" spans="1:4" ht="67.5">
      <c r="A1515" s="337">
        <v>98046</v>
      </c>
      <c r="B1515" s="338" t="s">
        <v>1992</v>
      </c>
      <c r="C1515" s="337" t="s">
        <v>474</v>
      </c>
      <c r="D1515" s="340">
        <v>11331.2</v>
      </c>
    </row>
    <row r="1516" spans="1:4" ht="54">
      <c r="A1516" s="337">
        <v>98047</v>
      </c>
      <c r="B1516" s="338" t="s">
        <v>1993</v>
      </c>
      <c r="C1516" s="337" t="s">
        <v>172</v>
      </c>
      <c r="D1516" s="340">
        <v>3068.45</v>
      </c>
    </row>
    <row r="1517" spans="1:4" ht="67.5">
      <c r="A1517" s="337">
        <v>98048</v>
      </c>
      <c r="B1517" s="338" t="s">
        <v>1994</v>
      </c>
      <c r="C1517" s="337" t="s">
        <v>474</v>
      </c>
      <c r="D1517" s="340">
        <v>12695.6</v>
      </c>
    </row>
    <row r="1518" spans="1:4" ht="54">
      <c r="A1518" s="337">
        <v>98049</v>
      </c>
      <c r="B1518" s="338" t="s">
        <v>1995</v>
      </c>
      <c r="C1518" s="337" t="s">
        <v>172</v>
      </c>
      <c r="D1518" s="340">
        <v>3209.59</v>
      </c>
    </row>
    <row r="1519" spans="1:4" ht="40.5">
      <c r="A1519" s="337">
        <v>98050</v>
      </c>
      <c r="B1519" s="338" t="s">
        <v>1996</v>
      </c>
      <c r="C1519" s="337" t="s">
        <v>172</v>
      </c>
      <c r="D1519" s="339">
        <v>155.77000000000001</v>
      </c>
    </row>
    <row r="1520" spans="1:4" ht="54">
      <c r="A1520" s="337">
        <v>98051</v>
      </c>
      <c r="B1520" s="338" t="s">
        <v>1997</v>
      </c>
      <c r="C1520" s="337" t="s">
        <v>172</v>
      </c>
      <c r="D1520" s="339">
        <v>680.45</v>
      </c>
    </row>
    <row r="1521" spans="1:4" ht="67.5">
      <c r="A1521" s="337">
        <v>98405</v>
      </c>
      <c r="B1521" s="338" t="s">
        <v>1998</v>
      </c>
      <c r="C1521" s="337" t="s">
        <v>474</v>
      </c>
      <c r="D1521" s="340">
        <v>1781.44</v>
      </c>
    </row>
    <row r="1522" spans="1:4" ht="67.5">
      <c r="A1522" s="337">
        <v>98406</v>
      </c>
      <c r="B1522" s="338" t="s">
        <v>1999</v>
      </c>
      <c r="C1522" s="337" t="s">
        <v>474</v>
      </c>
      <c r="D1522" s="340">
        <v>4335.22</v>
      </c>
    </row>
    <row r="1523" spans="1:4" ht="67.5">
      <c r="A1523" s="337">
        <v>98407</v>
      </c>
      <c r="B1523" s="338" t="s">
        <v>2000</v>
      </c>
      <c r="C1523" s="337" t="s">
        <v>474</v>
      </c>
      <c r="D1523" s="340">
        <v>2837.24</v>
      </c>
    </row>
    <row r="1524" spans="1:4" ht="67.5">
      <c r="A1524" s="337">
        <v>98408</v>
      </c>
      <c r="B1524" s="338" t="s">
        <v>2001</v>
      </c>
      <c r="C1524" s="337" t="s">
        <v>474</v>
      </c>
      <c r="D1524" s="340">
        <v>3327.48</v>
      </c>
    </row>
    <row r="1525" spans="1:4" ht="40.5">
      <c r="A1525" s="337">
        <v>98409</v>
      </c>
      <c r="B1525" s="338" t="s">
        <v>2002</v>
      </c>
      <c r="C1525" s="337" t="s">
        <v>172</v>
      </c>
      <c r="D1525" s="339">
        <v>240.21</v>
      </c>
    </row>
    <row r="1526" spans="1:4" ht="54">
      <c r="A1526" s="337">
        <v>98414</v>
      </c>
      <c r="B1526" s="338" t="s">
        <v>2003</v>
      </c>
      <c r="C1526" s="337" t="s">
        <v>474</v>
      </c>
      <c r="D1526" s="339">
        <v>817.89</v>
      </c>
    </row>
    <row r="1527" spans="1:4" ht="67.5">
      <c r="A1527" s="337">
        <v>98415</v>
      </c>
      <c r="B1527" s="338" t="s">
        <v>2004</v>
      </c>
      <c r="C1527" s="337" t="s">
        <v>474</v>
      </c>
      <c r="D1527" s="339">
        <v>817.89</v>
      </c>
    </row>
    <row r="1528" spans="1:4" ht="67.5">
      <c r="A1528" s="337">
        <v>98416</v>
      </c>
      <c r="B1528" s="338" t="s">
        <v>2005</v>
      </c>
      <c r="C1528" s="337" t="s">
        <v>474</v>
      </c>
      <c r="D1528" s="339">
        <v>963.35</v>
      </c>
    </row>
    <row r="1529" spans="1:4" ht="67.5">
      <c r="A1529" s="337">
        <v>98417</v>
      </c>
      <c r="B1529" s="338" t="s">
        <v>2006</v>
      </c>
      <c r="C1529" s="337" t="s">
        <v>474</v>
      </c>
      <c r="D1529" s="340">
        <v>1108.82</v>
      </c>
    </row>
    <row r="1530" spans="1:4" ht="67.5">
      <c r="A1530" s="337">
        <v>98418</v>
      </c>
      <c r="B1530" s="338" t="s">
        <v>2007</v>
      </c>
      <c r="C1530" s="337" t="s">
        <v>474</v>
      </c>
      <c r="D1530" s="340">
        <v>1186.7</v>
      </c>
    </row>
    <row r="1531" spans="1:4" ht="67.5">
      <c r="A1531" s="337">
        <v>98419</v>
      </c>
      <c r="B1531" s="338" t="s">
        <v>2008</v>
      </c>
      <c r="C1531" s="337" t="s">
        <v>474</v>
      </c>
      <c r="D1531" s="340">
        <v>1264.5899999999999</v>
      </c>
    </row>
    <row r="1532" spans="1:4" ht="81">
      <c r="A1532" s="337">
        <v>98420</v>
      </c>
      <c r="B1532" s="338" t="s">
        <v>2009</v>
      </c>
      <c r="C1532" s="337" t="s">
        <v>474</v>
      </c>
      <c r="D1532" s="340">
        <v>1269.02</v>
      </c>
    </row>
    <row r="1533" spans="1:4" ht="81">
      <c r="A1533" s="337">
        <v>98421</v>
      </c>
      <c r="B1533" s="338" t="s">
        <v>2010</v>
      </c>
      <c r="C1533" s="337" t="s">
        <v>474</v>
      </c>
      <c r="D1533" s="340">
        <v>1414.48</v>
      </c>
    </row>
    <row r="1534" spans="1:4" ht="81">
      <c r="A1534" s="337">
        <v>98422</v>
      </c>
      <c r="B1534" s="338" t="s">
        <v>2011</v>
      </c>
      <c r="C1534" s="337" t="s">
        <v>474</v>
      </c>
      <c r="D1534" s="340">
        <v>1559.95</v>
      </c>
    </row>
    <row r="1535" spans="1:4" ht="81">
      <c r="A1535" s="337">
        <v>98423</v>
      </c>
      <c r="B1535" s="338" t="s">
        <v>2012</v>
      </c>
      <c r="C1535" s="337" t="s">
        <v>474</v>
      </c>
      <c r="D1535" s="340">
        <v>1637.83</v>
      </c>
    </row>
    <row r="1536" spans="1:4" ht="81">
      <c r="A1536" s="337">
        <v>98424</v>
      </c>
      <c r="B1536" s="338" t="s">
        <v>2013</v>
      </c>
      <c r="C1536" s="337" t="s">
        <v>474</v>
      </c>
      <c r="D1536" s="340">
        <v>1715.72</v>
      </c>
    </row>
    <row r="1537" spans="1:4" ht="81">
      <c r="A1537" s="337">
        <v>98425</v>
      </c>
      <c r="B1537" s="338" t="s">
        <v>2014</v>
      </c>
      <c r="C1537" s="337" t="s">
        <v>474</v>
      </c>
      <c r="D1537" s="340">
        <v>2105.09</v>
      </c>
    </row>
    <row r="1538" spans="1:4" ht="81">
      <c r="A1538" s="337">
        <v>98426</v>
      </c>
      <c r="B1538" s="338" t="s">
        <v>2015</v>
      </c>
      <c r="C1538" s="337" t="s">
        <v>474</v>
      </c>
      <c r="D1538" s="340">
        <v>2718.84</v>
      </c>
    </row>
    <row r="1539" spans="1:4" ht="81">
      <c r="A1539" s="337">
        <v>98427</v>
      </c>
      <c r="B1539" s="338" t="s">
        <v>2016</v>
      </c>
      <c r="C1539" s="337" t="s">
        <v>474</v>
      </c>
      <c r="D1539" s="340">
        <v>3332.59</v>
      </c>
    </row>
    <row r="1540" spans="1:4" ht="81">
      <c r="A1540" s="337">
        <v>98428</v>
      </c>
      <c r="B1540" s="338" t="s">
        <v>2017</v>
      </c>
      <c r="C1540" s="337" t="s">
        <v>474</v>
      </c>
      <c r="D1540" s="340">
        <v>3672.81</v>
      </c>
    </row>
    <row r="1541" spans="1:4" ht="81">
      <c r="A1541" s="337">
        <v>98429</v>
      </c>
      <c r="B1541" s="338" t="s">
        <v>2018</v>
      </c>
      <c r="C1541" s="337" t="s">
        <v>474</v>
      </c>
      <c r="D1541" s="340">
        <v>4013.04</v>
      </c>
    </row>
    <row r="1542" spans="1:4" ht="94.5">
      <c r="A1542" s="337">
        <v>98430</v>
      </c>
      <c r="B1542" s="338" t="s">
        <v>2019</v>
      </c>
      <c r="C1542" s="337" t="s">
        <v>474</v>
      </c>
      <c r="D1542" s="340">
        <v>2556.2199999999998</v>
      </c>
    </row>
    <row r="1543" spans="1:4" ht="94.5">
      <c r="A1543" s="337">
        <v>98431</v>
      </c>
      <c r="B1543" s="338" t="s">
        <v>2020</v>
      </c>
      <c r="C1543" s="337" t="s">
        <v>474</v>
      </c>
      <c r="D1543" s="340">
        <v>3169.97</v>
      </c>
    </row>
    <row r="1544" spans="1:4" ht="94.5">
      <c r="A1544" s="337">
        <v>98432</v>
      </c>
      <c r="B1544" s="338" t="s">
        <v>2021</v>
      </c>
      <c r="C1544" s="337" t="s">
        <v>474</v>
      </c>
      <c r="D1544" s="340">
        <v>3783.72</v>
      </c>
    </row>
    <row r="1545" spans="1:4" ht="94.5">
      <c r="A1545" s="337">
        <v>98433</v>
      </c>
      <c r="B1545" s="338" t="s">
        <v>2022</v>
      </c>
      <c r="C1545" s="337" t="s">
        <v>474</v>
      </c>
      <c r="D1545" s="340">
        <v>4123.9399999999996</v>
      </c>
    </row>
    <row r="1546" spans="1:4" ht="94.5">
      <c r="A1546" s="337">
        <v>98434</v>
      </c>
      <c r="B1546" s="338" t="s">
        <v>2023</v>
      </c>
      <c r="C1546" s="337" t="s">
        <v>474</v>
      </c>
      <c r="D1546" s="340">
        <v>4464.17</v>
      </c>
    </row>
    <row r="1547" spans="1:4" ht="40.5">
      <c r="A1547" s="337">
        <v>94263</v>
      </c>
      <c r="B1547" s="338" t="s">
        <v>2024</v>
      </c>
      <c r="C1547" s="337" t="s">
        <v>172</v>
      </c>
      <c r="D1547" s="339">
        <v>22.16</v>
      </c>
    </row>
    <row r="1548" spans="1:4" ht="40.5">
      <c r="A1548" s="337">
        <v>94264</v>
      </c>
      <c r="B1548" s="338" t="s">
        <v>2025</v>
      </c>
      <c r="C1548" s="337" t="s">
        <v>172</v>
      </c>
      <c r="D1548" s="339">
        <v>24.76</v>
      </c>
    </row>
    <row r="1549" spans="1:4" ht="40.5">
      <c r="A1549" s="337">
        <v>94265</v>
      </c>
      <c r="B1549" s="338" t="s">
        <v>2026</v>
      </c>
      <c r="C1549" s="337" t="s">
        <v>172</v>
      </c>
      <c r="D1549" s="339">
        <v>28.9</v>
      </c>
    </row>
    <row r="1550" spans="1:4" ht="40.5">
      <c r="A1550" s="337">
        <v>94266</v>
      </c>
      <c r="B1550" s="338" t="s">
        <v>2027</v>
      </c>
      <c r="C1550" s="337" t="s">
        <v>172</v>
      </c>
      <c r="D1550" s="339">
        <v>31.84</v>
      </c>
    </row>
    <row r="1551" spans="1:4" ht="67.5">
      <c r="A1551" s="337">
        <v>94267</v>
      </c>
      <c r="B1551" s="338" t="s">
        <v>2028</v>
      </c>
      <c r="C1551" s="337" t="s">
        <v>172</v>
      </c>
      <c r="D1551" s="339">
        <v>34.26</v>
      </c>
    </row>
    <row r="1552" spans="1:4" ht="67.5">
      <c r="A1552" s="337">
        <v>94268</v>
      </c>
      <c r="B1552" s="338" t="s">
        <v>2029</v>
      </c>
      <c r="C1552" s="337" t="s">
        <v>172</v>
      </c>
      <c r="D1552" s="339">
        <v>37.520000000000003</v>
      </c>
    </row>
    <row r="1553" spans="1:4" ht="67.5">
      <c r="A1553" s="337">
        <v>94269</v>
      </c>
      <c r="B1553" s="338" t="s">
        <v>2030</v>
      </c>
      <c r="C1553" s="337" t="s">
        <v>172</v>
      </c>
      <c r="D1553" s="339">
        <v>48.74</v>
      </c>
    </row>
    <row r="1554" spans="1:4" ht="67.5">
      <c r="A1554" s="337">
        <v>94270</v>
      </c>
      <c r="B1554" s="338" t="s">
        <v>2031</v>
      </c>
      <c r="C1554" s="337" t="s">
        <v>172</v>
      </c>
      <c r="D1554" s="339">
        <v>53.28</v>
      </c>
    </row>
    <row r="1555" spans="1:4" ht="67.5">
      <c r="A1555" s="337">
        <v>94271</v>
      </c>
      <c r="B1555" s="338" t="s">
        <v>2032</v>
      </c>
      <c r="C1555" s="337" t="s">
        <v>172</v>
      </c>
      <c r="D1555" s="339">
        <v>59.47</v>
      </c>
    </row>
    <row r="1556" spans="1:4" ht="67.5">
      <c r="A1556" s="337">
        <v>94272</v>
      </c>
      <c r="B1556" s="338" t="s">
        <v>2033</v>
      </c>
      <c r="C1556" s="337" t="s">
        <v>172</v>
      </c>
      <c r="D1556" s="339">
        <v>65.510000000000005</v>
      </c>
    </row>
    <row r="1557" spans="1:4" ht="81">
      <c r="A1557" s="337">
        <v>94273</v>
      </c>
      <c r="B1557" s="338" t="s">
        <v>2034</v>
      </c>
      <c r="C1557" s="337" t="s">
        <v>172</v>
      </c>
      <c r="D1557" s="339">
        <v>32.909999999999997</v>
      </c>
    </row>
    <row r="1558" spans="1:4" ht="81">
      <c r="A1558" s="337">
        <v>94274</v>
      </c>
      <c r="B1558" s="338" t="s">
        <v>2035</v>
      </c>
      <c r="C1558" s="337" t="s">
        <v>172</v>
      </c>
      <c r="D1558" s="339">
        <v>35.76</v>
      </c>
    </row>
    <row r="1559" spans="1:4" ht="94.5">
      <c r="A1559" s="337">
        <v>94275</v>
      </c>
      <c r="B1559" s="338" t="s">
        <v>2036</v>
      </c>
      <c r="C1559" s="337" t="s">
        <v>172</v>
      </c>
      <c r="D1559" s="339">
        <v>31.41</v>
      </c>
    </row>
    <row r="1560" spans="1:4" ht="94.5">
      <c r="A1560" s="337">
        <v>94276</v>
      </c>
      <c r="B1560" s="338" t="s">
        <v>2037</v>
      </c>
      <c r="C1560" s="337" t="s">
        <v>172</v>
      </c>
      <c r="D1560" s="339">
        <v>34.25</v>
      </c>
    </row>
    <row r="1561" spans="1:4" ht="54">
      <c r="A1561" s="337">
        <v>94281</v>
      </c>
      <c r="B1561" s="338" t="s">
        <v>2038</v>
      </c>
      <c r="C1561" s="337" t="s">
        <v>172</v>
      </c>
      <c r="D1561" s="339">
        <v>33.880000000000003</v>
      </c>
    </row>
    <row r="1562" spans="1:4" ht="54">
      <c r="A1562" s="337">
        <v>94282</v>
      </c>
      <c r="B1562" s="338" t="s">
        <v>2039</v>
      </c>
      <c r="C1562" s="337" t="s">
        <v>172</v>
      </c>
      <c r="D1562" s="339">
        <v>42.53</v>
      </c>
    </row>
    <row r="1563" spans="1:4" ht="54">
      <c r="A1563" s="337">
        <v>94283</v>
      </c>
      <c r="B1563" s="338" t="s">
        <v>2040</v>
      </c>
      <c r="C1563" s="337" t="s">
        <v>172</v>
      </c>
      <c r="D1563" s="339">
        <v>43.83</v>
      </c>
    </row>
    <row r="1564" spans="1:4" ht="54">
      <c r="A1564" s="337">
        <v>94284</v>
      </c>
      <c r="B1564" s="338" t="s">
        <v>2041</v>
      </c>
      <c r="C1564" s="337" t="s">
        <v>172</v>
      </c>
      <c r="D1564" s="339">
        <v>52.47</v>
      </c>
    </row>
    <row r="1565" spans="1:4" ht="54">
      <c r="A1565" s="337">
        <v>94285</v>
      </c>
      <c r="B1565" s="338" t="s">
        <v>2042</v>
      </c>
      <c r="C1565" s="337" t="s">
        <v>172</v>
      </c>
      <c r="D1565" s="339">
        <v>53.34</v>
      </c>
    </row>
    <row r="1566" spans="1:4" ht="54">
      <c r="A1566" s="337">
        <v>94286</v>
      </c>
      <c r="B1566" s="338" t="s">
        <v>2043</v>
      </c>
      <c r="C1566" s="337" t="s">
        <v>172</v>
      </c>
      <c r="D1566" s="339">
        <v>61.98</v>
      </c>
    </row>
    <row r="1567" spans="1:4" ht="54">
      <c r="A1567" s="337">
        <v>94287</v>
      </c>
      <c r="B1567" s="338" t="s">
        <v>2044</v>
      </c>
      <c r="C1567" s="337" t="s">
        <v>172</v>
      </c>
      <c r="D1567" s="339">
        <v>26.66</v>
      </c>
    </row>
    <row r="1568" spans="1:4" ht="54">
      <c r="A1568" s="337">
        <v>94288</v>
      </c>
      <c r="B1568" s="338" t="s">
        <v>2045</v>
      </c>
      <c r="C1568" s="337" t="s">
        <v>172</v>
      </c>
      <c r="D1568" s="339">
        <v>34.22</v>
      </c>
    </row>
    <row r="1569" spans="1:4" ht="54">
      <c r="A1569" s="337">
        <v>94289</v>
      </c>
      <c r="B1569" s="338" t="s">
        <v>2046</v>
      </c>
      <c r="C1569" s="337" t="s">
        <v>172</v>
      </c>
      <c r="D1569" s="339">
        <v>33.799999999999997</v>
      </c>
    </row>
    <row r="1570" spans="1:4" ht="54">
      <c r="A1570" s="337">
        <v>94290</v>
      </c>
      <c r="B1570" s="338" t="s">
        <v>2047</v>
      </c>
      <c r="C1570" s="337" t="s">
        <v>172</v>
      </c>
      <c r="D1570" s="339">
        <v>41.37</v>
      </c>
    </row>
    <row r="1571" spans="1:4" ht="54">
      <c r="A1571" s="337">
        <v>94291</v>
      </c>
      <c r="B1571" s="338" t="s">
        <v>2048</v>
      </c>
      <c r="C1571" s="337" t="s">
        <v>172</v>
      </c>
      <c r="D1571" s="339">
        <v>40.56</v>
      </c>
    </row>
    <row r="1572" spans="1:4" ht="54">
      <c r="A1572" s="337">
        <v>94292</v>
      </c>
      <c r="B1572" s="338" t="s">
        <v>2049</v>
      </c>
      <c r="C1572" s="337" t="s">
        <v>172</v>
      </c>
      <c r="D1572" s="339">
        <v>48.13</v>
      </c>
    </row>
    <row r="1573" spans="1:4" ht="54">
      <c r="A1573" s="337">
        <v>94293</v>
      </c>
      <c r="B1573" s="338" t="s">
        <v>2050</v>
      </c>
      <c r="C1573" s="337" t="s">
        <v>172</v>
      </c>
      <c r="D1573" s="339">
        <v>103.92</v>
      </c>
    </row>
    <row r="1574" spans="1:4" ht="40.5">
      <c r="A1574" s="337">
        <v>94294</v>
      </c>
      <c r="B1574" s="338" t="s">
        <v>2051</v>
      </c>
      <c r="C1574" s="337" t="s">
        <v>172</v>
      </c>
      <c r="D1574" s="339">
        <v>5.97</v>
      </c>
    </row>
    <row r="1575" spans="1:4" ht="67.5">
      <c r="A1575" s="337">
        <v>94037</v>
      </c>
      <c r="B1575" s="338" t="s">
        <v>2052</v>
      </c>
      <c r="C1575" s="337" t="s">
        <v>145</v>
      </c>
      <c r="D1575" s="339">
        <v>13.52</v>
      </c>
    </row>
    <row r="1576" spans="1:4" ht="67.5">
      <c r="A1576" s="337">
        <v>94038</v>
      </c>
      <c r="B1576" s="338" t="s">
        <v>2053</v>
      </c>
      <c r="C1576" s="337" t="s">
        <v>145</v>
      </c>
      <c r="D1576" s="339">
        <v>19.13</v>
      </c>
    </row>
    <row r="1577" spans="1:4" ht="67.5">
      <c r="A1577" s="337">
        <v>94039</v>
      </c>
      <c r="B1577" s="338" t="s">
        <v>2054</v>
      </c>
      <c r="C1577" s="337" t="s">
        <v>145</v>
      </c>
      <c r="D1577" s="339">
        <v>10.55</v>
      </c>
    </row>
    <row r="1578" spans="1:4" ht="67.5">
      <c r="A1578" s="337">
        <v>94040</v>
      </c>
      <c r="B1578" s="338" t="s">
        <v>2055</v>
      </c>
      <c r="C1578" s="337" t="s">
        <v>145</v>
      </c>
      <c r="D1578" s="339">
        <v>16.190000000000001</v>
      </c>
    </row>
    <row r="1579" spans="1:4" ht="67.5">
      <c r="A1579" s="337">
        <v>94041</v>
      </c>
      <c r="B1579" s="338" t="s">
        <v>2056</v>
      </c>
      <c r="C1579" s="337" t="s">
        <v>145</v>
      </c>
      <c r="D1579" s="339">
        <v>7.91</v>
      </c>
    </row>
    <row r="1580" spans="1:4" ht="67.5">
      <c r="A1580" s="337">
        <v>94042</v>
      </c>
      <c r="B1580" s="338" t="s">
        <v>2057</v>
      </c>
      <c r="C1580" s="337" t="s">
        <v>145</v>
      </c>
      <c r="D1580" s="339">
        <v>13.7</v>
      </c>
    </row>
    <row r="1581" spans="1:4" ht="67.5">
      <c r="A1581" s="337">
        <v>94043</v>
      </c>
      <c r="B1581" s="338" t="s">
        <v>2058</v>
      </c>
      <c r="C1581" s="337" t="s">
        <v>145</v>
      </c>
      <c r="D1581" s="339">
        <v>12.65</v>
      </c>
    </row>
    <row r="1582" spans="1:4" ht="67.5">
      <c r="A1582" s="337">
        <v>94044</v>
      </c>
      <c r="B1582" s="338" t="s">
        <v>2059</v>
      </c>
      <c r="C1582" s="337" t="s">
        <v>145</v>
      </c>
      <c r="D1582" s="339">
        <v>18.28</v>
      </c>
    </row>
    <row r="1583" spans="1:4" ht="67.5">
      <c r="A1583" s="337">
        <v>94045</v>
      </c>
      <c r="B1583" s="338" t="s">
        <v>2060</v>
      </c>
      <c r="C1583" s="337" t="s">
        <v>145</v>
      </c>
      <c r="D1583" s="339">
        <v>9.7100000000000009</v>
      </c>
    </row>
    <row r="1584" spans="1:4" ht="81">
      <c r="A1584" s="337">
        <v>94046</v>
      </c>
      <c r="B1584" s="338" t="s">
        <v>2061</v>
      </c>
      <c r="C1584" s="337" t="s">
        <v>145</v>
      </c>
      <c r="D1584" s="339">
        <v>15.32</v>
      </c>
    </row>
    <row r="1585" spans="1:4" ht="67.5">
      <c r="A1585" s="337">
        <v>94047</v>
      </c>
      <c r="B1585" s="338" t="s">
        <v>2062</v>
      </c>
      <c r="C1585" s="337" t="s">
        <v>145</v>
      </c>
      <c r="D1585" s="339">
        <v>7.06</v>
      </c>
    </row>
    <row r="1586" spans="1:4" ht="81">
      <c r="A1586" s="337">
        <v>94048</v>
      </c>
      <c r="B1586" s="338" t="s">
        <v>2063</v>
      </c>
      <c r="C1586" s="337" t="s">
        <v>145</v>
      </c>
      <c r="D1586" s="339">
        <v>12.83</v>
      </c>
    </row>
    <row r="1587" spans="1:4" ht="54">
      <c r="A1587" s="337">
        <v>94049</v>
      </c>
      <c r="B1587" s="338" t="s">
        <v>2064</v>
      </c>
      <c r="C1587" s="337" t="s">
        <v>145</v>
      </c>
      <c r="D1587" s="339">
        <v>20.82</v>
      </c>
    </row>
    <row r="1588" spans="1:4" ht="67.5">
      <c r="A1588" s="337">
        <v>94050</v>
      </c>
      <c r="B1588" s="338" t="s">
        <v>2065</v>
      </c>
      <c r="C1588" s="337" t="s">
        <v>145</v>
      </c>
      <c r="D1588" s="339">
        <v>28.09</v>
      </c>
    </row>
    <row r="1589" spans="1:4" ht="54">
      <c r="A1589" s="337">
        <v>94051</v>
      </c>
      <c r="B1589" s="338" t="s">
        <v>2066</v>
      </c>
      <c r="C1589" s="337" t="s">
        <v>145</v>
      </c>
      <c r="D1589" s="339">
        <v>16.82</v>
      </c>
    </row>
    <row r="1590" spans="1:4" ht="67.5">
      <c r="A1590" s="337">
        <v>94052</v>
      </c>
      <c r="B1590" s="338" t="s">
        <v>2067</v>
      </c>
      <c r="C1590" s="337" t="s">
        <v>145</v>
      </c>
      <c r="D1590" s="339">
        <v>23.98</v>
      </c>
    </row>
    <row r="1591" spans="1:4" ht="54">
      <c r="A1591" s="337">
        <v>94053</v>
      </c>
      <c r="B1591" s="338" t="s">
        <v>2068</v>
      </c>
      <c r="C1591" s="337" t="s">
        <v>145</v>
      </c>
      <c r="D1591" s="339">
        <v>13.89</v>
      </c>
    </row>
    <row r="1592" spans="1:4" ht="67.5">
      <c r="A1592" s="337">
        <v>94054</v>
      </c>
      <c r="B1592" s="338" t="s">
        <v>2069</v>
      </c>
      <c r="C1592" s="337" t="s">
        <v>145</v>
      </c>
      <c r="D1592" s="339">
        <v>21.2</v>
      </c>
    </row>
    <row r="1593" spans="1:4" ht="54">
      <c r="A1593" s="337">
        <v>94055</v>
      </c>
      <c r="B1593" s="338" t="s">
        <v>2070</v>
      </c>
      <c r="C1593" s="337" t="s">
        <v>145</v>
      </c>
      <c r="D1593" s="339">
        <v>19.7</v>
      </c>
    </row>
    <row r="1594" spans="1:4" ht="67.5">
      <c r="A1594" s="337">
        <v>94056</v>
      </c>
      <c r="B1594" s="338" t="s">
        <v>2071</v>
      </c>
      <c r="C1594" s="337" t="s">
        <v>145</v>
      </c>
      <c r="D1594" s="339">
        <v>26.98</v>
      </c>
    </row>
    <row r="1595" spans="1:4" ht="67.5">
      <c r="A1595" s="337">
        <v>94057</v>
      </c>
      <c r="B1595" s="338" t="s">
        <v>2072</v>
      </c>
      <c r="C1595" s="337" t="s">
        <v>145</v>
      </c>
      <c r="D1595" s="339">
        <v>15.72</v>
      </c>
    </row>
    <row r="1596" spans="1:4" ht="67.5">
      <c r="A1596" s="337">
        <v>94058</v>
      </c>
      <c r="B1596" s="338" t="s">
        <v>2073</v>
      </c>
      <c r="C1596" s="337" t="s">
        <v>145</v>
      </c>
      <c r="D1596" s="339">
        <v>22.86</v>
      </c>
    </row>
    <row r="1597" spans="1:4" ht="67.5">
      <c r="A1597" s="337">
        <v>94059</v>
      </c>
      <c r="B1597" s="338" t="s">
        <v>2074</v>
      </c>
      <c r="C1597" s="337" t="s">
        <v>145</v>
      </c>
      <c r="D1597" s="339">
        <v>12.79</v>
      </c>
    </row>
    <row r="1598" spans="1:4" ht="67.5">
      <c r="A1598" s="337">
        <v>94060</v>
      </c>
      <c r="B1598" s="338" t="s">
        <v>2075</v>
      </c>
      <c r="C1598" s="337" t="s">
        <v>145</v>
      </c>
      <c r="D1598" s="339">
        <v>20.079999999999998</v>
      </c>
    </row>
    <row r="1599" spans="1:4" ht="27">
      <c r="A1599" s="337" t="s">
        <v>2076</v>
      </c>
      <c r="B1599" s="338" t="s">
        <v>2077</v>
      </c>
      <c r="C1599" s="337" t="s">
        <v>145</v>
      </c>
      <c r="D1599" s="339">
        <v>54.35</v>
      </c>
    </row>
    <row r="1600" spans="1:4" ht="27">
      <c r="A1600" s="337" t="s">
        <v>2078</v>
      </c>
      <c r="B1600" s="338" t="s">
        <v>2079</v>
      </c>
      <c r="C1600" s="337" t="s">
        <v>145</v>
      </c>
      <c r="D1600" s="339">
        <v>37</v>
      </c>
    </row>
    <row r="1601" spans="1:4" ht="27">
      <c r="A1601" s="337">
        <v>83770</v>
      </c>
      <c r="B1601" s="338" t="s">
        <v>2080</v>
      </c>
      <c r="C1601" s="337" t="s">
        <v>145</v>
      </c>
      <c r="D1601" s="339">
        <v>119.83</v>
      </c>
    </row>
    <row r="1602" spans="1:4" ht="54">
      <c r="A1602" s="337">
        <v>73301</v>
      </c>
      <c r="B1602" s="338" t="s">
        <v>2081</v>
      </c>
      <c r="C1602" s="337" t="s">
        <v>178</v>
      </c>
      <c r="D1602" s="339">
        <v>8.48</v>
      </c>
    </row>
    <row r="1603" spans="1:4" ht="54">
      <c r="A1603" s="337">
        <v>83515</v>
      </c>
      <c r="B1603" s="338" t="s">
        <v>2082</v>
      </c>
      <c r="C1603" s="337" t="s">
        <v>178</v>
      </c>
      <c r="D1603" s="339">
        <v>10.41</v>
      </c>
    </row>
    <row r="1604" spans="1:4" ht="54">
      <c r="A1604" s="337">
        <v>83516</v>
      </c>
      <c r="B1604" s="338" t="s">
        <v>2083</v>
      </c>
      <c r="C1604" s="337" t="s">
        <v>178</v>
      </c>
      <c r="D1604" s="339">
        <v>12.01</v>
      </c>
    </row>
    <row r="1605" spans="1:4" ht="40.5">
      <c r="A1605" s="337">
        <v>72144</v>
      </c>
      <c r="B1605" s="338" t="s">
        <v>2084</v>
      </c>
      <c r="C1605" s="337" t="s">
        <v>474</v>
      </c>
      <c r="D1605" s="339">
        <v>72.62</v>
      </c>
    </row>
    <row r="1606" spans="1:4" ht="54">
      <c r="A1606" s="337" t="s">
        <v>2085</v>
      </c>
      <c r="B1606" s="338" t="s">
        <v>2086</v>
      </c>
      <c r="C1606" s="337" t="s">
        <v>474</v>
      </c>
      <c r="D1606" s="339">
        <v>662.74</v>
      </c>
    </row>
    <row r="1607" spans="1:4" ht="54">
      <c r="A1607" s="337" t="s">
        <v>2087</v>
      </c>
      <c r="B1607" s="338" t="s">
        <v>2088</v>
      </c>
      <c r="C1607" s="337" t="s">
        <v>474</v>
      </c>
      <c r="D1607" s="339">
        <v>777.94</v>
      </c>
    </row>
    <row r="1608" spans="1:4" ht="54">
      <c r="A1608" s="337">
        <v>84874</v>
      </c>
      <c r="B1608" s="338" t="s">
        <v>2089</v>
      </c>
      <c r="C1608" s="337" t="s">
        <v>474</v>
      </c>
      <c r="D1608" s="339">
        <v>153.47999999999999</v>
      </c>
    </row>
    <row r="1609" spans="1:4" ht="27">
      <c r="A1609" s="337">
        <v>84876</v>
      </c>
      <c r="B1609" s="338" t="s">
        <v>2090</v>
      </c>
      <c r="C1609" s="337" t="s">
        <v>145</v>
      </c>
      <c r="D1609" s="339">
        <v>532.66999999999996</v>
      </c>
    </row>
    <row r="1610" spans="1:4" ht="40.5">
      <c r="A1610" s="337">
        <v>90800</v>
      </c>
      <c r="B1610" s="338" t="s">
        <v>2091</v>
      </c>
      <c r="C1610" s="337" t="s">
        <v>474</v>
      </c>
      <c r="D1610" s="339">
        <v>152.97</v>
      </c>
    </row>
    <row r="1611" spans="1:4" ht="40.5">
      <c r="A1611" s="337">
        <v>90801</v>
      </c>
      <c r="B1611" s="338" t="s">
        <v>2092</v>
      </c>
      <c r="C1611" s="337" t="s">
        <v>474</v>
      </c>
      <c r="D1611" s="339">
        <v>159.51</v>
      </c>
    </row>
    <row r="1612" spans="1:4" ht="40.5">
      <c r="A1612" s="337">
        <v>90802</v>
      </c>
      <c r="B1612" s="338" t="s">
        <v>2093</v>
      </c>
      <c r="C1612" s="337" t="s">
        <v>474</v>
      </c>
      <c r="D1612" s="339">
        <v>166.08</v>
      </c>
    </row>
    <row r="1613" spans="1:4" ht="40.5">
      <c r="A1613" s="337">
        <v>90803</v>
      </c>
      <c r="B1613" s="338" t="s">
        <v>2094</v>
      </c>
      <c r="C1613" s="337" t="s">
        <v>474</v>
      </c>
      <c r="D1613" s="339">
        <v>172.63</v>
      </c>
    </row>
    <row r="1614" spans="1:4" ht="54">
      <c r="A1614" s="337">
        <v>90804</v>
      </c>
      <c r="B1614" s="338" t="s">
        <v>2095</v>
      </c>
      <c r="C1614" s="337" t="s">
        <v>474</v>
      </c>
      <c r="D1614" s="339">
        <v>209.09</v>
      </c>
    </row>
    <row r="1615" spans="1:4" ht="40.5">
      <c r="A1615" s="337">
        <v>90805</v>
      </c>
      <c r="B1615" s="338" t="s">
        <v>2096</v>
      </c>
      <c r="C1615" s="337" t="s">
        <v>474</v>
      </c>
      <c r="D1615" s="339">
        <v>56.12</v>
      </c>
    </row>
    <row r="1616" spans="1:4" ht="54">
      <c r="A1616" s="337">
        <v>90806</v>
      </c>
      <c r="B1616" s="338" t="s">
        <v>2097</v>
      </c>
      <c r="C1616" s="337" t="s">
        <v>474</v>
      </c>
      <c r="D1616" s="339">
        <v>220.26</v>
      </c>
    </row>
    <row r="1617" spans="1:4" ht="40.5">
      <c r="A1617" s="337">
        <v>90807</v>
      </c>
      <c r="B1617" s="338" t="s">
        <v>2098</v>
      </c>
      <c r="C1617" s="337" t="s">
        <v>474</v>
      </c>
      <c r="D1617" s="339">
        <v>60.75</v>
      </c>
    </row>
    <row r="1618" spans="1:4" ht="54">
      <c r="A1618" s="337">
        <v>90816</v>
      </c>
      <c r="B1618" s="338" t="s">
        <v>2099</v>
      </c>
      <c r="C1618" s="337" t="s">
        <v>474</v>
      </c>
      <c r="D1618" s="339">
        <v>231.44</v>
      </c>
    </row>
    <row r="1619" spans="1:4" ht="40.5">
      <c r="A1619" s="337">
        <v>90817</v>
      </c>
      <c r="B1619" s="338" t="s">
        <v>2100</v>
      </c>
      <c r="C1619" s="337" t="s">
        <v>474</v>
      </c>
      <c r="D1619" s="339">
        <v>65.36</v>
      </c>
    </row>
    <row r="1620" spans="1:4" ht="54">
      <c r="A1620" s="337">
        <v>90818</v>
      </c>
      <c r="B1620" s="338" t="s">
        <v>2101</v>
      </c>
      <c r="C1620" s="337" t="s">
        <v>474</v>
      </c>
      <c r="D1620" s="339">
        <v>242.65</v>
      </c>
    </row>
    <row r="1621" spans="1:4" ht="40.5">
      <c r="A1621" s="337">
        <v>90819</v>
      </c>
      <c r="B1621" s="338" t="s">
        <v>2102</v>
      </c>
      <c r="C1621" s="337" t="s">
        <v>474</v>
      </c>
      <c r="D1621" s="339">
        <v>70.02</v>
      </c>
    </row>
    <row r="1622" spans="1:4" ht="54">
      <c r="A1622" s="337">
        <v>90820</v>
      </c>
      <c r="B1622" s="338" t="s">
        <v>2103</v>
      </c>
      <c r="C1622" s="337" t="s">
        <v>474</v>
      </c>
      <c r="D1622" s="339">
        <v>281.63</v>
      </c>
    </row>
    <row r="1623" spans="1:4" ht="54">
      <c r="A1623" s="337">
        <v>90821</v>
      </c>
      <c r="B1623" s="338" t="s">
        <v>2104</v>
      </c>
      <c r="C1623" s="337" t="s">
        <v>474</v>
      </c>
      <c r="D1623" s="339">
        <v>309.10000000000002</v>
      </c>
    </row>
    <row r="1624" spans="1:4" ht="54">
      <c r="A1624" s="337">
        <v>90822</v>
      </c>
      <c r="B1624" s="338" t="s">
        <v>2105</v>
      </c>
      <c r="C1624" s="337" t="s">
        <v>474</v>
      </c>
      <c r="D1624" s="339">
        <v>304.55</v>
      </c>
    </row>
    <row r="1625" spans="1:4" ht="54">
      <c r="A1625" s="337">
        <v>90823</v>
      </c>
      <c r="B1625" s="338" t="s">
        <v>2106</v>
      </c>
      <c r="C1625" s="337" t="s">
        <v>474</v>
      </c>
      <c r="D1625" s="339">
        <v>321.70999999999998</v>
      </c>
    </row>
    <row r="1626" spans="1:4" ht="54">
      <c r="A1626" s="337">
        <v>90826</v>
      </c>
      <c r="B1626" s="338" t="s">
        <v>2107</v>
      </c>
      <c r="C1626" s="337" t="s">
        <v>474</v>
      </c>
      <c r="D1626" s="339">
        <v>22.96</v>
      </c>
    </row>
    <row r="1627" spans="1:4" ht="54">
      <c r="A1627" s="337">
        <v>90827</v>
      </c>
      <c r="B1627" s="338" t="s">
        <v>2108</v>
      </c>
      <c r="C1627" s="337" t="s">
        <v>474</v>
      </c>
      <c r="D1627" s="339">
        <v>24.2</v>
      </c>
    </row>
    <row r="1628" spans="1:4" ht="54">
      <c r="A1628" s="337">
        <v>90828</v>
      </c>
      <c r="B1628" s="338" t="s">
        <v>2109</v>
      </c>
      <c r="C1628" s="337" t="s">
        <v>474</v>
      </c>
      <c r="D1628" s="339">
        <v>25.45</v>
      </c>
    </row>
    <row r="1629" spans="1:4" ht="54">
      <c r="A1629" s="337">
        <v>90829</v>
      </c>
      <c r="B1629" s="338" t="s">
        <v>2110</v>
      </c>
      <c r="C1629" s="337" t="s">
        <v>474</v>
      </c>
      <c r="D1629" s="339">
        <v>26.73</v>
      </c>
    </row>
    <row r="1630" spans="1:4" ht="54">
      <c r="A1630" s="337">
        <v>90830</v>
      </c>
      <c r="B1630" s="338" t="s">
        <v>2111</v>
      </c>
      <c r="C1630" s="337" t="s">
        <v>474</v>
      </c>
      <c r="D1630" s="339">
        <v>88.71</v>
      </c>
    </row>
    <row r="1631" spans="1:4" ht="54">
      <c r="A1631" s="337">
        <v>90831</v>
      </c>
      <c r="B1631" s="338" t="s">
        <v>2112</v>
      </c>
      <c r="C1631" s="337" t="s">
        <v>474</v>
      </c>
      <c r="D1631" s="339">
        <v>69.510000000000005</v>
      </c>
    </row>
    <row r="1632" spans="1:4" ht="94.5">
      <c r="A1632" s="337">
        <v>90841</v>
      </c>
      <c r="B1632" s="338" t="s">
        <v>2113</v>
      </c>
      <c r="C1632" s="337" t="s">
        <v>474</v>
      </c>
      <c r="D1632" s="339">
        <v>606.15</v>
      </c>
    </row>
    <row r="1633" spans="1:4" ht="94.5">
      <c r="A1633" s="337">
        <v>90842</v>
      </c>
      <c r="B1633" s="338" t="s">
        <v>2114</v>
      </c>
      <c r="C1633" s="337" t="s">
        <v>474</v>
      </c>
      <c r="D1633" s="339">
        <v>653.37</v>
      </c>
    </row>
    <row r="1634" spans="1:4" ht="94.5">
      <c r="A1634" s="337">
        <v>90843</v>
      </c>
      <c r="B1634" s="338" t="s">
        <v>2115</v>
      </c>
      <c r="C1634" s="337" t="s">
        <v>474</v>
      </c>
      <c r="D1634" s="339">
        <v>675.6</v>
      </c>
    </row>
    <row r="1635" spans="1:4" ht="94.5">
      <c r="A1635" s="337">
        <v>90844</v>
      </c>
      <c r="B1635" s="338" t="s">
        <v>2116</v>
      </c>
      <c r="C1635" s="337" t="s">
        <v>474</v>
      </c>
      <c r="D1635" s="339">
        <v>706.53</v>
      </c>
    </row>
    <row r="1636" spans="1:4" ht="81">
      <c r="A1636" s="337">
        <v>90847</v>
      </c>
      <c r="B1636" s="338" t="s">
        <v>2117</v>
      </c>
      <c r="C1636" s="337" t="s">
        <v>474</v>
      </c>
      <c r="D1636" s="339">
        <v>536.64</v>
      </c>
    </row>
    <row r="1637" spans="1:4" ht="81">
      <c r="A1637" s="337">
        <v>90848</v>
      </c>
      <c r="B1637" s="338" t="s">
        <v>2118</v>
      </c>
      <c r="C1637" s="337" t="s">
        <v>474</v>
      </c>
      <c r="D1637" s="339">
        <v>577.76</v>
      </c>
    </row>
    <row r="1638" spans="1:4" ht="81">
      <c r="A1638" s="337">
        <v>90849</v>
      </c>
      <c r="B1638" s="338" t="s">
        <v>2119</v>
      </c>
      <c r="C1638" s="337" t="s">
        <v>474</v>
      </c>
      <c r="D1638" s="339">
        <v>586.89</v>
      </c>
    </row>
    <row r="1639" spans="1:4" ht="81">
      <c r="A1639" s="337">
        <v>90850</v>
      </c>
      <c r="B1639" s="338" t="s">
        <v>2120</v>
      </c>
      <c r="C1639" s="337" t="s">
        <v>474</v>
      </c>
      <c r="D1639" s="339">
        <v>617.82000000000005</v>
      </c>
    </row>
    <row r="1640" spans="1:4" ht="54">
      <c r="A1640" s="337">
        <v>91009</v>
      </c>
      <c r="B1640" s="338" t="s">
        <v>2121</v>
      </c>
      <c r="C1640" s="337" t="s">
        <v>474</v>
      </c>
      <c r="D1640" s="339">
        <v>289.16000000000003</v>
      </c>
    </row>
    <row r="1641" spans="1:4" ht="54">
      <c r="A1641" s="337">
        <v>91010</v>
      </c>
      <c r="B1641" s="338" t="s">
        <v>2122</v>
      </c>
      <c r="C1641" s="337" t="s">
        <v>474</v>
      </c>
      <c r="D1641" s="339">
        <v>226.6</v>
      </c>
    </row>
    <row r="1642" spans="1:4" ht="54">
      <c r="A1642" s="337">
        <v>91011</v>
      </c>
      <c r="B1642" s="338" t="s">
        <v>2123</v>
      </c>
      <c r="C1642" s="337" t="s">
        <v>474</v>
      </c>
      <c r="D1642" s="339">
        <v>332.74</v>
      </c>
    </row>
    <row r="1643" spans="1:4" ht="54">
      <c r="A1643" s="337">
        <v>91012</v>
      </c>
      <c r="B1643" s="338" t="s">
        <v>2124</v>
      </c>
      <c r="C1643" s="337" t="s">
        <v>474</v>
      </c>
      <c r="D1643" s="339">
        <v>315.92</v>
      </c>
    </row>
    <row r="1644" spans="1:4" ht="81">
      <c r="A1644" s="337">
        <v>91013</v>
      </c>
      <c r="B1644" s="338" t="s">
        <v>2125</v>
      </c>
      <c r="C1644" s="337" t="s">
        <v>474</v>
      </c>
      <c r="D1644" s="339">
        <v>544.16999999999996</v>
      </c>
    </row>
    <row r="1645" spans="1:4" ht="81">
      <c r="A1645" s="337">
        <v>91014</v>
      </c>
      <c r="B1645" s="338" t="s">
        <v>2126</v>
      </c>
      <c r="C1645" s="337" t="s">
        <v>474</v>
      </c>
      <c r="D1645" s="339">
        <v>495.26</v>
      </c>
    </row>
    <row r="1646" spans="1:4" ht="81">
      <c r="A1646" s="337">
        <v>91015</v>
      </c>
      <c r="B1646" s="338" t="s">
        <v>2127</v>
      </c>
      <c r="C1646" s="337" t="s">
        <v>474</v>
      </c>
      <c r="D1646" s="339">
        <v>615.08000000000004</v>
      </c>
    </row>
    <row r="1647" spans="1:4" ht="81">
      <c r="A1647" s="337">
        <v>91016</v>
      </c>
      <c r="B1647" s="338" t="s">
        <v>2128</v>
      </c>
      <c r="C1647" s="337" t="s">
        <v>474</v>
      </c>
      <c r="D1647" s="339">
        <v>612.03</v>
      </c>
    </row>
    <row r="1648" spans="1:4" ht="40.5">
      <c r="A1648" s="337">
        <v>91286</v>
      </c>
      <c r="B1648" s="338" t="s">
        <v>2129</v>
      </c>
      <c r="C1648" s="337" t="s">
        <v>474</v>
      </c>
      <c r="D1648" s="339">
        <v>122.79</v>
      </c>
    </row>
    <row r="1649" spans="1:4" ht="40.5">
      <c r="A1649" s="337">
        <v>91287</v>
      </c>
      <c r="B1649" s="338" t="s">
        <v>2130</v>
      </c>
      <c r="C1649" s="337" t="s">
        <v>474</v>
      </c>
      <c r="D1649" s="339">
        <v>129.33000000000001</v>
      </c>
    </row>
    <row r="1650" spans="1:4" ht="40.5">
      <c r="A1650" s="337">
        <v>91288</v>
      </c>
      <c r="B1650" s="338" t="s">
        <v>2131</v>
      </c>
      <c r="C1650" s="337" t="s">
        <v>474</v>
      </c>
      <c r="D1650" s="339">
        <v>135.9</v>
      </c>
    </row>
    <row r="1651" spans="1:4" ht="40.5">
      <c r="A1651" s="337">
        <v>91290</v>
      </c>
      <c r="B1651" s="338" t="s">
        <v>2132</v>
      </c>
      <c r="C1651" s="337" t="s">
        <v>474</v>
      </c>
      <c r="D1651" s="339">
        <v>142.44999999999999</v>
      </c>
    </row>
    <row r="1652" spans="1:4" ht="54">
      <c r="A1652" s="337">
        <v>91291</v>
      </c>
      <c r="B1652" s="338" t="s">
        <v>2133</v>
      </c>
      <c r="C1652" s="337" t="s">
        <v>474</v>
      </c>
      <c r="D1652" s="339">
        <v>178.91</v>
      </c>
    </row>
    <row r="1653" spans="1:4" ht="54">
      <c r="A1653" s="337">
        <v>91292</v>
      </c>
      <c r="B1653" s="338" t="s">
        <v>2134</v>
      </c>
      <c r="C1653" s="337" t="s">
        <v>474</v>
      </c>
      <c r="D1653" s="339">
        <v>190.08</v>
      </c>
    </row>
    <row r="1654" spans="1:4" ht="54">
      <c r="A1654" s="337">
        <v>91293</v>
      </c>
      <c r="B1654" s="338" t="s">
        <v>2135</v>
      </c>
      <c r="C1654" s="337" t="s">
        <v>474</v>
      </c>
      <c r="D1654" s="339">
        <v>201.26</v>
      </c>
    </row>
    <row r="1655" spans="1:4" ht="54">
      <c r="A1655" s="337">
        <v>91294</v>
      </c>
      <c r="B1655" s="338" t="s">
        <v>2136</v>
      </c>
      <c r="C1655" s="337" t="s">
        <v>474</v>
      </c>
      <c r="D1655" s="339">
        <v>212.47</v>
      </c>
    </row>
    <row r="1656" spans="1:4" ht="54">
      <c r="A1656" s="337">
        <v>91295</v>
      </c>
      <c r="B1656" s="338" t="s">
        <v>2137</v>
      </c>
      <c r="C1656" s="337" t="s">
        <v>474</v>
      </c>
      <c r="D1656" s="339">
        <v>268.94</v>
      </c>
    </row>
    <row r="1657" spans="1:4" ht="54">
      <c r="A1657" s="337">
        <v>91296</v>
      </c>
      <c r="B1657" s="338" t="s">
        <v>2138</v>
      </c>
      <c r="C1657" s="337" t="s">
        <v>474</v>
      </c>
      <c r="D1657" s="339">
        <v>287.11</v>
      </c>
    </row>
    <row r="1658" spans="1:4" ht="54">
      <c r="A1658" s="337">
        <v>91297</v>
      </c>
      <c r="B1658" s="338" t="s">
        <v>2139</v>
      </c>
      <c r="C1658" s="337" t="s">
        <v>474</v>
      </c>
      <c r="D1658" s="339">
        <v>334.81</v>
      </c>
    </row>
    <row r="1659" spans="1:4" ht="54">
      <c r="A1659" s="337">
        <v>91298</v>
      </c>
      <c r="B1659" s="338" t="s">
        <v>2140</v>
      </c>
      <c r="C1659" s="337" t="s">
        <v>474</v>
      </c>
      <c r="D1659" s="339">
        <v>449.63</v>
      </c>
    </row>
    <row r="1660" spans="1:4" ht="54">
      <c r="A1660" s="337">
        <v>91299</v>
      </c>
      <c r="B1660" s="338" t="s">
        <v>2141</v>
      </c>
      <c r="C1660" s="337" t="s">
        <v>474</v>
      </c>
      <c r="D1660" s="339">
        <v>624.89</v>
      </c>
    </row>
    <row r="1661" spans="1:4" ht="54">
      <c r="A1661" s="337">
        <v>91300</v>
      </c>
      <c r="B1661" s="338" t="s">
        <v>2142</v>
      </c>
      <c r="C1661" s="337" t="s">
        <v>474</v>
      </c>
      <c r="D1661" s="339">
        <v>19.43</v>
      </c>
    </row>
    <row r="1662" spans="1:4" ht="54">
      <c r="A1662" s="337">
        <v>91301</v>
      </c>
      <c r="B1662" s="338" t="s">
        <v>2143</v>
      </c>
      <c r="C1662" s="337" t="s">
        <v>474</v>
      </c>
      <c r="D1662" s="339">
        <v>20.61</v>
      </c>
    </row>
    <row r="1663" spans="1:4" ht="54">
      <c r="A1663" s="337">
        <v>91302</v>
      </c>
      <c r="B1663" s="338" t="s">
        <v>2144</v>
      </c>
      <c r="C1663" s="337" t="s">
        <v>474</v>
      </c>
      <c r="D1663" s="339">
        <v>21.79</v>
      </c>
    </row>
    <row r="1664" spans="1:4" ht="54">
      <c r="A1664" s="337">
        <v>91303</v>
      </c>
      <c r="B1664" s="338" t="s">
        <v>2145</v>
      </c>
      <c r="C1664" s="337" t="s">
        <v>474</v>
      </c>
      <c r="D1664" s="339">
        <v>23.01</v>
      </c>
    </row>
    <row r="1665" spans="1:4" ht="54">
      <c r="A1665" s="337">
        <v>91304</v>
      </c>
      <c r="B1665" s="338" t="s">
        <v>2146</v>
      </c>
      <c r="C1665" s="337" t="s">
        <v>474</v>
      </c>
      <c r="D1665" s="339">
        <v>67.400000000000006</v>
      </c>
    </row>
    <row r="1666" spans="1:4" ht="54">
      <c r="A1666" s="337">
        <v>91305</v>
      </c>
      <c r="B1666" s="338" t="s">
        <v>2147</v>
      </c>
      <c r="C1666" s="337" t="s">
        <v>474</v>
      </c>
      <c r="D1666" s="339">
        <v>50.89</v>
      </c>
    </row>
    <row r="1667" spans="1:4" ht="54">
      <c r="A1667" s="337">
        <v>91306</v>
      </c>
      <c r="B1667" s="338" t="s">
        <v>2148</v>
      </c>
      <c r="C1667" s="337" t="s">
        <v>474</v>
      </c>
      <c r="D1667" s="339">
        <v>75.61</v>
      </c>
    </row>
    <row r="1668" spans="1:4" ht="54">
      <c r="A1668" s="337">
        <v>91307</v>
      </c>
      <c r="B1668" s="338" t="s">
        <v>2149</v>
      </c>
      <c r="C1668" s="337" t="s">
        <v>474</v>
      </c>
      <c r="D1668" s="339">
        <v>53.39</v>
      </c>
    </row>
    <row r="1669" spans="1:4" ht="94.5">
      <c r="A1669" s="337">
        <v>91312</v>
      </c>
      <c r="B1669" s="338" t="s">
        <v>2150</v>
      </c>
      <c r="C1669" s="337" t="s">
        <v>474</v>
      </c>
      <c r="D1669" s="339">
        <v>550.29</v>
      </c>
    </row>
    <row r="1670" spans="1:4" ht="94.5">
      <c r="A1670" s="337">
        <v>91313</v>
      </c>
      <c r="B1670" s="338" t="s">
        <v>2151</v>
      </c>
      <c r="C1670" s="337" t="s">
        <v>474</v>
      </c>
      <c r="D1670" s="339">
        <v>593.79</v>
      </c>
    </row>
    <row r="1671" spans="1:4" ht="94.5">
      <c r="A1671" s="337">
        <v>91314</v>
      </c>
      <c r="B1671" s="338" t="s">
        <v>2152</v>
      </c>
      <c r="C1671" s="337" t="s">
        <v>474</v>
      </c>
      <c r="D1671" s="339">
        <v>616.79</v>
      </c>
    </row>
    <row r="1672" spans="1:4" ht="94.5">
      <c r="A1672" s="337">
        <v>91315</v>
      </c>
      <c r="B1672" s="338" t="s">
        <v>2153</v>
      </c>
      <c r="C1672" s="337" t="s">
        <v>474</v>
      </c>
      <c r="D1672" s="339">
        <v>647.6</v>
      </c>
    </row>
    <row r="1673" spans="1:4" ht="81">
      <c r="A1673" s="337">
        <v>91318</v>
      </c>
      <c r="B1673" s="338" t="s">
        <v>2154</v>
      </c>
      <c r="C1673" s="337" t="s">
        <v>474</v>
      </c>
      <c r="D1673" s="339">
        <v>499.4</v>
      </c>
    </row>
    <row r="1674" spans="1:4" ht="81">
      <c r="A1674" s="337">
        <v>91319</v>
      </c>
      <c r="B1674" s="338" t="s">
        <v>2155</v>
      </c>
      <c r="C1674" s="337" t="s">
        <v>474</v>
      </c>
      <c r="D1674" s="339">
        <v>540.4</v>
      </c>
    </row>
    <row r="1675" spans="1:4" ht="81">
      <c r="A1675" s="337">
        <v>91320</v>
      </c>
      <c r="B1675" s="338" t="s">
        <v>2156</v>
      </c>
      <c r="C1675" s="337" t="s">
        <v>474</v>
      </c>
      <c r="D1675" s="339">
        <v>549.39</v>
      </c>
    </row>
    <row r="1676" spans="1:4" ht="81">
      <c r="A1676" s="337">
        <v>91321</v>
      </c>
      <c r="B1676" s="338" t="s">
        <v>2157</v>
      </c>
      <c r="C1676" s="337" t="s">
        <v>474</v>
      </c>
      <c r="D1676" s="339">
        <v>580.20000000000005</v>
      </c>
    </row>
    <row r="1677" spans="1:4" ht="81">
      <c r="A1677" s="337">
        <v>91324</v>
      </c>
      <c r="B1677" s="338" t="s">
        <v>2158</v>
      </c>
      <c r="C1677" s="337" t="s">
        <v>474</v>
      </c>
      <c r="D1677" s="339">
        <v>506.93</v>
      </c>
    </row>
    <row r="1678" spans="1:4" ht="81">
      <c r="A1678" s="337">
        <v>91325</v>
      </c>
      <c r="B1678" s="338" t="s">
        <v>2159</v>
      </c>
      <c r="C1678" s="337" t="s">
        <v>474</v>
      </c>
      <c r="D1678" s="339">
        <v>457.9</v>
      </c>
    </row>
    <row r="1679" spans="1:4" ht="81">
      <c r="A1679" s="337">
        <v>91326</v>
      </c>
      <c r="B1679" s="338" t="s">
        <v>2160</v>
      </c>
      <c r="C1679" s="337" t="s">
        <v>474</v>
      </c>
      <c r="D1679" s="339">
        <v>577.58000000000004</v>
      </c>
    </row>
    <row r="1680" spans="1:4" ht="81">
      <c r="A1680" s="337">
        <v>91327</v>
      </c>
      <c r="B1680" s="338" t="s">
        <v>2161</v>
      </c>
      <c r="C1680" s="337" t="s">
        <v>474</v>
      </c>
      <c r="D1680" s="339">
        <v>574.41</v>
      </c>
    </row>
    <row r="1681" spans="1:4" ht="81">
      <c r="A1681" s="337">
        <v>91328</v>
      </c>
      <c r="B1681" s="338" t="s">
        <v>2162</v>
      </c>
      <c r="C1681" s="337" t="s">
        <v>474</v>
      </c>
      <c r="D1681" s="339">
        <v>523.95000000000005</v>
      </c>
    </row>
    <row r="1682" spans="1:4" ht="81">
      <c r="A1682" s="337">
        <v>91329</v>
      </c>
      <c r="B1682" s="338" t="s">
        <v>2163</v>
      </c>
      <c r="C1682" s="337" t="s">
        <v>474</v>
      </c>
      <c r="D1682" s="339">
        <v>486.71</v>
      </c>
    </row>
    <row r="1683" spans="1:4" ht="81">
      <c r="A1683" s="337">
        <v>91330</v>
      </c>
      <c r="B1683" s="338" t="s">
        <v>2164</v>
      </c>
      <c r="C1683" s="337" t="s">
        <v>474</v>
      </c>
      <c r="D1683" s="339">
        <v>555.77</v>
      </c>
    </row>
    <row r="1684" spans="1:4" ht="81">
      <c r="A1684" s="337">
        <v>91331</v>
      </c>
      <c r="B1684" s="338" t="s">
        <v>2165</v>
      </c>
      <c r="C1684" s="337" t="s">
        <v>474</v>
      </c>
      <c r="D1684" s="339">
        <v>518.41</v>
      </c>
    </row>
    <row r="1685" spans="1:4" ht="81">
      <c r="A1685" s="337">
        <v>91332</v>
      </c>
      <c r="B1685" s="338" t="s">
        <v>2166</v>
      </c>
      <c r="C1685" s="337" t="s">
        <v>474</v>
      </c>
      <c r="D1685" s="339">
        <v>617.15</v>
      </c>
    </row>
    <row r="1686" spans="1:4" ht="81">
      <c r="A1686" s="337">
        <v>91333</v>
      </c>
      <c r="B1686" s="338" t="s">
        <v>2167</v>
      </c>
      <c r="C1686" s="337" t="s">
        <v>474</v>
      </c>
      <c r="D1686" s="339">
        <v>579.65</v>
      </c>
    </row>
    <row r="1687" spans="1:4" ht="81">
      <c r="A1687" s="337">
        <v>91334</v>
      </c>
      <c r="B1687" s="338" t="s">
        <v>2168</v>
      </c>
      <c r="C1687" s="337" t="s">
        <v>474</v>
      </c>
      <c r="D1687" s="339">
        <v>731.97</v>
      </c>
    </row>
    <row r="1688" spans="1:4" ht="81">
      <c r="A1688" s="337">
        <v>91335</v>
      </c>
      <c r="B1688" s="338" t="s">
        <v>2169</v>
      </c>
      <c r="C1688" s="337" t="s">
        <v>474</v>
      </c>
      <c r="D1688" s="339">
        <v>694.47</v>
      </c>
    </row>
    <row r="1689" spans="1:4" ht="81">
      <c r="A1689" s="337">
        <v>91336</v>
      </c>
      <c r="B1689" s="338" t="s">
        <v>2170</v>
      </c>
      <c r="C1689" s="337" t="s">
        <v>474</v>
      </c>
      <c r="D1689" s="339">
        <v>907.23</v>
      </c>
    </row>
    <row r="1690" spans="1:4" ht="81">
      <c r="A1690" s="337">
        <v>91337</v>
      </c>
      <c r="B1690" s="338" t="s">
        <v>2171</v>
      </c>
      <c r="C1690" s="337" t="s">
        <v>474</v>
      </c>
      <c r="D1690" s="339">
        <v>869.73</v>
      </c>
    </row>
    <row r="1691" spans="1:4" ht="40.5">
      <c r="A1691" s="337" t="s">
        <v>2172</v>
      </c>
      <c r="B1691" s="338" t="s">
        <v>2173</v>
      </c>
      <c r="C1691" s="337" t="s">
        <v>474</v>
      </c>
      <c r="D1691" s="340">
        <v>1368.29</v>
      </c>
    </row>
    <row r="1692" spans="1:4" ht="40.5">
      <c r="A1692" s="337">
        <v>84844</v>
      </c>
      <c r="B1692" s="338" t="s">
        <v>2174</v>
      </c>
      <c r="C1692" s="337" t="s">
        <v>145</v>
      </c>
      <c r="D1692" s="339">
        <v>392.45</v>
      </c>
    </row>
    <row r="1693" spans="1:4" ht="27">
      <c r="A1693" s="337">
        <v>84845</v>
      </c>
      <c r="B1693" s="338" t="s">
        <v>2175</v>
      </c>
      <c r="C1693" s="337" t="s">
        <v>145</v>
      </c>
      <c r="D1693" s="339">
        <v>599.41</v>
      </c>
    </row>
    <row r="1694" spans="1:4" ht="40.5">
      <c r="A1694" s="337">
        <v>84846</v>
      </c>
      <c r="B1694" s="338" t="s">
        <v>2176</v>
      </c>
      <c r="C1694" s="337" t="s">
        <v>145</v>
      </c>
      <c r="D1694" s="339">
        <v>608.36</v>
      </c>
    </row>
    <row r="1695" spans="1:4" ht="27">
      <c r="A1695" s="337">
        <v>84847</v>
      </c>
      <c r="B1695" s="338" t="s">
        <v>2177</v>
      </c>
      <c r="C1695" s="337" t="s">
        <v>145</v>
      </c>
      <c r="D1695" s="339">
        <v>608.36</v>
      </c>
    </row>
    <row r="1696" spans="1:4" ht="40.5">
      <c r="A1696" s="337">
        <v>84848</v>
      </c>
      <c r="B1696" s="338" t="s">
        <v>2178</v>
      </c>
      <c r="C1696" s="337" t="s">
        <v>145</v>
      </c>
      <c r="D1696" s="339">
        <v>481.9</v>
      </c>
    </row>
    <row r="1697" spans="1:4" ht="27">
      <c r="A1697" s="337">
        <v>84849</v>
      </c>
      <c r="B1697" s="338" t="s">
        <v>2179</v>
      </c>
      <c r="C1697" s="337" t="s">
        <v>474</v>
      </c>
      <c r="D1697" s="339">
        <v>77.56</v>
      </c>
    </row>
    <row r="1698" spans="1:4" ht="27">
      <c r="A1698" s="337" t="s">
        <v>2180</v>
      </c>
      <c r="B1698" s="338" t="s">
        <v>2181</v>
      </c>
      <c r="C1698" s="337" t="s">
        <v>145</v>
      </c>
      <c r="D1698" s="339">
        <v>478.11</v>
      </c>
    </row>
    <row r="1699" spans="1:4" ht="27">
      <c r="A1699" s="337" t="s">
        <v>2182</v>
      </c>
      <c r="B1699" s="338" t="s">
        <v>2183</v>
      </c>
      <c r="C1699" s="337" t="s">
        <v>145</v>
      </c>
      <c r="D1699" s="339">
        <v>332.08</v>
      </c>
    </row>
    <row r="1700" spans="1:4" ht="40.5">
      <c r="A1700" s="337" t="s">
        <v>2184</v>
      </c>
      <c r="B1700" s="338" t="s">
        <v>2185</v>
      </c>
      <c r="C1700" s="337" t="s">
        <v>145</v>
      </c>
      <c r="D1700" s="339">
        <v>449.72</v>
      </c>
    </row>
    <row r="1701" spans="1:4" ht="27">
      <c r="A1701" s="337" t="s">
        <v>2186</v>
      </c>
      <c r="B1701" s="338" t="s">
        <v>2187</v>
      </c>
      <c r="C1701" s="337" t="s">
        <v>474</v>
      </c>
      <c r="D1701" s="339">
        <v>76.709999999999994</v>
      </c>
    </row>
    <row r="1702" spans="1:4" ht="27">
      <c r="A1702" s="337" t="s">
        <v>2188</v>
      </c>
      <c r="B1702" s="338" t="s">
        <v>2189</v>
      </c>
      <c r="C1702" s="337" t="s">
        <v>474</v>
      </c>
      <c r="D1702" s="339">
        <v>88.8</v>
      </c>
    </row>
    <row r="1703" spans="1:4" ht="27">
      <c r="A1703" s="337" t="s">
        <v>2190</v>
      </c>
      <c r="B1703" s="338" t="s">
        <v>2191</v>
      </c>
      <c r="C1703" s="337" t="s">
        <v>145</v>
      </c>
      <c r="D1703" s="339">
        <v>320.05</v>
      </c>
    </row>
    <row r="1704" spans="1:4" ht="54">
      <c r="A1704" s="337" t="s">
        <v>2192</v>
      </c>
      <c r="B1704" s="338" t="s">
        <v>2193</v>
      </c>
      <c r="C1704" s="337" t="s">
        <v>145</v>
      </c>
      <c r="D1704" s="339">
        <v>277.75</v>
      </c>
    </row>
    <row r="1705" spans="1:4" ht="40.5">
      <c r="A1705" s="337" t="s">
        <v>2194</v>
      </c>
      <c r="B1705" s="338" t="s">
        <v>2195</v>
      </c>
      <c r="C1705" s="337" t="s">
        <v>145</v>
      </c>
      <c r="D1705" s="339">
        <v>208.63</v>
      </c>
    </row>
    <row r="1706" spans="1:4" ht="13.5">
      <c r="A1706" s="337">
        <v>84854</v>
      </c>
      <c r="B1706" s="338" t="s">
        <v>2196</v>
      </c>
      <c r="C1706" s="337" t="s">
        <v>172</v>
      </c>
      <c r="D1706" s="339">
        <v>30.19</v>
      </c>
    </row>
    <row r="1707" spans="1:4" ht="40.5">
      <c r="A1707" s="337">
        <v>94559</v>
      </c>
      <c r="B1707" s="338" t="s">
        <v>2197</v>
      </c>
      <c r="C1707" s="337" t="s">
        <v>145</v>
      </c>
      <c r="D1707" s="339">
        <v>413.6</v>
      </c>
    </row>
    <row r="1708" spans="1:4" ht="40.5">
      <c r="A1708" s="337">
        <v>94560</v>
      </c>
      <c r="B1708" s="338" t="s">
        <v>2198</v>
      </c>
      <c r="C1708" s="337" t="s">
        <v>145</v>
      </c>
      <c r="D1708" s="339">
        <v>357.48</v>
      </c>
    </row>
    <row r="1709" spans="1:4" ht="40.5">
      <c r="A1709" s="337">
        <v>94562</v>
      </c>
      <c r="B1709" s="338" t="s">
        <v>2199</v>
      </c>
      <c r="C1709" s="337" t="s">
        <v>145</v>
      </c>
      <c r="D1709" s="339">
        <v>377.28</v>
      </c>
    </row>
    <row r="1710" spans="1:4" ht="40.5">
      <c r="A1710" s="337">
        <v>94563</v>
      </c>
      <c r="B1710" s="338" t="s">
        <v>2200</v>
      </c>
      <c r="C1710" s="337" t="s">
        <v>145</v>
      </c>
      <c r="D1710" s="339">
        <v>472.27</v>
      </c>
    </row>
    <row r="1711" spans="1:4" ht="54">
      <c r="A1711" s="337">
        <v>94564</v>
      </c>
      <c r="B1711" s="338" t="s">
        <v>2201</v>
      </c>
      <c r="C1711" s="337" t="s">
        <v>145</v>
      </c>
      <c r="D1711" s="339">
        <v>366.57</v>
      </c>
    </row>
    <row r="1712" spans="1:4" ht="54">
      <c r="A1712" s="337">
        <v>94565</v>
      </c>
      <c r="B1712" s="338" t="s">
        <v>2202</v>
      </c>
      <c r="C1712" s="337" t="s">
        <v>145</v>
      </c>
      <c r="D1712" s="339">
        <v>341.69</v>
      </c>
    </row>
    <row r="1713" spans="1:4" ht="54">
      <c r="A1713" s="337">
        <v>94567</v>
      </c>
      <c r="B1713" s="338" t="s">
        <v>2203</v>
      </c>
      <c r="C1713" s="337" t="s">
        <v>145</v>
      </c>
      <c r="D1713" s="339">
        <v>356.75</v>
      </c>
    </row>
    <row r="1714" spans="1:4" ht="54">
      <c r="A1714" s="337">
        <v>94568</v>
      </c>
      <c r="B1714" s="338" t="s">
        <v>2204</v>
      </c>
      <c r="C1714" s="337" t="s">
        <v>145</v>
      </c>
      <c r="D1714" s="339">
        <v>448.23</v>
      </c>
    </row>
    <row r="1715" spans="1:4" ht="13.5">
      <c r="A1715" s="337" t="s">
        <v>2205</v>
      </c>
      <c r="B1715" s="338" t="s">
        <v>2206</v>
      </c>
      <c r="C1715" s="337" t="s">
        <v>145</v>
      </c>
      <c r="D1715" s="339">
        <v>336.78</v>
      </c>
    </row>
    <row r="1716" spans="1:4" ht="27">
      <c r="A1716" s="337">
        <v>73631</v>
      </c>
      <c r="B1716" s="338" t="s">
        <v>2207</v>
      </c>
      <c r="C1716" s="337" t="s">
        <v>145</v>
      </c>
      <c r="D1716" s="339">
        <v>293.08</v>
      </c>
    </row>
    <row r="1717" spans="1:4" ht="27">
      <c r="A1717" s="337" t="s">
        <v>183</v>
      </c>
      <c r="B1717" s="338" t="s">
        <v>2208</v>
      </c>
      <c r="C1717" s="337" t="s">
        <v>172</v>
      </c>
      <c r="D1717" s="339">
        <v>404.58</v>
      </c>
    </row>
    <row r="1718" spans="1:4" ht="40.5">
      <c r="A1718" s="337">
        <v>73665</v>
      </c>
      <c r="B1718" s="338" t="s">
        <v>2209</v>
      </c>
      <c r="C1718" s="337" t="s">
        <v>172</v>
      </c>
      <c r="D1718" s="339">
        <v>56.31</v>
      </c>
    </row>
    <row r="1719" spans="1:4" ht="13.5">
      <c r="A1719" s="337">
        <v>73669</v>
      </c>
      <c r="B1719" s="338" t="s">
        <v>2210</v>
      </c>
      <c r="C1719" s="337" t="s">
        <v>172</v>
      </c>
      <c r="D1719" s="339">
        <v>61.09</v>
      </c>
    </row>
    <row r="1720" spans="1:4" ht="27">
      <c r="A1720" s="337" t="s">
        <v>2211</v>
      </c>
      <c r="B1720" s="338" t="s">
        <v>2212</v>
      </c>
      <c r="C1720" s="337" t="s">
        <v>172</v>
      </c>
      <c r="D1720" s="339">
        <v>64.459999999999994</v>
      </c>
    </row>
    <row r="1721" spans="1:4" ht="27">
      <c r="A1721" s="337" t="s">
        <v>2213</v>
      </c>
      <c r="B1721" s="338" t="s">
        <v>2214</v>
      </c>
      <c r="C1721" s="337" t="s">
        <v>172</v>
      </c>
      <c r="D1721" s="339">
        <v>103.8</v>
      </c>
    </row>
    <row r="1722" spans="1:4" ht="27">
      <c r="A1722" s="337" t="s">
        <v>2215</v>
      </c>
      <c r="B1722" s="338" t="s">
        <v>2216</v>
      </c>
      <c r="C1722" s="337" t="s">
        <v>172</v>
      </c>
      <c r="D1722" s="339">
        <v>76.2</v>
      </c>
    </row>
    <row r="1723" spans="1:4" ht="27">
      <c r="A1723" s="337" t="s">
        <v>2217</v>
      </c>
      <c r="B1723" s="338" t="s">
        <v>2218</v>
      </c>
      <c r="C1723" s="337" t="s">
        <v>172</v>
      </c>
      <c r="D1723" s="339">
        <v>221.6</v>
      </c>
    </row>
    <row r="1724" spans="1:4" ht="27">
      <c r="A1724" s="337">
        <v>84862</v>
      </c>
      <c r="B1724" s="338" t="s">
        <v>2219</v>
      </c>
      <c r="C1724" s="337" t="s">
        <v>172</v>
      </c>
      <c r="D1724" s="339">
        <v>194.73</v>
      </c>
    </row>
    <row r="1725" spans="1:4" ht="27">
      <c r="A1725" s="337">
        <v>84863</v>
      </c>
      <c r="B1725" s="338" t="s">
        <v>2220</v>
      </c>
      <c r="C1725" s="337" t="s">
        <v>172</v>
      </c>
      <c r="D1725" s="339">
        <v>98.05</v>
      </c>
    </row>
    <row r="1726" spans="1:4" ht="54">
      <c r="A1726" s="337">
        <v>68050</v>
      </c>
      <c r="B1726" s="338" t="s">
        <v>2221</v>
      </c>
      <c r="C1726" s="337" t="s">
        <v>145</v>
      </c>
      <c r="D1726" s="339">
        <v>531.96</v>
      </c>
    </row>
    <row r="1727" spans="1:4" ht="27">
      <c r="A1727" s="337">
        <v>90838</v>
      </c>
      <c r="B1727" s="338" t="s">
        <v>2222</v>
      </c>
      <c r="C1727" s="337" t="s">
        <v>474</v>
      </c>
      <c r="D1727" s="339">
        <v>917.58</v>
      </c>
    </row>
    <row r="1728" spans="1:4" ht="40.5">
      <c r="A1728" s="337">
        <v>91338</v>
      </c>
      <c r="B1728" s="338" t="s">
        <v>2223</v>
      </c>
      <c r="C1728" s="337" t="s">
        <v>145</v>
      </c>
      <c r="D1728" s="339">
        <v>889.43</v>
      </c>
    </row>
    <row r="1729" spans="1:4" ht="54">
      <c r="A1729" s="337">
        <v>91341</v>
      </c>
      <c r="B1729" s="338" t="s">
        <v>2224</v>
      </c>
      <c r="C1729" s="337" t="s">
        <v>145</v>
      </c>
      <c r="D1729" s="339">
        <v>654.62</v>
      </c>
    </row>
    <row r="1730" spans="1:4" ht="54">
      <c r="A1730" s="337">
        <v>94805</v>
      </c>
      <c r="B1730" s="338" t="s">
        <v>2225</v>
      </c>
      <c r="C1730" s="337" t="s">
        <v>474</v>
      </c>
      <c r="D1730" s="340">
        <v>1012.39</v>
      </c>
    </row>
    <row r="1731" spans="1:4" ht="54">
      <c r="A1731" s="337">
        <v>94806</v>
      </c>
      <c r="B1731" s="338" t="s">
        <v>2226</v>
      </c>
      <c r="C1731" s="337" t="s">
        <v>474</v>
      </c>
      <c r="D1731" s="339">
        <v>442.01</v>
      </c>
    </row>
    <row r="1732" spans="1:4" ht="54">
      <c r="A1732" s="337">
        <v>94807</v>
      </c>
      <c r="B1732" s="338" t="s">
        <v>2227</v>
      </c>
      <c r="C1732" s="337" t="s">
        <v>474</v>
      </c>
      <c r="D1732" s="339">
        <v>529.9</v>
      </c>
    </row>
    <row r="1733" spans="1:4" ht="27">
      <c r="A1733" s="337" t="s">
        <v>2228</v>
      </c>
      <c r="B1733" s="338" t="s">
        <v>2229</v>
      </c>
      <c r="C1733" s="337" t="s">
        <v>172</v>
      </c>
      <c r="D1733" s="339">
        <v>128.94</v>
      </c>
    </row>
    <row r="1734" spans="1:4" ht="27">
      <c r="A1734" s="337" t="s">
        <v>2230</v>
      </c>
      <c r="B1734" s="338" t="s">
        <v>2231</v>
      </c>
      <c r="C1734" s="337" t="s">
        <v>172</v>
      </c>
      <c r="D1734" s="339">
        <v>264.31</v>
      </c>
    </row>
    <row r="1735" spans="1:4" ht="27">
      <c r="A1735" s="337" t="s">
        <v>2232</v>
      </c>
      <c r="B1735" s="338" t="s">
        <v>2233</v>
      </c>
      <c r="C1735" s="337" t="s">
        <v>172</v>
      </c>
      <c r="D1735" s="339">
        <v>308.01</v>
      </c>
    </row>
    <row r="1736" spans="1:4" ht="27">
      <c r="A1736" s="337">
        <v>85096</v>
      </c>
      <c r="B1736" s="338" t="s">
        <v>2234</v>
      </c>
      <c r="C1736" s="337" t="s">
        <v>145</v>
      </c>
      <c r="D1736" s="339">
        <v>267.14</v>
      </c>
    </row>
    <row r="1737" spans="1:4" ht="27">
      <c r="A1737" s="337" t="s">
        <v>2235</v>
      </c>
      <c r="B1737" s="338" t="s">
        <v>2236</v>
      </c>
      <c r="C1737" s="337" t="s">
        <v>474</v>
      </c>
      <c r="D1737" s="339">
        <v>54.37</v>
      </c>
    </row>
    <row r="1738" spans="1:4" ht="67.5">
      <c r="A1738" s="337">
        <v>84885</v>
      </c>
      <c r="B1738" s="338" t="s">
        <v>2237</v>
      </c>
      <c r="C1738" s="337" t="s">
        <v>474</v>
      </c>
      <c r="D1738" s="339">
        <v>585.63</v>
      </c>
    </row>
    <row r="1739" spans="1:4" ht="27">
      <c r="A1739" s="337">
        <v>84886</v>
      </c>
      <c r="B1739" s="338" t="s">
        <v>2238</v>
      </c>
      <c r="C1739" s="337" t="s">
        <v>474</v>
      </c>
      <c r="D1739" s="340">
        <v>1064.06</v>
      </c>
    </row>
    <row r="1740" spans="1:4" ht="27">
      <c r="A1740" s="337">
        <v>84889</v>
      </c>
      <c r="B1740" s="338" t="s">
        <v>2239</v>
      </c>
      <c r="C1740" s="337" t="s">
        <v>474</v>
      </c>
      <c r="D1740" s="339">
        <v>17.47</v>
      </c>
    </row>
    <row r="1741" spans="1:4" ht="27">
      <c r="A1741" s="337">
        <v>84891</v>
      </c>
      <c r="B1741" s="338" t="s">
        <v>2240</v>
      </c>
      <c r="C1741" s="337" t="s">
        <v>474</v>
      </c>
      <c r="D1741" s="339">
        <v>176.09</v>
      </c>
    </row>
    <row r="1742" spans="1:4" ht="27">
      <c r="A1742" s="337" t="s">
        <v>2241</v>
      </c>
      <c r="B1742" s="338" t="s">
        <v>2242</v>
      </c>
      <c r="C1742" s="337" t="s">
        <v>474</v>
      </c>
      <c r="D1742" s="339">
        <v>33.22</v>
      </c>
    </row>
    <row r="1743" spans="1:4" ht="40.5">
      <c r="A1743" s="337" t="s">
        <v>2243</v>
      </c>
      <c r="B1743" s="338" t="s">
        <v>2244</v>
      </c>
      <c r="C1743" s="337" t="s">
        <v>474</v>
      </c>
      <c r="D1743" s="339">
        <v>18.41</v>
      </c>
    </row>
    <row r="1744" spans="1:4" ht="27">
      <c r="A1744" s="337" t="s">
        <v>2245</v>
      </c>
      <c r="B1744" s="338" t="s">
        <v>2246</v>
      </c>
      <c r="C1744" s="337" t="s">
        <v>474</v>
      </c>
      <c r="D1744" s="339">
        <v>145.68</v>
      </c>
    </row>
    <row r="1745" spans="1:4" ht="27">
      <c r="A1745" s="337">
        <v>84950</v>
      </c>
      <c r="B1745" s="338" t="s">
        <v>2247</v>
      </c>
      <c r="C1745" s="337" t="s">
        <v>474</v>
      </c>
      <c r="D1745" s="339">
        <v>46.8</v>
      </c>
    </row>
    <row r="1746" spans="1:4" ht="27">
      <c r="A1746" s="337">
        <v>84952</v>
      </c>
      <c r="B1746" s="338" t="s">
        <v>2248</v>
      </c>
      <c r="C1746" s="337" t="s">
        <v>474</v>
      </c>
      <c r="D1746" s="339">
        <v>35.03</v>
      </c>
    </row>
    <row r="1747" spans="1:4" ht="27">
      <c r="A1747" s="337">
        <v>72116</v>
      </c>
      <c r="B1747" s="338" t="s">
        <v>2249</v>
      </c>
      <c r="C1747" s="337" t="s">
        <v>145</v>
      </c>
      <c r="D1747" s="339">
        <v>100.42</v>
      </c>
    </row>
    <row r="1748" spans="1:4" ht="27">
      <c r="A1748" s="337">
        <v>72117</v>
      </c>
      <c r="B1748" s="338" t="s">
        <v>2250</v>
      </c>
      <c r="C1748" s="337" t="s">
        <v>145</v>
      </c>
      <c r="D1748" s="339">
        <v>128.63</v>
      </c>
    </row>
    <row r="1749" spans="1:4" ht="40.5">
      <c r="A1749" s="337">
        <v>72118</v>
      </c>
      <c r="B1749" s="338" t="s">
        <v>2251</v>
      </c>
      <c r="C1749" s="337" t="s">
        <v>145</v>
      </c>
      <c r="D1749" s="339">
        <v>156.47999999999999</v>
      </c>
    </row>
    <row r="1750" spans="1:4" ht="40.5">
      <c r="A1750" s="337">
        <v>72119</v>
      </c>
      <c r="B1750" s="338" t="s">
        <v>2252</v>
      </c>
      <c r="C1750" s="337" t="s">
        <v>145</v>
      </c>
      <c r="D1750" s="339">
        <v>196.47</v>
      </c>
    </row>
    <row r="1751" spans="1:4" ht="40.5">
      <c r="A1751" s="337">
        <v>72120</v>
      </c>
      <c r="B1751" s="338" t="s">
        <v>2253</v>
      </c>
      <c r="C1751" s="337" t="s">
        <v>145</v>
      </c>
      <c r="D1751" s="339">
        <v>247.44</v>
      </c>
    </row>
    <row r="1752" spans="1:4" ht="27">
      <c r="A1752" s="337">
        <v>72122</v>
      </c>
      <c r="B1752" s="338" t="s">
        <v>2254</v>
      </c>
      <c r="C1752" s="337" t="s">
        <v>145</v>
      </c>
      <c r="D1752" s="339">
        <v>110.64</v>
      </c>
    </row>
    <row r="1753" spans="1:4" ht="13.5">
      <c r="A1753" s="337">
        <v>72123</v>
      </c>
      <c r="B1753" s="338" t="s">
        <v>2255</v>
      </c>
      <c r="C1753" s="337" t="s">
        <v>145</v>
      </c>
      <c r="D1753" s="339">
        <v>292.64</v>
      </c>
    </row>
    <row r="1754" spans="1:4" ht="27">
      <c r="A1754" s="337" t="s">
        <v>2256</v>
      </c>
      <c r="B1754" s="338" t="s">
        <v>2257</v>
      </c>
      <c r="C1754" s="337" t="s">
        <v>474</v>
      </c>
      <c r="D1754" s="340">
        <v>1835.09</v>
      </c>
    </row>
    <row r="1755" spans="1:4" ht="27">
      <c r="A1755" s="337" t="s">
        <v>2258</v>
      </c>
      <c r="B1755" s="338" t="s">
        <v>2259</v>
      </c>
      <c r="C1755" s="337" t="s">
        <v>145</v>
      </c>
      <c r="D1755" s="339">
        <v>378.74</v>
      </c>
    </row>
    <row r="1756" spans="1:4" ht="40.5">
      <c r="A1756" s="337" t="s">
        <v>2260</v>
      </c>
      <c r="B1756" s="338" t="s">
        <v>2261</v>
      </c>
      <c r="C1756" s="337" t="s">
        <v>145</v>
      </c>
      <c r="D1756" s="339">
        <v>408.09</v>
      </c>
    </row>
    <row r="1757" spans="1:4" ht="27">
      <c r="A1757" s="337">
        <v>84957</v>
      </c>
      <c r="B1757" s="338" t="s">
        <v>2262</v>
      </c>
      <c r="C1757" s="337" t="s">
        <v>145</v>
      </c>
      <c r="D1757" s="339">
        <v>154.38999999999999</v>
      </c>
    </row>
    <row r="1758" spans="1:4" ht="27">
      <c r="A1758" s="337">
        <v>84959</v>
      </c>
      <c r="B1758" s="338" t="s">
        <v>2263</v>
      </c>
      <c r="C1758" s="337" t="s">
        <v>145</v>
      </c>
      <c r="D1758" s="339">
        <v>180.39</v>
      </c>
    </row>
    <row r="1759" spans="1:4" ht="13.5">
      <c r="A1759" s="337">
        <v>85001</v>
      </c>
      <c r="B1759" s="338" t="s">
        <v>2264</v>
      </c>
      <c r="C1759" s="337" t="s">
        <v>145</v>
      </c>
      <c r="D1759" s="339">
        <v>171.72</v>
      </c>
    </row>
    <row r="1760" spans="1:4" ht="13.5">
      <c r="A1760" s="337">
        <v>85002</v>
      </c>
      <c r="B1760" s="338" t="s">
        <v>2265</v>
      </c>
      <c r="C1760" s="337" t="s">
        <v>145</v>
      </c>
      <c r="D1760" s="339">
        <v>241.06</v>
      </c>
    </row>
    <row r="1761" spans="1:4" ht="13.5">
      <c r="A1761" s="337">
        <v>85004</v>
      </c>
      <c r="B1761" s="338" t="s">
        <v>2266</v>
      </c>
      <c r="C1761" s="337" t="s">
        <v>145</v>
      </c>
      <c r="D1761" s="339">
        <v>119.72</v>
      </c>
    </row>
    <row r="1762" spans="1:4" ht="27">
      <c r="A1762" s="337">
        <v>85005</v>
      </c>
      <c r="B1762" s="338" t="s">
        <v>2267</v>
      </c>
      <c r="C1762" s="337" t="s">
        <v>145</v>
      </c>
      <c r="D1762" s="339">
        <v>348.37</v>
      </c>
    </row>
    <row r="1763" spans="1:4" ht="27">
      <c r="A1763" s="337">
        <v>68054</v>
      </c>
      <c r="B1763" s="338" t="s">
        <v>2268</v>
      </c>
      <c r="C1763" s="337" t="s">
        <v>145</v>
      </c>
      <c r="D1763" s="339">
        <v>214.29</v>
      </c>
    </row>
    <row r="1764" spans="1:4" ht="27">
      <c r="A1764" s="337" t="s">
        <v>2269</v>
      </c>
      <c r="B1764" s="338" t="s">
        <v>2270</v>
      </c>
      <c r="C1764" s="337" t="s">
        <v>145</v>
      </c>
      <c r="D1764" s="339">
        <v>406.06</v>
      </c>
    </row>
    <row r="1765" spans="1:4" ht="40.5">
      <c r="A1765" s="337" t="s">
        <v>198</v>
      </c>
      <c r="B1765" s="338" t="s">
        <v>2271</v>
      </c>
      <c r="C1765" s="337" t="s">
        <v>145</v>
      </c>
      <c r="D1765" s="339">
        <v>589.02</v>
      </c>
    </row>
    <row r="1766" spans="1:4" ht="40.5">
      <c r="A1766" s="337">
        <v>85188</v>
      </c>
      <c r="B1766" s="338" t="s">
        <v>2272</v>
      </c>
      <c r="C1766" s="337" t="s">
        <v>474</v>
      </c>
      <c r="D1766" s="339">
        <v>576.72</v>
      </c>
    </row>
    <row r="1767" spans="1:4" ht="40.5">
      <c r="A1767" s="337">
        <v>85189</v>
      </c>
      <c r="B1767" s="338" t="s">
        <v>2273</v>
      </c>
      <c r="C1767" s="337" t="s">
        <v>474</v>
      </c>
      <c r="D1767" s="340">
        <v>1147.96</v>
      </c>
    </row>
    <row r="1768" spans="1:4" ht="13.5">
      <c r="A1768" s="337">
        <v>85010</v>
      </c>
      <c r="B1768" s="338" t="s">
        <v>2274</v>
      </c>
      <c r="C1768" s="337" t="s">
        <v>145</v>
      </c>
      <c r="D1768" s="339">
        <v>472.46</v>
      </c>
    </row>
    <row r="1769" spans="1:4" ht="27">
      <c r="A1769" s="337">
        <v>85014</v>
      </c>
      <c r="B1769" s="338" t="s">
        <v>2275</v>
      </c>
      <c r="C1769" s="337" t="s">
        <v>145</v>
      </c>
      <c r="D1769" s="339">
        <v>581.09</v>
      </c>
    </row>
    <row r="1770" spans="1:4" ht="54">
      <c r="A1770" s="337">
        <v>94569</v>
      </c>
      <c r="B1770" s="338" t="s">
        <v>2276</v>
      </c>
      <c r="C1770" s="337" t="s">
        <v>145</v>
      </c>
      <c r="D1770" s="339">
        <v>642.62</v>
      </c>
    </row>
    <row r="1771" spans="1:4" ht="54">
      <c r="A1771" s="337">
        <v>94570</v>
      </c>
      <c r="B1771" s="338" t="s">
        <v>2277</v>
      </c>
      <c r="C1771" s="337" t="s">
        <v>145</v>
      </c>
      <c r="D1771" s="339">
        <v>415.39</v>
      </c>
    </row>
    <row r="1772" spans="1:4" ht="54">
      <c r="A1772" s="337">
        <v>94572</v>
      </c>
      <c r="B1772" s="338" t="s">
        <v>2278</v>
      </c>
      <c r="C1772" s="337" t="s">
        <v>145</v>
      </c>
      <c r="D1772" s="339">
        <v>629.4</v>
      </c>
    </row>
    <row r="1773" spans="1:4" ht="54">
      <c r="A1773" s="337">
        <v>94573</v>
      </c>
      <c r="B1773" s="338" t="s">
        <v>2279</v>
      </c>
      <c r="C1773" s="337" t="s">
        <v>145</v>
      </c>
      <c r="D1773" s="339">
        <v>476.59</v>
      </c>
    </row>
    <row r="1774" spans="1:4" ht="54">
      <c r="A1774" s="337">
        <v>94574</v>
      </c>
      <c r="B1774" s="338" t="s">
        <v>2280</v>
      </c>
      <c r="C1774" s="337" t="s">
        <v>145</v>
      </c>
      <c r="D1774" s="339">
        <v>708.31</v>
      </c>
    </row>
    <row r="1775" spans="1:4" ht="54">
      <c r="A1775" s="337">
        <v>94575</v>
      </c>
      <c r="B1775" s="338" t="s">
        <v>2281</v>
      </c>
      <c r="C1775" s="337" t="s">
        <v>145</v>
      </c>
      <c r="D1775" s="339">
        <v>680.31</v>
      </c>
    </row>
    <row r="1776" spans="1:4" ht="54">
      <c r="A1776" s="337">
        <v>94576</v>
      </c>
      <c r="B1776" s="338" t="s">
        <v>2282</v>
      </c>
      <c r="C1776" s="337" t="s">
        <v>145</v>
      </c>
      <c r="D1776" s="339">
        <v>426.12</v>
      </c>
    </row>
    <row r="1777" spans="1:4" ht="54">
      <c r="A1777" s="337">
        <v>94578</v>
      </c>
      <c r="B1777" s="338" t="s">
        <v>2283</v>
      </c>
      <c r="C1777" s="337" t="s">
        <v>145</v>
      </c>
      <c r="D1777" s="339">
        <v>640.30999999999995</v>
      </c>
    </row>
    <row r="1778" spans="1:4" ht="54">
      <c r="A1778" s="337">
        <v>94579</v>
      </c>
      <c r="B1778" s="338" t="s">
        <v>2284</v>
      </c>
      <c r="C1778" s="337" t="s">
        <v>145</v>
      </c>
      <c r="D1778" s="339">
        <v>488.08</v>
      </c>
    </row>
    <row r="1779" spans="1:4" ht="54">
      <c r="A1779" s="337">
        <v>94580</v>
      </c>
      <c r="B1779" s="338" t="s">
        <v>2285</v>
      </c>
      <c r="C1779" s="337" t="s">
        <v>145</v>
      </c>
      <c r="D1779" s="339">
        <v>719.43</v>
      </c>
    </row>
    <row r="1780" spans="1:4" ht="40.5">
      <c r="A1780" s="337">
        <v>94581</v>
      </c>
      <c r="B1780" s="338" t="s">
        <v>2286</v>
      </c>
      <c r="C1780" s="337" t="s">
        <v>145</v>
      </c>
      <c r="D1780" s="339">
        <v>677.87</v>
      </c>
    </row>
    <row r="1781" spans="1:4" ht="40.5">
      <c r="A1781" s="337">
        <v>94582</v>
      </c>
      <c r="B1781" s="338" t="s">
        <v>2287</v>
      </c>
      <c r="C1781" s="337" t="s">
        <v>145</v>
      </c>
      <c r="D1781" s="339">
        <v>425.72</v>
      </c>
    </row>
    <row r="1782" spans="1:4" ht="40.5">
      <c r="A1782" s="337">
        <v>94584</v>
      </c>
      <c r="B1782" s="338" t="s">
        <v>2288</v>
      </c>
      <c r="C1782" s="337" t="s">
        <v>145</v>
      </c>
      <c r="D1782" s="339">
        <v>645.41999999999996</v>
      </c>
    </row>
    <row r="1783" spans="1:4" ht="40.5">
      <c r="A1783" s="337">
        <v>94585</v>
      </c>
      <c r="B1783" s="338" t="s">
        <v>2289</v>
      </c>
      <c r="C1783" s="337" t="s">
        <v>145</v>
      </c>
      <c r="D1783" s="339">
        <v>487.05</v>
      </c>
    </row>
    <row r="1784" spans="1:4" ht="40.5">
      <c r="A1784" s="337">
        <v>94586</v>
      </c>
      <c r="B1784" s="338" t="s">
        <v>2290</v>
      </c>
      <c r="C1784" s="337" t="s">
        <v>145</v>
      </c>
      <c r="D1784" s="339">
        <v>725.48</v>
      </c>
    </row>
    <row r="1785" spans="1:4" ht="27">
      <c r="A1785" s="337" t="s">
        <v>2291</v>
      </c>
      <c r="B1785" s="338" t="s">
        <v>2292</v>
      </c>
      <c r="C1785" s="337" t="s">
        <v>172</v>
      </c>
      <c r="D1785" s="339">
        <v>36.1</v>
      </c>
    </row>
    <row r="1786" spans="1:4" ht="27">
      <c r="A1786" s="337" t="s">
        <v>2293</v>
      </c>
      <c r="B1786" s="338" t="s">
        <v>2294</v>
      </c>
      <c r="C1786" s="337" t="s">
        <v>172</v>
      </c>
      <c r="D1786" s="339">
        <v>28</v>
      </c>
    </row>
    <row r="1787" spans="1:4" ht="13.5">
      <c r="A1787" s="337">
        <v>85015</v>
      </c>
      <c r="B1787" s="338" t="s">
        <v>2295</v>
      </c>
      <c r="C1787" s="337" t="s">
        <v>172</v>
      </c>
      <c r="D1787" s="339">
        <v>19.170000000000002</v>
      </c>
    </row>
    <row r="1788" spans="1:4" ht="27">
      <c r="A1788" s="337">
        <v>85016</v>
      </c>
      <c r="B1788" s="338" t="s">
        <v>2296</v>
      </c>
      <c r="C1788" s="337" t="s">
        <v>172</v>
      </c>
      <c r="D1788" s="339">
        <v>24.03</v>
      </c>
    </row>
    <row r="1789" spans="1:4" ht="40.5">
      <c r="A1789" s="337">
        <v>79475</v>
      </c>
      <c r="B1789" s="338" t="s">
        <v>2297</v>
      </c>
      <c r="C1789" s="337" t="s">
        <v>178</v>
      </c>
      <c r="D1789" s="339">
        <v>282.8</v>
      </c>
    </row>
    <row r="1790" spans="1:4" ht="67.5">
      <c r="A1790" s="337">
        <v>97751</v>
      </c>
      <c r="B1790" s="338" t="s">
        <v>2298</v>
      </c>
      <c r="C1790" s="337" t="s">
        <v>178</v>
      </c>
      <c r="D1790" s="339">
        <v>591.88</v>
      </c>
    </row>
    <row r="1791" spans="1:4" ht="67.5">
      <c r="A1791" s="337">
        <v>97752</v>
      </c>
      <c r="B1791" s="338" t="s">
        <v>2299</v>
      </c>
      <c r="C1791" s="337" t="s">
        <v>178</v>
      </c>
      <c r="D1791" s="339">
        <v>564.12</v>
      </c>
    </row>
    <row r="1792" spans="1:4" ht="67.5">
      <c r="A1792" s="337">
        <v>97753</v>
      </c>
      <c r="B1792" s="338" t="s">
        <v>2300</v>
      </c>
      <c r="C1792" s="337" t="s">
        <v>178</v>
      </c>
      <c r="D1792" s="339">
        <v>525.32000000000005</v>
      </c>
    </row>
    <row r="1793" spans="1:4" ht="67.5">
      <c r="A1793" s="337">
        <v>97754</v>
      </c>
      <c r="B1793" s="338" t="s">
        <v>2301</v>
      </c>
      <c r="C1793" s="337" t="s">
        <v>178</v>
      </c>
      <c r="D1793" s="339">
        <v>499.84</v>
      </c>
    </row>
    <row r="1794" spans="1:4" ht="81">
      <c r="A1794" s="337">
        <v>97755</v>
      </c>
      <c r="B1794" s="338" t="s">
        <v>2302</v>
      </c>
      <c r="C1794" s="337" t="s">
        <v>178</v>
      </c>
      <c r="D1794" s="339">
        <v>573.66</v>
      </c>
    </row>
    <row r="1795" spans="1:4" ht="81">
      <c r="A1795" s="337">
        <v>97756</v>
      </c>
      <c r="B1795" s="338" t="s">
        <v>2303</v>
      </c>
      <c r="C1795" s="337" t="s">
        <v>178</v>
      </c>
      <c r="D1795" s="339">
        <v>548.89</v>
      </c>
    </row>
    <row r="1796" spans="1:4" ht="81">
      <c r="A1796" s="337">
        <v>97757</v>
      </c>
      <c r="B1796" s="338" t="s">
        <v>2304</v>
      </c>
      <c r="C1796" s="337" t="s">
        <v>178</v>
      </c>
      <c r="D1796" s="339">
        <v>507.17</v>
      </c>
    </row>
    <row r="1797" spans="1:4" ht="81">
      <c r="A1797" s="337">
        <v>97758</v>
      </c>
      <c r="B1797" s="338" t="s">
        <v>2305</v>
      </c>
      <c r="C1797" s="337" t="s">
        <v>178</v>
      </c>
      <c r="D1797" s="339">
        <v>475.81</v>
      </c>
    </row>
    <row r="1798" spans="1:4" ht="67.5">
      <c r="A1798" s="337">
        <v>97759</v>
      </c>
      <c r="B1798" s="338" t="s">
        <v>2306</v>
      </c>
      <c r="C1798" s="337" t="s">
        <v>178</v>
      </c>
      <c r="D1798" s="339">
        <v>571.53</v>
      </c>
    </row>
    <row r="1799" spans="1:4" ht="67.5">
      <c r="A1799" s="337">
        <v>97760</v>
      </c>
      <c r="B1799" s="338" t="s">
        <v>2307</v>
      </c>
      <c r="C1799" s="337" t="s">
        <v>178</v>
      </c>
      <c r="D1799" s="339">
        <v>539.26</v>
      </c>
    </row>
    <row r="1800" spans="1:4" ht="67.5">
      <c r="A1800" s="337">
        <v>97761</v>
      </c>
      <c r="B1800" s="338" t="s">
        <v>2308</v>
      </c>
      <c r="C1800" s="337" t="s">
        <v>178</v>
      </c>
      <c r="D1800" s="339">
        <v>493.02</v>
      </c>
    </row>
    <row r="1801" spans="1:4" ht="67.5">
      <c r="A1801" s="337">
        <v>97762</v>
      </c>
      <c r="B1801" s="338" t="s">
        <v>2309</v>
      </c>
      <c r="C1801" s="337" t="s">
        <v>178</v>
      </c>
      <c r="D1801" s="339">
        <v>457.91</v>
      </c>
    </row>
    <row r="1802" spans="1:4" ht="67.5">
      <c r="A1802" s="337">
        <v>97763</v>
      </c>
      <c r="B1802" s="338" t="s">
        <v>2310</v>
      </c>
      <c r="C1802" s="337" t="s">
        <v>178</v>
      </c>
      <c r="D1802" s="339">
        <v>560.86</v>
      </c>
    </row>
    <row r="1803" spans="1:4" ht="67.5">
      <c r="A1803" s="337">
        <v>97764</v>
      </c>
      <c r="B1803" s="338" t="s">
        <v>2311</v>
      </c>
      <c r="C1803" s="337" t="s">
        <v>178</v>
      </c>
      <c r="D1803" s="339">
        <v>502.28</v>
      </c>
    </row>
    <row r="1804" spans="1:4" ht="67.5">
      <c r="A1804" s="337">
        <v>97765</v>
      </c>
      <c r="B1804" s="338" t="s">
        <v>2312</v>
      </c>
      <c r="C1804" s="337" t="s">
        <v>178</v>
      </c>
      <c r="D1804" s="339">
        <v>475.53</v>
      </c>
    </row>
    <row r="1805" spans="1:4" ht="67.5">
      <c r="A1805" s="337">
        <v>97766</v>
      </c>
      <c r="B1805" s="338" t="s">
        <v>2313</v>
      </c>
      <c r="C1805" s="337" t="s">
        <v>178</v>
      </c>
      <c r="D1805" s="339">
        <v>458.7</v>
      </c>
    </row>
    <row r="1806" spans="1:4" ht="81">
      <c r="A1806" s="337">
        <v>97767</v>
      </c>
      <c r="B1806" s="338" t="s">
        <v>2314</v>
      </c>
      <c r="C1806" s="337" t="s">
        <v>178</v>
      </c>
      <c r="D1806" s="339">
        <v>476.19</v>
      </c>
    </row>
    <row r="1807" spans="1:4" ht="81">
      <c r="A1807" s="337">
        <v>97768</v>
      </c>
      <c r="B1807" s="338" t="s">
        <v>2315</v>
      </c>
      <c r="C1807" s="337" t="s">
        <v>178</v>
      </c>
      <c r="D1807" s="339">
        <v>464.94</v>
      </c>
    </row>
    <row r="1808" spans="1:4" ht="81">
      <c r="A1808" s="337">
        <v>97769</v>
      </c>
      <c r="B1808" s="338" t="s">
        <v>2316</v>
      </c>
      <c r="C1808" s="337" t="s">
        <v>178</v>
      </c>
      <c r="D1808" s="339">
        <v>441.66</v>
      </c>
    </row>
    <row r="1809" spans="1:4" ht="81">
      <c r="A1809" s="337">
        <v>97770</v>
      </c>
      <c r="B1809" s="338" t="s">
        <v>2317</v>
      </c>
      <c r="C1809" s="337" t="s">
        <v>178</v>
      </c>
      <c r="D1809" s="339">
        <v>422.21</v>
      </c>
    </row>
    <row r="1810" spans="1:4" ht="67.5">
      <c r="A1810" s="337">
        <v>97771</v>
      </c>
      <c r="B1810" s="338" t="s">
        <v>2318</v>
      </c>
      <c r="C1810" s="337" t="s">
        <v>178</v>
      </c>
      <c r="D1810" s="339">
        <v>457.88</v>
      </c>
    </row>
    <row r="1811" spans="1:4" ht="67.5">
      <c r="A1811" s="337">
        <v>97772</v>
      </c>
      <c r="B1811" s="338" t="s">
        <v>2319</v>
      </c>
      <c r="C1811" s="337" t="s">
        <v>178</v>
      </c>
      <c r="D1811" s="339">
        <v>442.48</v>
      </c>
    </row>
    <row r="1812" spans="1:4" ht="67.5">
      <c r="A1812" s="337">
        <v>97773</v>
      </c>
      <c r="B1812" s="338" t="s">
        <v>2320</v>
      </c>
      <c r="C1812" s="337" t="s">
        <v>178</v>
      </c>
      <c r="D1812" s="339">
        <v>418.4</v>
      </c>
    </row>
    <row r="1813" spans="1:4" ht="67.5">
      <c r="A1813" s="337">
        <v>97774</v>
      </c>
      <c r="B1813" s="338" t="s">
        <v>2321</v>
      </c>
      <c r="C1813" s="337" t="s">
        <v>178</v>
      </c>
      <c r="D1813" s="339">
        <v>397.47</v>
      </c>
    </row>
    <row r="1814" spans="1:4" ht="81">
      <c r="A1814" s="337">
        <v>97775</v>
      </c>
      <c r="B1814" s="338" t="s">
        <v>2322</v>
      </c>
      <c r="C1814" s="337" t="s">
        <v>178</v>
      </c>
      <c r="D1814" s="339">
        <v>618.79999999999995</v>
      </c>
    </row>
    <row r="1815" spans="1:4" ht="81">
      <c r="A1815" s="337">
        <v>97776</v>
      </c>
      <c r="B1815" s="338" t="s">
        <v>2323</v>
      </c>
      <c r="C1815" s="337" t="s">
        <v>178</v>
      </c>
      <c r="D1815" s="339">
        <v>590.16999999999996</v>
      </c>
    </row>
    <row r="1816" spans="1:4" ht="81">
      <c r="A1816" s="337">
        <v>97777</v>
      </c>
      <c r="B1816" s="338" t="s">
        <v>2324</v>
      </c>
      <c r="C1816" s="337" t="s">
        <v>178</v>
      </c>
      <c r="D1816" s="339">
        <v>550.61</v>
      </c>
    </row>
    <row r="1817" spans="1:4" ht="81">
      <c r="A1817" s="337">
        <v>97778</v>
      </c>
      <c r="B1817" s="338" t="s">
        <v>2325</v>
      </c>
      <c r="C1817" s="337" t="s">
        <v>178</v>
      </c>
      <c r="D1817" s="339">
        <v>525.04999999999995</v>
      </c>
    </row>
    <row r="1818" spans="1:4" ht="81">
      <c r="A1818" s="337">
        <v>97779</v>
      </c>
      <c r="B1818" s="338" t="s">
        <v>2326</v>
      </c>
      <c r="C1818" s="337" t="s">
        <v>178</v>
      </c>
      <c r="D1818" s="339">
        <v>591.66</v>
      </c>
    </row>
    <row r="1819" spans="1:4" ht="81">
      <c r="A1819" s="337">
        <v>97780</v>
      </c>
      <c r="B1819" s="338" t="s">
        <v>2327</v>
      </c>
      <c r="C1819" s="337" t="s">
        <v>178</v>
      </c>
      <c r="D1819" s="339">
        <v>567.02</v>
      </c>
    </row>
    <row r="1820" spans="1:4" ht="81">
      <c r="A1820" s="337">
        <v>97781</v>
      </c>
      <c r="B1820" s="338" t="s">
        <v>2328</v>
      </c>
      <c r="C1820" s="337" t="s">
        <v>178</v>
      </c>
      <c r="D1820" s="339">
        <v>525.04</v>
      </c>
    </row>
    <row r="1821" spans="1:4" ht="81">
      <c r="A1821" s="337">
        <v>97782</v>
      </c>
      <c r="B1821" s="338" t="s">
        <v>2329</v>
      </c>
      <c r="C1821" s="337" t="s">
        <v>178</v>
      </c>
      <c r="D1821" s="339">
        <v>493.35</v>
      </c>
    </row>
    <row r="1822" spans="1:4" ht="81">
      <c r="A1822" s="337">
        <v>97783</v>
      </c>
      <c r="B1822" s="338" t="s">
        <v>2330</v>
      </c>
      <c r="C1822" s="337" t="s">
        <v>178</v>
      </c>
      <c r="D1822" s="339">
        <v>589.6</v>
      </c>
    </row>
    <row r="1823" spans="1:4" ht="81">
      <c r="A1823" s="337">
        <v>97784</v>
      </c>
      <c r="B1823" s="338" t="s">
        <v>2331</v>
      </c>
      <c r="C1823" s="337" t="s">
        <v>178</v>
      </c>
      <c r="D1823" s="339">
        <v>557.02</v>
      </c>
    </row>
    <row r="1824" spans="1:4" ht="81">
      <c r="A1824" s="337">
        <v>97785</v>
      </c>
      <c r="B1824" s="338" t="s">
        <v>2332</v>
      </c>
      <c r="C1824" s="337" t="s">
        <v>178</v>
      </c>
      <c r="D1824" s="339">
        <v>510.33</v>
      </c>
    </row>
    <row r="1825" spans="1:4" ht="81">
      <c r="A1825" s="337">
        <v>97786</v>
      </c>
      <c r="B1825" s="338" t="s">
        <v>2333</v>
      </c>
      <c r="C1825" s="337" t="s">
        <v>178</v>
      </c>
      <c r="D1825" s="339">
        <v>474.62</v>
      </c>
    </row>
    <row r="1826" spans="1:4" ht="81">
      <c r="A1826" s="337">
        <v>97787</v>
      </c>
      <c r="B1826" s="338" t="s">
        <v>2334</v>
      </c>
      <c r="C1826" s="337" t="s">
        <v>178</v>
      </c>
      <c r="D1826" s="339">
        <v>549.03</v>
      </c>
    </row>
    <row r="1827" spans="1:4" ht="81">
      <c r="A1827" s="337">
        <v>97788</v>
      </c>
      <c r="B1827" s="338" t="s">
        <v>2335</v>
      </c>
      <c r="C1827" s="337" t="s">
        <v>178</v>
      </c>
      <c r="D1827" s="339">
        <v>528.33000000000004</v>
      </c>
    </row>
    <row r="1828" spans="1:4" ht="81">
      <c r="A1828" s="337">
        <v>97789</v>
      </c>
      <c r="B1828" s="338" t="s">
        <v>2336</v>
      </c>
      <c r="C1828" s="337" t="s">
        <v>178</v>
      </c>
      <c r="D1828" s="339">
        <v>500.82</v>
      </c>
    </row>
    <row r="1829" spans="1:4" ht="81">
      <c r="A1829" s="337">
        <v>97790</v>
      </c>
      <c r="B1829" s="338" t="s">
        <v>2337</v>
      </c>
      <c r="C1829" s="337" t="s">
        <v>178</v>
      </c>
      <c r="D1829" s="339">
        <v>483.91</v>
      </c>
    </row>
    <row r="1830" spans="1:4" ht="81">
      <c r="A1830" s="337">
        <v>97791</v>
      </c>
      <c r="B1830" s="338" t="s">
        <v>2338</v>
      </c>
      <c r="C1830" s="337" t="s">
        <v>178</v>
      </c>
      <c r="D1830" s="339">
        <v>494.19</v>
      </c>
    </row>
    <row r="1831" spans="1:4" ht="81">
      <c r="A1831" s="337">
        <v>97792</v>
      </c>
      <c r="B1831" s="338" t="s">
        <v>2339</v>
      </c>
      <c r="C1831" s="337" t="s">
        <v>178</v>
      </c>
      <c r="D1831" s="339">
        <v>483.07</v>
      </c>
    </row>
    <row r="1832" spans="1:4" ht="81">
      <c r="A1832" s="337">
        <v>97793</v>
      </c>
      <c r="B1832" s="338" t="s">
        <v>2340</v>
      </c>
      <c r="C1832" s="337" t="s">
        <v>178</v>
      </c>
      <c r="D1832" s="339">
        <v>459.53</v>
      </c>
    </row>
    <row r="1833" spans="1:4" ht="81">
      <c r="A1833" s="337">
        <v>97794</v>
      </c>
      <c r="B1833" s="338" t="s">
        <v>2341</v>
      </c>
      <c r="C1833" s="337" t="s">
        <v>178</v>
      </c>
      <c r="D1833" s="339">
        <v>439.75</v>
      </c>
    </row>
    <row r="1834" spans="1:4" ht="81">
      <c r="A1834" s="337">
        <v>97795</v>
      </c>
      <c r="B1834" s="338" t="s">
        <v>2342</v>
      </c>
      <c r="C1834" s="337" t="s">
        <v>178</v>
      </c>
      <c r="D1834" s="339">
        <v>475.95</v>
      </c>
    </row>
    <row r="1835" spans="1:4" ht="81">
      <c r="A1835" s="337">
        <v>97796</v>
      </c>
      <c r="B1835" s="338" t="s">
        <v>2343</v>
      </c>
      <c r="C1835" s="337" t="s">
        <v>178</v>
      </c>
      <c r="D1835" s="339">
        <v>460.24</v>
      </c>
    </row>
    <row r="1836" spans="1:4" ht="81">
      <c r="A1836" s="337">
        <v>97797</v>
      </c>
      <c r="B1836" s="338" t="s">
        <v>2344</v>
      </c>
      <c r="C1836" s="337" t="s">
        <v>178</v>
      </c>
      <c r="D1836" s="339">
        <v>435.71</v>
      </c>
    </row>
    <row r="1837" spans="1:4" ht="81">
      <c r="A1837" s="337">
        <v>97798</v>
      </c>
      <c r="B1837" s="338" t="s">
        <v>2345</v>
      </c>
      <c r="C1837" s="337" t="s">
        <v>178</v>
      </c>
      <c r="D1837" s="339">
        <v>414.18</v>
      </c>
    </row>
    <row r="1838" spans="1:4" ht="54">
      <c r="A1838" s="337">
        <v>97799</v>
      </c>
      <c r="B1838" s="338" t="s">
        <v>2346</v>
      </c>
      <c r="C1838" s="337" t="s">
        <v>178</v>
      </c>
      <c r="D1838" s="339">
        <v>523.72</v>
      </c>
    </row>
    <row r="1839" spans="1:4" ht="54">
      <c r="A1839" s="337">
        <v>97800</v>
      </c>
      <c r="B1839" s="338" t="s">
        <v>2347</v>
      </c>
      <c r="C1839" s="337" t="s">
        <v>178</v>
      </c>
      <c r="D1839" s="339">
        <v>552.64</v>
      </c>
    </row>
    <row r="1840" spans="1:4" ht="81">
      <c r="A1840" s="337">
        <v>89198</v>
      </c>
      <c r="B1840" s="338" t="s">
        <v>2348</v>
      </c>
      <c r="C1840" s="337" t="s">
        <v>172</v>
      </c>
      <c r="D1840" s="339">
        <v>72.319999999999993</v>
      </c>
    </row>
    <row r="1841" spans="1:4" ht="81">
      <c r="A1841" s="337">
        <v>89199</v>
      </c>
      <c r="B1841" s="338" t="s">
        <v>2349</v>
      </c>
      <c r="C1841" s="337" t="s">
        <v>172</v>
      </c>
      <c r="D1841" s="339">
        <v>95.17</v>
      </c>
    </row>
    <row r="1842" spans="1:4" ht="94.5">
      <c r="A1842" s="337">
        <v>89200</v>
      </c>
      <c r="B1842" s="338" t="s">
        <v>2350</v>
      </c>
      <c r="C1842" s="337" t="s">
        <v>172</v>
      </c>
      <c r="D1842" s="339">
        <v>224.33</v>
      </c>
    </row>
    <row r="1843" spans="1:4" ht="81">
      <c r="A1843" s="337">
        <v>89201</v>
      </c>
      <c r="B1843" s="338" t="s">
        <v>2351</v>
      </c>
      <c r="C1843" s="337" t="s">
        <v>172</v>
      </c>
      <c r="D1843" s="339">
        <v>57.73</v>
      </c>
    </row>
    <row r="1844" spans="1:4" ht="81">
      <c r="A1844" s="337">
        <v>89202</v>
      </c>
      <c r="B1844" s="338" t="s">
        <v>2352</v>
      </c>
      <c r="C1844" s="337" t="s">
        <v>172</v>
      </c>
      <c r="D1844" s="339">
        <v>75</v>
      </c>
    </row>
    <row r="1845" spans="1:4" ht="94.5">
      <c r="A1845" s="337">
        <v>89203</v>
      </c>
      <c r="B1845" s="338" t="s">
        <v>2353</v>
      </c>
      <c r="C1845" s="337" t="s">
        <v>172</v>
      </c>
      <c r="D1845" s="339">
        <v>176.29</v>
      </c>
    </row>
    <row r="1846" spans="1:4" ht="81">
      <c r="A1846" s="337">
        <v>89204</v>
      </c>
      <c r="B1846" s="338" t="s">
        <v>2354</v>
      </c>
      <c r="C1846" s="337" t="s">
        <v>172</v>
      </c>
      <c r="D1846" s="339">
        <v>52.65</v>
      </c>
    </row>
    <row r="1847" spans="1:4" ht="81">
      <c r="A1847" s="337">
        <v>89205</v>
      </c>
      <c r="B1847" s="338" t="s">
        <v>2355</v>
      </c>
      <c r="C1847" s="337" t="s">
        <v>172</v>
      </c>
      <c r="D1847" s="339">
        <v>69.03</v>
      </c>
    </row>
    <row r="1848" spans="1:4" ht="94.5">
      <c r="A1848" s="337">
        <v>89206</v>
      </c>
      <c r="B1848" s="338" t="s">
        <v>2356</v>
      </c>
      <c r="C1848" s="337" t="s">
        <v>172</v>
      </c>
      <c r="D1848" s="339">
        <v>164.91</v>
      </c>
    </row>
    <row r="1849" spans="1:4" ht="67.5">
      <c r="A1849" s="337">
        <v>90808</v>
      </c>
      <c r="B1849" s="338" t="s">
        <v>2357</v>
      </c>
      <c r="C1849" s="337" t="s">
        <v>172</v>
      </c>
      <c r="D1849" s="339">
        <v>66.62</v>
      </c>
    </row>
    <row r="1850" spans="1:4" ht="67.5">
      <c r="A1850" s="337">
        <v>90809</v>
      </c>
      <c r="B1850" s="338" t="s">
        <v>2358</v>
      </c>
      <c r="C1850" s="337" t="s">
        <v>172</v>
      </c>
      <c r="D1850" s="339">
        <v>64.430000000000007</v>
      </c>
    </row>
    <row r="1851" spans="1:4" ht="67.5">
      <c r="A1851" s="337">
        <v>90810</v>
      </c>
      <c r="B1851" s="338" t="s">
        <v>2359</v>
      </c>
      <c r="C1851" s="337" t="s">
        <v>172</v>
      </c>
      <c r="D1851" s="339">
        <v>143.93</v>
      </c>
    </row>
    <row r="1852" spans="1:4" ht="67.5">
      <c r="A1852" s="337">
        <v>90811</v>
      </c>
      <c r="B1852" s="338" t="s">
        <v>2360</v>
      </c>
      <c r="C1852" s="337" t="s">
        <v>172</v>
      </c>
      <c r="D1852" s="339">
        <v>137.32</v>
      </c>
    </row>
    <row r="1853" spans="1:4" ht="67.5">
      <c r="A1853" s="337">
        <v>90812</v>
      </c>
      <c r="B1853" s="338" t="s">
        <v>2361</v>
      </c>
      <c r="C1853" s="337" t="s">
        <v>172</v>
      </c>
      <c r="D1853" s="339">
        <v>248.44</v>
      </c>
    </row>
    <row r="1854" spans="1:4" ht="67.5">
      <c r="A1854" s="337">
        <v>90813</v>
      </c>
      <c r="B1854" s="338" t="s">
        <v>2362</v>
      </c>
      <c r="C1854" s="337" t="s">
        <v>172</v>
      </c>
      <c r="D1854" s="339">
        <v>239.36</v>
      </c>
    </row>
    <row r="1855" spans="1:4" ht="67.5">
      <c r="A1855" s="337">
        <v>90814</v>
      </c>
      <c r="B1855" s="338" t="s">
        <v>2363</v>
      </c>
      <c r="C1855" s="337" t="s">
        <v>172</v>
      </c>
      <c r="D1855" s="339">
        <v>301.92</v>
      </c>
    </row>
    <row r="1856" spans="1:4" ht="67.5">
      <c r="A1856" s="337">
        <v>90815</v>
      </c>
      <c r="B1856" s="338" t="s">
        <v>2364</v>
      </c>
      <c r="C1856" s="337" t="s">
        <v>172</v>
      </c>
      <c r="D1856" s="339">
        <v>366.93</v>
      </c>
    </row>
    <row r="1857" spans="1:4" ht="81">
      <c r="A1857" s="337">
        <v>90877</v>
      </c>
      <c r="B1857" s="338" t="s">
        <v>2365</v>
      </c>
      <c r="C1857" s="337" t="s">
        <v>172</v>
      </c>
      <c r="D1857" s="339">
        <v>40.76</v>
      </c>
    </row>
    <row r="1858" spans="1:4" ht="81">
      <c r="A1858" s="337">
        <v>90878</v>
      </c>
      <c r="B1858" s="338" t="s">
        <v>2366</v>
      </c>
      <c r="C1858" s="337" t="s">
        <v>172</v>
      </c>
      <c r="D1858" s="339">
        <v>39.17</v>
      </c>
    </row>
    <row r="1859" spans="1:4" ht="81">
      <c r="A1859" s="337">
        <v>90880</v>
      </c>
      <c r="B1859" s="338" t="s">
        <v>2367</v>
      </c>
      <c r="C1859" s="337" t="s">
        <v>172</v>
      </c>
      <c r="D1859" s="339">
        <v>52.6</v>
      </c>
    </row>
    <row r="1860" spans="1:4" ht="81">
      <c r="A1860" s="337">
        <v>90881</v>
      </c>
      <c r="B1860" s="338" t="s">
        <v>2368</v>
      </c>
      <c r="C1860" s="337" t="s">
        <v>172</v>
      </c>
      <c r="D1860" s="339">
        <v>48.67</v>
      </c>
    </row>
    <row r="1861" spans="1:4" ht="81">
      <c r="A1861" s="337">
        <v>90883</v>
      </c>
      <c r="B1861" s="338" t="s">
        <v>2369</v>
      </c>
      <c r="C1861" s="337" t="s">
        <v>172</v>
      </c>
      <c r="D1861" s="339">
        <v>71.16</v>
      </c>
    </row>
    <row r="1862" spans="1:4" ht="94.5">
      <c r="A1862" s="337">
        <v>90884</v>
      </c>
      <c r="B1862" s="338" t="s">
        <v>2370</v>
      </c>
      <c r="C1862" s="337" t="s">
        <v>172</v>
      </c>
      <c r="D1862" s="339">
        <v>69.31</v>
      </c>
    </row>
    <row r="1863" spans="1:4" ht="81">
      <c r="A1863" s="337">
        <v>90885</v>
      </c>
      <c r="B1863" s="338" t="s">
        <v>2371</v>
      </c>
      <c r="C1863" s="337" t="s">
        <v>172</v>
      </c>
      <c r="D1863" s="339">
        <v>68.489999999999995</v>
      </c>
    </row>
    <row r="1864" spans="1:4" ht="81">
      <c r="A1864" s="337">
        <v>90886</v>
      </c>
      <c r="B1864" s="338" t="s">
        <v>2372</v>
      </c>
      <c r="C1864" s="337" t="s">
        <v>172</v>
      </c>
      <c r="D1864" s="339">
        <v>139.68</v>
      </c>
    </row>
    <row r="1865" spans="1:4" ht="94.5">
      <c r="A1865" s="337">
        <v>90887</v>
      </c>
      <c r="B1865" s="338" t="s">
        <v>2373</v>
      </c>
      <c r="C1865" s="337" t="s">
        <v>172</v>
      </c>
      <c r="D1865" s="339">
        <v>137.63999999999999</v>
      </c>
    </row>
    <row r="1866" spans="1:4" ht="81">
      <c r="A1866" s="337">
        <v>90888</v>
      </c>
      <c r="B1866" s="338" t="s">
        <v>2374</v>
      </c>
      <c r="C1866" s="337" t="s">
        <v>172</v>
      </c>
      <c r="D1866" s="339">
        <v>136.76</v>
      </c>
    </row>
    <row r="1867" spans="1:4" ht="81">
      <c r="A1867" s="337">
        <v>90889</v>
      </c>
      <c r="B1867" s="338" t="s">
        <v>2375</v>
      </c>
      <c r="C1867" s="337" t="s">
        <v>172</v>
      </c>
      <c r="D1867" s="339">
        <v>164.66</v>
      </c>
    </row>
    <row r="1868" spans="1:4" ht="81">
      <c r="A1868" s="337">
        <v>90890</v>
      </c>
      <c r="B1868" s="338" t="s">
        <v>2376</v>
      </c>
      <c r="C1868" s="337" t="s">
        <v>172</v>
      </c>
      <c r="D1868" s="339">
        <v>161.61000000000001</v>
      </c>
    </row>
    <row r="1869" spans="1:4" ht="81">
      <c r="A1869" s="337">
        <v>90891</v>
      </c>
      <c r="B1869" s="338" t="s">
        <v>2377</v>
      </c>
      <c r="C1869" s="337" t="s">
        <v>172</v>
      </c>
      <c r="D1869" s="339">
        <v>160.26</v>
      </c>
    </row>
    <row r="1870" spans="1:4" ht="40.5">
      <c r="A1870" s="337">
        <v>95601</v>
      </c>
      <c r="B1870" s="338" t="s">
        <v>2378</v>
      </c>
      <c r="C1870" s="337" t="s">
        <v>474</v>
      </c>
      <c r="D1870" s="339">
        <v>12.96</v>
      </c>
    </row>
    <row r="1871" spans="1:4" ht="40.5">
      <c r="A1871" s="337">
        <v>95602</v>
      </c>
      <c r="B1871" s="338" t="s">
        <v>2379</v>
      </c>
      <c r="C1871" s="337" t="s">
        <v>474</v>
      </c>
      <c r="D1871" s="339">
        <v>16.61</v>
      </c>
    </row>
    <row r="1872" spans="1:4" ht="40.5">
      <c r="A1872" s="337">
        <v>95603</v>
      </c>
      <c r="B1872" s="338" t="s">
        <v>2380</v>
      </c>
      <c r="C1872" s="337" t="s">
        <v>474</v>
      </c>
      <c r="D1872" s="339">
        <v>21.81</v>
      </c>
    </row>
    <row r="1873" spans="1:4" ht="40.5">
      <c r="A1873" s="337">
        <v>95604</v>
      </c>
      <c r="B1873" s="338" t="s">
        <v>2381</v>
      </c>
      <c r="C1873" s="337" t="s">
        <v>474</v>
      </c>
      <c r="D1873" s="339">
        <v>28.73</v>
      </c>
    </row>
    <row r="1874" spans="1:4" ht="40.5">
      <c r="A1874" s="337">
        <v>95605</v>
      </c>
      <c r="B1874" s="338" t="s">
        <v>2382</v>
      </c>
      <c r="C1874" s="337" t="s">
        <v>474</v>
      </c>
      <c r="D1874" s="339">
        <v>45.03</v>
      </c>
    </row>
    <row r="1875" spans="1:4" ht="27">
      <c r="A1875" s="337">
        <v>95607</v>
      </c>
      <c r="B1875" s="338" t="s">
        <v>2383</v>
      </c>
      <c r="C1875" s="337" t="s">
        <v>474</v>
      </c>
      <c r="D1875" s="339">
        <v>4.97</v>
      </c>
    </row>
    <row r="1876" spans="1:4" ht="27">
      <c r="A1876" s="337">
        <v>95608</v>
      </c>
      <c r="B1876" s="338" t="s">
        <v>2384</v>
      </c>
      <c r="C1876" s="337" t="s">
        <v>474</v>
      </c>
      <c r="D1876" s="339">
        <v>5.74</v>
      </c>
    </row>
    <row r="1877" spans="1:4" ht="27">
      <c r="A1877" s="337">
        <v>95609</v>
      </c>
      <c r="B1877" s="338" t="s">
        <v>2385</v>
      </c>
      <c r="C1877" s="337" t="s">
        <v>474</v>
      </c>
      <c r="D1877" s="339">
        <v>6.39</v>
      </c>
    </row>
    <row r="1878" spans="1:4" ht="40.5">
      <c r="A1878" s="337">
        <v>96160</v>
      </c>
      <c r="B1878" s="338" t="s">
        <v>2386</v>
      </c>
      <c r="C1878" s="337" t="s">
        <v>172</v>
      </c>
      <c r="D1878" s="339">
        <v>163.81</v>
      </c>
    </row>
    <row r="1879" spans="1:4" ht="40.5">
      <c r="A1879" s="337">
        <v>96161</v>
      </c>
      <c r="B1879" s="338" t="s">
        <v>2387</v>
      </c>
      <c r="C1879" s="337" t="s">
        <v>172</v>
      </c>
      <c r="D1879" s="339">
        <v>245.27</v>
      </c>
    </row>
    <row r="1880" spans="1:4" ht="40.5">
      <c r="A1880" s="337">
        <v>96162</v>
      </c>
      <c r="B1880" s="338" t="s">
        <v>2388</v>
      </c>
      <c r="C1880" s="337" t="s">
        <v>172</v>
      </c>
      <c r="D1880" s="339">
        <v>322.22000000000003</v>
      </c>
    </row>
    <row r="1881" spans="1:4" ht="40.5">
      <c r="A1881" s="337">
        <v>96163</v>
      </c>
      <c r="B1881" s="338" t="s">
        <v>2389</v>
      </c>
      <c r="C1881" s="337" t="s">
        <v>172</v>
      </c>
      <c r="D1881" s="339">
        <v>367.55</v>
      </c>
    </row>
    <row r="1882" spans="1:4" ht="40.5">
      <c r="A1882" s="337">
        <v>96164</v>
      </c>
      <c r="B1882" s="338" t="s">
        <v>2390</v>
      </c>
      <c r="C1882" s="337" t="s">
        <v>172</v>
      </c>
      <c r="D1882" s="339">
        <v>149.16999999999999</v>
      </c>
    </row>
    <row r="1883" spans="1:4" ht="40.5">
      <c r="A1883" s="337">
        <v>96165</v>
      </c>
      <c r="B1883" s="338" t="s">
        <v>2391</v>
      </c>
      <c r="C1883" s="337" t="s">
        <v>172</v>
      </c>
      <c r="D1883" s="339">
        <v>225.25</v>
      </c>
    </row>
    <row r="1884" spans="1:4" ht="40.5">
      <c r="A1884" s="337">
        <v>96166</v>
      </c>
      <c r="B1884" s="338" t="s">
        <v>2392</v>
      </c>
      <c r="C1884" s="337" t="s">
        <v>172</v>
      </c>
      <c r="D1884" s="339">
        <v>291.61</v>
      </c>
    </row>
    <row r="1885" spans="1:4" ht="40.5">
      <c r="A1885" s="337">
        <v>96167</v>
      </c>
      <c r="B1885" s="338" t="s">
        <v>2393</v>
      </c>
      <c r="C1885" s="337" t="s">
        <v>172</v>
      </c>
      <c r="D1885" s="339">
        <v>324.26</v>
      </c>
    </row>
    <row r="1886" spans="1:4" ht="40.5">
      <c r="A1886" s="337">
        <v>96168</v>
      </c>
      <c r="B1886" s="338" t="s">
        <v>2394</v>
      </c>
      <c r="C1886" s="337" t="s">
        <v>172</v>
      </c>
      <c r="D1886" s="339">
        <v>142.13</v>
      </c>
    </row>
    <row r="1887" spans="1:4" ht="40.5">
      <c r="A1887" s="337">
        <v>96169</v>
      </c>
      <c r="B1887" s="338" t="s">
        <v>2395</v>
      </c>
      <c r="C1887" s="337" t="s">
        <v>172</v>
      </c>
      <c r="D1887" s="339">
        <v>216.19</v>
      </c>
    </row>
    <row r="1888" spans="1:4" ht="40.5">
      <c r="A1888" s="337">
        <v>96170</v>
      </c>
      <c r="B1888" s="338" t="s">
        <v>2396</v>
      </c>
      <c r="C1888" s="337" t="s">
        <v>172</v>
      </c>
      <c r="D1888" s="339">
        <v>280.5</v>
      </c>
    </row>
    <row r="1889" spans="1:4" ht="40.5">
      <c r="A1889" s="337">
        <v>96171</v>
      </c>
      <c r="B1889" s="338" t="s">
        <v>2397</v>
      </c>
      <c r="C1889" s="337" t="s">
        <v>172</v>
      </c>
      <c r="D1889" s="339">
        <v>309.39999999999998</v>
      </c>
    </row>
    <row r="1890" spans="1:4" ht="40.5">
      <c r="A1890" s="337">
        <v>96172</v>
      </c>
      <c r="B1890" s="338" t="s">
        <v>2398</v>
      </c>
      <c r="C1890" s="337" t="s">
        <v>172</v>
      </c>
      <c r="D1890" s="339">
        <v>174.01</v>
      </c>
    </row>
    <row r="1891" spans="1:4" ht="40.5">
      <c r="A1891" s="337">
        <v>96173</v>
      </c>
      <c r="B1891" s="338" t="s">
        <v>2399</v>
      </c>
      <c r="C1891" s="337" t="s">
        <v>172</v>
      </c>
      <c r="D1891" s="339">
        <v>258.02999999999997</v>
      </c>
    </row>
    <row r="1892" spans="1:4" ht="40.5">
      <c r="A1892" s="337">
        <v>96174</v>
      </c>
      <c r="B1892" s="338" t="s">
        <v>2400</v>
      </c>
      <c r="C1892" s="337" t="s">
        <v>172</v>
      </c>
      <c r="D1892" s="339">
        <v>338.57</v>
      </c>
    </row>
    <row r="1893" spans="1:4" ht="40.5">
      <c r="A1893" s="337">
        <v>96175</v>
      </c>
      <c r="B1893" s="338" t="s">
        <v>2401</v>
      </c>
      <c r="C1893" s="337" t="s">
        <v>172</v>
      </c>
      <c r="D1893" s="339">
        <v>386.56</v>
      </c>
    </row>
    <row r="1894" spans="1:4" ht="40.5">
      <c r="A1894" s="337">
        <v>96176</v>
      </c>
      <c r="B1894" s="338" t="s">
        <v>2402</v>
      </c>
      <c r="C1894" s="337" t="s">
        <v>172</v>
      </c>
      <c r="D1894" s="339">
        <v>155.97</v>
      </c>
    </row>
    <row r="1895" spans="1:4" ht="40.5">
      <c r="A1895" s="337">
        <v>96177</v>
      </c>
      <c r="B1895" s="338" t="s">
        <v>2403</v>
      </c>
      <c r="C1895" s="337" t="s">
        <v>172</v>
      </c>
      <c r="D1895" s="339">
        <v>233.08</v>
      </c>
    </row>
    <row r="1896" spans="1:4" ht="40.5">
      <c r="A1896" s="337">
        <v>96178</v>
      </c>
      <c r="B1896" s="338" t="s">
        <v>2404</v>
      </c>
      <c r="C1896" s="337" t="s">
        <v>172</v>
      </c>
      <c r="D1896" s="339">
        <v>300.88</v>
      </c>
    </row>
    <row r="1897" spans="1:4" ht="40.5">
      <c r="A1897" s="337">
        <v>96179</v>
      </c>
      <c r="B1897" s="338" t="s">
        <v>2405</v>
      </c>
      <c r="C1897" s="337" t="s">
        <v>172</v>
      </c>
      <c r="D1897" s="339">
        <v>334.31</v>
      </c>
    </row>
    <row r="1898" spans="1:4" ht="40.5">
      <c r="A1898" s="337">
        <v>96180</v>
      </c>
      <c r="B1898" s="338" t="s">
        <v>2406</v>
      </c>
      <c r="C1898" s="337" t="s">
        <v>172</v>
      </c>
      <c r="D1898" s="339">
        <v>147.13</v>
      </c>
    </row>
    <row r="1899" spans="1:4" ht="40.5">
      <c r="A1899" s="337">
        <v>96181</v>
      </c>
      <c r="B1899" s="338" t="s">
        <v>2407</v>
      </c>
      <c r="C1899" s="337" t="s">
        <v>172</v>
      </c>
      <c r="D1899" s="339">
        <v>222.02</v>
      </c>
    </row>
    <row r="1900" spans="1:4" ht="40.5">
      <c r="A1900" s="337">
        <v>96182</v>
      </c>
      <c r="B1900" s="338" t="s">
        <v>2408</v>
      </c>
      <c r="C1900" s="337" t="s">
        <v>172</v>
      </c>
      <c r="D1900" s="339">
        <v>286.14</v>
      </c>
    </row>
    <row r="1901" spans="1:4" ht="40.5">
      <c r="A1901" s="337">
        <v>96183</v>
      </c>
      <c r="B1901" s="338" t="s">
        <v>2409</v>
      </c>
      <c r="C1901" s="337" t="s">
        <v>172</v>
      </c>
      <c r="D1901" s="339">
        <v>316.24</v>
      </c>
    </row>
    <row r="1902" spans="1:4" ht="54">
      <c r="A1902" s="337">
        <v>98228</v>
      </c>
      <c r="B1902" s="338" t="s">
        <v>2410</v>
      </c>
      <c r="C1902" s="337" t="s">
        <v>172</v>
      </c>
      <c r="D1902" s="339">
        <v>45.23</v>
      </c>
    </row>
    <row r="1903" spans="1:4" ht="54">
      <c r="A1903" s="337">
        <v>98229</v>
      </c>
      <c r="B1903" s="338" t="s">
        <v>2411</v>
      </c>
      <c r="C1903" s="337" t="s">
        <v>172</v>
      </c>
      <c r="D1903" s="339">
        <v>61.18</v>
      </c>
    </row>
    <row r="1904" spans="1:4" ht="54">
      <c r="A1904" s="337">
        <v>98230</v>
      </c>
      <c r="B1904" s="338" t="s">
        <v>2412</v>
      </c>
      <c r="C1904" s="337" t="s">
        <v>172</v>
      </c>
      <c r="D1904" s="339">
        <v>83.08</v>
      </c>
    </row>
    <row r="1905" spans="1:4" ht="40.5">
      <c r="A1905" s="337">
        <v>83534</v>
      </c>
      <c r="B1905" s="338" t="s">
        <v>2413</v>
      </c>
      <c r="C1905" s="337" t="s">
        <v>178</v>
      </c>
      <c r="D1905" s="339">
        <v>474.34</v>
      </c>
    </row>
    <row r="1906" spans="1:4" ht="40.5">
      <c r="A1906" s="337">
        <v>95240</v>
      </c>
      <c r="B1906" s="338" t="s">
        <v>2414</v>
      </c>
      <c r="C1906" s="337" t="s">
        <v>145</v>
      </c>
      <c r="D1906" s="339">
        <v>12</v>
      </c>
    </row>
    <row r="1907" spans="1:4" ht="40.5">
      <c r="A1907" s="337">
        <v>95241</v>
      </c>
      <c r="B1907" s="338" t="s">
        <v>2415</v>
      </c>
      <c r="C1907" s="337" t="s">
        <v>145</v>
      </c>
      <c r="D1907" s="339">
        <v>20.02</v>
      </c>
    </row>
    <row r="1908" spans="1:4" ht="40.5">
      <c r="A1908" s="337">
        <v>96616</v>
      </c>
      <c r="B1908" s="338" t="s">
        <v>2416</v>
      </c>
      <c r="C1908" s="337" t="s">
        <v>178</v>
      </c>
      <c r="D1908" s="339">
        <v>417.23</v>
      </c>
    </row>
    <row r="1909" spans="1:4" ht="40.5">
      <c r="A1909" s="337">
        <v>96617</v>
      </c>
      <c r="B1909" s="338" t="s">
        <v>2417</v>
      </c>
      <c r="C1909" s="337" t="s">
        <v>145</v>
      </c>
      <c r="D1909" s="339">
        <v>12.49</v>
      </c>
    </row>
    <row r="1910" spans="1:4" ht="40.5">
      <c r="A1910" s="337">
        <v>96619</v>
      </c>
      <c r="B1910" s="338" t="s">
        <v>2418</v>
      </c>
      <c r="C1910" s="337" t="s">
        <v>145</v>
      </c>
      <c r="D1910" s="339">
        <v>20.85</v>
      </c>
    </row>
    <row r="1911" spans="1:4" ht="27">
      <c r="A1911" s="337">
        <v>96620</v>
      </c>
      <c r="B1911" s="338" t="s">
        <v>2419</v>
      </c>
      <c r="C1911" s="337" t="s">
        <v>178</v>
      </c>
      <c r="D1911" s="339">
        <v>400.57</v>
      </c>
    </row>
    <row r="1912" spans="1:4" ht="40.5">
      <c r="A1912" s="337">
        <v>96621</v>
      </c>
      <c r="B1912" s="338" t="s">
        <v>2420</v>
      </c>
      <c r="C1912" s="337" t="s">
        <v>178</v>
      </c>
      <c r="D1912" s="339">
        <v>148.24</v>
      </c>
    </row>
    <row r="1913" spans="1:4" ht="40.5">
      <c r="A1913" s="337">
        <v>96622</v>
      </c>
      <c r="B1913" s="338" t="s">
        <v>2421</v>
      </c>
      <c r="C1913" s="337" t="s">
        <v>178</v>
      </c>
      <c r="D1913" s="339">
        <v>99.26</v>
      </c>
    </row>
    <row r="1914" spans="1:4" ht="40.5">
      <c r="A1914" s="337">
        <v>96623</v>
      </c>
      <c r="B1914" s="338" t="s">
        <v>2422</v>
      </c>
      <c r="C1914" s="337" t="s">
        <v>178</v>
      </c>
      <c r="D1914" s="339">
        <v>136.85</v>
      </c>
    </row>
    <row r="1915" spans="1:4" ht="40.5">
      <c r="A1915" s="337">
        <v>96624</v>
      </c>
      <c r="B1915" s="338" t="s">
        <v>2423</v>
      </c>
      <c r="C1915" s="337" t="s">
        <v>178</v>
      </c>
      <c r="D1915" s="339">
        <v>95.24</v>
      </c>
    </row>
    <row r="1916" spans="1:4" ht="27">
      <c r="A1916" s="337">
        <v>97082</v>
      </c>
      <c r="B1916" s="338" t="s">
        <v>2424</v>
      </c>
      <c r="C1916" s="337" t="s">
        <v>178</v>
      </c>
      <c r="D1916" s="339">
        <v>41.55</v>
      </c>
    </row>
    <row r="1917" spans="1:4" ht="40.5">
      <c r="A1917" s="337">
        <v>97083</v>
      </c>
      <c r="B1917" s="338" t="s">
        <v>2425</v>
      </c>
      <c r="C1917" s="337" t="s">
        <v>145</v>
      </c>
      <c r="D1917" s="339">
        <v>2.1800000000000002</v>
      </c>
    </row>
    <row r="1918" spans="1:4" ht="40.5">
      <c r="A1918" s="337">
        <v>97084</v>
      </c>
      <c r="B1918" s="338" t="s">
        <v>2426</v>
      </c>
      <c r="C1918" s="337" t="s">
        <v>145</v>
      </c>
      <c r="D1918" s="339">
        <v>0.44</v>
      </c>
    </row>
    <row r="1919" spans="1:4" ht="40.5">
      <c r="A1919" s="337">
        <v>97086</v>
      </c>
      <c r="B1919" s="338" t="s">
        <v>2427</v>
      </c>
      <c r="C1919" s="337" t="s">
        <v>145</v>
      </c>
      <c r="D1919" s="339">
        <v>70.989999999999995</v>
      </c>
    </row>
    <row r="1920" spans="1:4" ht="54">
      <c r="A1920" s="337">
        <v>97094</v>
      </c>
      <c r="B1920" s="338" t="s">
        <v>2428</v>
      </c>
      <c r="C1920" s="337" t="s">
        <v>178</v>
      </c>
      <c r="D1920" s="339">
        <v>442.09</v>
      </c>
    </row>
    <row r="1921" spans="1:4" ht="54">
      <c r="A1921" s="337">
        <v>97095</v>
      </c>
      <c r="B1921" s="338" t="s">
        <v>2429</v>
      </c>
      <c r="C1921" s="337" t="s">
        <v>178</v>
      </c>
      <c r="D1921" s="339">
        <v>415.19</v>
      </c>
    </row>
    <row r="1922" spans="1:4" ht="54">
      <c r="A1922" s="337">
        <v>97096</v>
      </c>
      <c r="B1922" s="338" t="s">
        <v>2430</v>
      </c>
      <c r="C1922" s="337" t="s">
        <v>178</v>
      </c>
      <c r="D1922" s="339">
        <v>401.38</v>
      </c>
    </row>
    <row r="1923" spans="1:4" ht="54">
      <c r="A1923" s="337">
        <v>90996</v>
      </c>
      <c r="B1923" s="338" t="s">
        <v>2431</v>
      </c>
      <c r="C1923" s="337" t="s">
        <v>145</v>
      </c>
      <c r="D1923" s="339">
        <v>11.2</v>
      </c>
    </row>
    <row r="1924" spans="1:4" ht="54">
      <c r="A1924" s="337">
        <v>90997</v>
      </c>
      <c r="B1924" s="338" t="s">
        <v>2432</v>
      </c>
      <c r="C1924" s="337" t="s">
        <v>145</v>
      </c>
      <c r="D1924" s="339">
        <v>15.14</v>
      </c>
    </row>
    <row r="1925" spans="1:4" ht="54">
      <c r="A1925" s="337">
        <v>90998</v>
      </c>
      <c r="B1925" s="338" t="s">
        <v>2433</v>
      </c>
      <c r="C1925" s="337" t="s">
        <v>145</v>
      </c>
      <c r="D1925" s="339">
        <v>18.239999999999998</v>
      </c>
    </row>
    <row r="1926" spans="1:4" ht="54">
      <c r="A1926" s="337">
        <v>91000</v>
      </c>
      <c r="B1926" s="338" t="s">
        <v>2434</v>
      </c>
      <c r="C1926" s="337" t="s">
        <v>145</v>
      </c>
      <c r="D1926" s="339">
        <v>13.98</v>
      </c>
    </row>
    <row r="1927" spans="1:4" ht="54">
      <c r="A1927" s="337">
        <v>91002</v>
      </c>
      <c r="B1927" s="338" t="s">
        <v>2435</v>
      </c>
      <c r="C1927" s="337" t="s">
        <v>145</v>
      </c>
      <c r="D1927" s="339">
        <v>12.87</v>
      </c>
    </row>
    <row r="1928" spans="1:4" ht="67.5">
      <c r="A1928" s="337">
        <v>91003</v>
      </c>
      <c r="B1928" s="338" t="s">
        <v>2436</v>
      </c>
      <c r="C1928" s="337" t="s">
        <v>145</v>
      </c>
      <c r="D1928" s="339">
        <v>14.87</v>
      </c>
    </row>
    <row r="1929" spans="1:4" ht="54">
      <c r="A1929" s="337">
        <v>91004</v>
      </c>
      <c r="B1929" s="338" t="s">
        <v>2437</v>
      </c>
      <c r="C1929" s="337" t="s">
        <v>145</v>
      </c>
      <c r="D1929" s="339">
        <v>11.53</v>
      </c>
    </row>
    <row r="1930" spans="1:4" ht="54">
      <c r="A1930" s="337">
        <v>91005</v>
      </c>
      <c r="B1930" s="338" t="s">
        <v>2438</v>
      </c>
      <c r="C1930" s="337" t="s">
        <v>145</v>
      </c>
      <c r="D1930" s="339">
        <v>13.83</v>
      </c>
    </row>
    <row r="1931" spans="1:4" ht="54">
      <c r="A1931" s="337">
        <v>91006</v>
      </c>
      <c r="B1931" s="338" t="s">
        <v>2439</v>
      </c>
      <c r="C1931" s="337" t="s">
        <v>145</v>
      </c>
      <c r="D1931" s="339">
        <v>10.65</v>
      </c>
    </row>
    <row r="1932" spans="1:4" ht="54">
      <c r="A1932" s="337">
        <v>91007</v>
      </c>
      <c r="B1932" s="338" t="s">
        <v>2440</v>
      </c>
      <c r="C1932" s="337" t="s">
        <v>145</v>
      </c>
      <c r="D1932" s="339">
        <v>9.5500000000000007</v>
      </c>
    </row>
    <row r="1933" spans="1:4" ht="67.5">
      <c r="A1933" s="337">
        <v>91008</v>
      </c>
      <c r="B1933" s="338" t="s">
        <v>2441</v>
      </c>
      <c r="C1933" s="337" t="s">
        <v>145</v>
      </c>
      <c r="D1933" s="339">
        <v>11.54</v>
      </c>
    </row>
    <row r="1934" spans="1:4" ht="54">
      <c r="A1934" s="337">
        <v>92263</v>
      </c>
      <c r="B1934" s="338" t="s">
        <v>2442</v>
      </c>
      <c r="C1934" s="337" t="s">
        <v>145</v>
      </c>
      <c r="D1934" s="339">
        <v>87.36</v>
      </c>
    </row>
    <row r="1935" spans="1:4" ht="54">
      <c r="A1935" s="337">
        <v>92264</v>
      </c>
      <c r="B1935" s="338" t="s">
        <v>2443</v>
      </c>
      <c r="C1935" s="337" t="s">
        <v>145</v>
      </c>
      <c r="D1935" s="339">
        <v>102.18</v>
      </c>
    </row>
    <row r="1936" spans="1:4" ht="40.5">
      <c r="A1936" s="337">
        <v>92265</v>
      </c>
      <c r="B1936" s="338" t="s">
        <v>2444</v>
      </c>
      <c r="C1936" s="337" t="s">
        <v>145</v>
      </c>
      <c r="D1936" s="339">
        <v>66.98</v>
      </c>
    </row>
    <row r="1937" spans="1:4" ht="40.5">
      <c r="A1937" s="337">
        <v>92266</v>
      </c>
      <c r="B1937" s="338" t="s">
        <v>2445</v>
      </c>
      <c r="C1937" s="337" t="s">
        <v>145</v>
      </c>
      <c r="D1937" s="339">
        <v>80.19</v>
      </c>
    </row>
    <row r="1938" spans="1:4" ht="40.5">
      <c r="A1938" s="337">
        <v>92267</v>
      </c>
      <c r="B1938" s="338" t="s">
        <v>2446</v>
      </c>
      <c r="C1938" s="337" t="s">
        <v>145</v>
      </c>
      <c r="D1938" s="339">
        <v>27.03</v>
      </c>
    </row>
    <row r="1939" spans="1:4" ht="40.5">
      <c r="A1939" s="337">
        <v>92268</v>
      </c>
      <c r="B1939" s="338" t="s">
        <v>2447</v>
      </c>
      <c r="C1939" s="337" t="s">
        <v>145</v>
      </c>
      <c r="D1939" s="339">
        <v>38.69</v>
      </c>
    </row>
    <row r="1940" spans="1:4" ht="40.5">
      <c r="A1940" s="337">
        <v>92269</v>
      </c>
      <c r="B1940" s="338" t="s">
        <v>2448</v>
      </c>
      <c r="C1940" s="337" t="s">
        <v>145</v>
      </c>
      <c r="D1940" s="339">
        <v>50.03</v>
      </c>
    </row>
    <row r="1941" spans="1:4" ht="27">
      <c r="A1941" s="337">
        <v>92270</v>
      </c>
      <c r="B1941" s="338" t="s">
        <v>2449</v>
      </c>
      <c r="C1941" s="337" t="s">
        <v>145</v>
      </c>
      <c r="D1941" s="339">
        <v>38.79</v>
      </c>
    </row>
    <row r="1942" spans="1:4" ht="27">
      <c r="A1942" s="337">
        <v>92271</v>
      </c>
      <c r="B1942" s="338" t="s">
        <v>2450</v>
      </c>
      <c r="C1942" s="337" t="s">
        <v>145</v>
      </c>
      <c r="D1942" s="339">
        <v>23.51</v>
      </c>
    </row>
    <row r="1943" spans="1:4" ht="27">
      <c r="A1943" s="337">
        <v>92272</v>
      </c>
      <c r="B1943" s="338" t="s">
        <v>2451</v>
      </c>
      <c r="C1943" s="337" t="s">
        <v>172</v>
      </c>
      <c r="D1943" s="339">
        <v>18.55</v>
      </c>
    </row>
    <row r="1944" spans="1:4" ht="27">
      <c r="A1944" s="337">
        <v>92273</v>
      </c>
      <c r="B1944" s="338" t="s">
        <v>2452</v>
      </c>
      <c r="C1944" s="337" t="s">
        <v>172</v>
      </c>
      <c r="D1944" s="339">
        <v>8.0299999999999994</v>
      </c>
    </row>
    <row r="1945" spans="1:4" ht="81">
      <c r="A1945" s="337">
        <v>92408</v>
      </c>
      <c r="B1945" s="338" t="s">
        <v>2453</v>
      </c>
      <c r="C1945" s="337" t="s">
        <v>145</v>
      </c>
      <c r="D1945" s="339">
        <v>120.6</v>
      </c>
    </row>
    <row r="1946" spans="1:4" ht="81">
      <c r="A1946" s="337">
        <v>92409</v>
      </c>
      <c r="B1946" s="338" t="s">
        <v>2454</v>
      </c>
      <c r="C1946" s="337" t="s">
        <v>145</v>
      </c>
      <c r="D1946" s="339">
        <v>112.52</v>
      </c>
    </row>
    <row r="1947" spans="1:4" ht="81">
      <c r="A1947" s="337">
        <v>92410</v>
      </c>
      <c r="B1947" s="338" t="s">
        <v>2455</v>
      </c>
      <c r="C1947" s="337" t="s">
        <v>145</v>
      </c>
      <c r="D1947" s="339">
        <v>87.96</v>
      </c>
    </row>
    <row r="1948" spans="1:4" ht="81">
      <c r="A1948" s="337">
        <v>92411</v>
      </c>
      <c r="B1948" s="338" t="s">
        <v>2456</v>
      </c>
      <c r="C1948" s="337" t="s">
        <v>145</v>
      </c>
      <c r="D1948" s="339">
        <v>80.83</v>
      </c>
    </row>
    <row r="1949" spans="1:4" ht="81">
      <c r="A1949" s="337">
        <v>92412</v>
      </c>
      <c r="B1949" s="338" t="s">
        <v>2457</v>
      </c>
      <c r="C1949" s="337" t="s">
        <v>145</v>
      </c>
      <c r="D1949" s="339">
        <v>61.12</v>
      </c>
    </row>
    <row r="1950" spans="1:4" ht="81">
      <c r="A1950" s="337">
        <v>92413</v>
      </c>
      <c r="B1950" s="338" t="s">
        <v>2458</v>
      </c>
      <c r="C1950" s="337" t="s">
        <v>145</v>
      </c>
      <c r="D1950" s="339">
        <v>55.62</v>
      </c>
    </row>
    <row r="1951" spans="1:4" ht="81">
      <c r="A1951" s="337">
        <v>92414</v>
      </c>
      <c r="B1951" s="338" t="s">
        <v>2459</v>
      </c>
      <c r="C1951" s="337" t="s">
        <v>145</v>
      </c>
      <c r="D1951" s="339">
        <v>86.74</v>
      </c>
    </row>
    <row r="1952" spans="1:4" ht="81">
      <c r="A1952" s="337">
        <v>92415</v>
      </c>
      <c r="B1952" s="338" t="s">
        <v>2460</v>
      </c>
      <c r="C1952" s="337" t="s">
        <v>145</v>
      </c>
      <c r="D1952" s="339">
        <v>79.59</v>
      </c>
    </row>
    <row r="1953" spans="1:4" ht="81">
      <c r="A1953" s="337">
        <v>92416</v>
      </c>
      <c r="B1953" s="338" t="s">
        <v>2461</v>
      </c>
      <c r="C1953" s="337" t="s">
        <v>145</v>
      </c>
      <c r="D1953" s="339">
        <v>101.41</v>
      </c>
    </row>
    <row r="1954" spans="1:4" ht="81">
      <c r="A1954" s="337">
        <v>92417</v>
      </c>
      <c r="B1954" s="338" t="s">
        <v>2462</v>
      </c>
      <c r="C1954" s="337" t="s">
        <v>145</v>
      </c>
      <c r="D1954" s="339">
        <v>94.31</v>
      </c>
    </row>
    <row r="1955" spans="1:4" ht="81">
      <c r="A1955" s="337">
        <v>92418</v>
      </c>
      <c r="B1955" s="338" t="s">
        <v>2463</v>
      </c>
      <c r="C1955" s="337" t="s">
        <v>145</v>
      </c>
      <c r="D1955" s="339">
        <v>56.94</v>
      </c>
    </row>
    <row r="1956" spans="1:4" ht="81">
      <c r="A1956" s="337">
        <v>92419</v>
      </c>
      <c r="B1956" s="338" t="s">
        <v>2464</v>
      </c>
      <c r="C1956" s="337" t="s">
        <v>145</v>
      </c>
      <c r="D1956" s="339">
        <v>51.48</v>
      </c>
    </row>
    <row r="1957" spans="1:4" ht="81">
      <c r="A1957" s="337">
        <v>92420</v>
      </c>
      <c r="B1957" s="338" t="s">
        <v>2465</v>
      </c>
      <c r="C1957" s="337" t="s">
        <v>145</v>
      </c>
      <c r="D1957" s="339">
        <v>68.239999999999995</v>
      </c>
    </row>
    <row r="1958" spans="1:4" ht="81">
      <c r="A1958" s="337">
        <v>92421</v>
      </c>
      <c r="B1958" s="338" t="s">
        <v>2466</v>
      </c>
      <c r="C1958" s="337" t="s">
        <v>145</v>
      </c>
      <c r="D1958" s="339">
        <v>62.76</v>
      </c>
    </row>
    <row r="1959" spans="1:4" ht="81">
      <c r="A1959" s="337">
        <v>92422</v>
      </c>
      <c r="B1959" s="338" t="s">
        <v>2467</v>
      </c>
      <c r="C1959" s="337" t="s">
        <v>145</v>
      </c>
      <c r="D1959" s="339">
        <v>47.37</v>
      </c>
    </row>
    <row r="1960" spans="1:4" ht="81">
      <c r="A1960" s="337">
        <v>92423</v>
      </c>
      <c r="B1960" s="338" t="s">
        <v>2468</v>
      </c>
      <c r="C1960" s="337" t="s">
        <v>145</v>
      </c>
      <c r="D1960" s="339">
        <v>42.63</v>
      </c>
    </row>
    <row r="1961" spans="1:4" ht="81">
      <c r="A1961" s="337">
        <v>92424</v>
      </c>
      <c r="B1961" s="338" t="s">
        <v>2469</v>
      </c>
      <c r="C1961" s="337" t="s">
        <v>145</v>
      </c>
      <c r="D1961" s="339">
        <v>57.19</v>
      </c>
    </row>
    <row r="1962" spans="1:4" ht="81">
      <c r="A1962" s="337">
        <v>92425</v>
      </c>
      <c r="B1962" s="338" t="s">
        <v>2470</v>
      </c>
      <c r="C1962" s="337" t="s">
        <v>145</v>
      </c>
      <c r="D1962" s="339">
        <v>52.42</v>
      </c>
    </row>
    <row r="1963" spans="1:4" ht="81">
      <c r="A1963" s="337">
        <v>92426</v>
      </c>
      <c r="B1963" s="338" t="s">
        <v>2471</v>
      </c>
      <c r="C1963" s="337" t="s">
        <v>145</v>
      </c>
      <c r="D1963" s="339">
        <v>42.55</v>
      </c>
    </row>
    <row r="1964" spans="1:4" ht="81">
      <c r="A1964" s="337">
        <v>92427</v>
      </c>
      <c r="B1964" s="338" t="s">
        <v>2472</v>
      </c>
      <c r="C1964" s="337" t="s">
        <v>145</v>
      </c>
      <c r="D1964" s="339">
        <v>38.14</v>
      </c>
    </row>
    <row r="1965" spans="1:4" ht="81">
      <c r="A1965" s="337">
        <v>92428</v>
      </c>
      <c r="B1965" s="338" t="s">
        <v>2473</v>
      </c>
      <c r="C1965" s="337" t="s">
        <v>145</v>
      </c>
      <c r="D1965" s="339">
        <v>51.64</v>
      </c>
    </row>
    <row r="1966" spans="1:4" ht="81">
      <c r="A1966" s="337">
        <v>92429</v>
      </c>
      <c r="B1966" s="338" t="s">
        <v>2474</v>
      </c>
      <c r="C1966" s="337" t="s">
        <v>145</v>
      </c>
      <c r="D1966" s="339">
        <v>47.23</v>
      </c>
    </row>
    <row r="1967" spans="1:4" ht="94.5">
      <c r="A1967" s="337">
        <v>92430</v>
      </c>
      <c r="B1967" s="338" t="s">
        <v>2475</v>
      </c>
      <c r="C1967" s="337" t="s">
        <v>145</v>
      </c>
      <c r="D1967" s="339">
        <v>39.24</v>
      </c>
    </row>
    <row r="1968" spans="1:4" ht="94.5">
      <c r="A1968" s="337">
        <v>92431</v>
      </c>
      <c r="B1968" s="338" t="s">
        <v>2476</v>
      </c>
      <c r="C1968" s="337" t="s">
        <v>145</v>
      </c>
      <c r="D1968" s="339">
        <v>35.049999999999997</v>
      </c>
    </row>
    <row r="1969" spans="1:4" ht="94.5">
      <c r="A1969" s="337">
        <v>92432</v>
      </c>
      <c r="B1969" s="338" t="s">
        <v>2477</v>
      </c>
      <c r="C1969" s="337" t="s">
        <v>145</v>
      </c>
      <c r="D1969" s="339">
        <v>47.86</v>
      </c>
    </row>
    <row r="1970" spans="1:4" ht="94.5">
      <c r="A1970" s="337">
        <v>92433</v>
      </c>
      <c r="B1970" s="338" t="s">
        <v>2478</v>
      </c>
      <c r="C1970" s="337" t="s">
        <v>145</v>
      </c>
      <c r="D1970" s="339">
        <v>43.68</v>
      </c>
    </row>
    <row r="1971" spans="1:4" ht="94.5">
      <c r="A1971" s="337">
        <v>92434</v>
      </c>
      <c r="B1971" s="338" t="s">
        <v>2479</v>
      </c>
      <c r="C1971" s="337" t="s">
        <v>145</v>
      </c>
      <c r="D1971" s="339">
        <v>37.51</v>
      </c>
    </row>
    <row r="1972" spans="1:4" ht="94.5">
      <c r="A1972" s="337">
        <v>92435</v>
      </c>
      <c r="B1972" s="338" t="s">
        <v>2480</v>
      </c>
      <c r="C1972" s="337" t="s">
        <v>145</v>
      </c>
      <c r="D1972" s="339">
        <v>33.47</v>
      </c>
    </row>
    <row r="1973" spans="1:4" ht="94.5">
      <c r="A1973" s="337">
        <v>92436</v>
      </c>
      <c r="B1973" s="338" t="s">
        <v>2481</v>
      </c>
      <c r="C1973" s="337" t="s">
        <v>145</v>
      </c>
      <c r="D1973" s="339">
        <v>45.83</v>
      </c>
    </row>
    <row r="1974" spans="1:4" ht="94.5">
      <c r="A1974" s="337">
        <v>92437</v>
      </c>
      <c r="B1974" s="338" t="s">
        <v>2482</v>
      </c>
      <c r="C1974" s="337" t="s">
        <v>145</v>
      </c>
      <c r="D1974" s="339">
        <v>41.8</v>
      </c>
    </row>
    <row r="1975" spans="1:4" ht="94.5">
      <c r="A1975" s="337">
        <v>92438</v>
      </c>
      <c r="B1975" s="338" t="s">
        <v>2483</v>
      </c>
      <c r="C1975" s="337" t="s">
        <v>145</v>
      </c>
      <c r="D1975" s="339">
        <v>36.270000000000003</v>
      </c>
    </row>
    <row r="1976" spans="1:4" ht="94.5">
      <c r="A1976" s="337">
        <v>92439</v>
      </c>
      <c r="B1976" s="338" t="s">
        <v>2484</v>
      </c>
      <c r="C1976" s="337" t="s">
        <v>145</v>
      </c>
      <c r="D1976" s="339">
        <v>32.32</v>
      </c>
    </row>
    <row r="1977" spans="1:4" ht="94.5">
      <c r="A1977" s="337">
        <v>92440</v>
      </c>
      <c r="B1977" s="338" t="s">
        <v>2485</v>
      </c>
      <c r="C1977" s="337" t="s">
        <v>145</v>
      </c>
      <c r="D1977" s="339">
        <v>44.37</v>
      </c>
    </row>
    <row r="1978" spans="1:4" ht="94.5">
      <c r="A1978" s="337">
        <v>92441</v>
      </c>
      <c r="B1978" s="338" t="s">
        <v>2486</v>
      </c>
      <c r="C1978" s="337" t="s">
        <v>145</v>
      </c>
      <c r="D1978" s="339">
        <v>40.46</v>
      </c>
    </row>
    <row r="1979" spans="1:4" ht="94.5">
      <c r="A1979" s="337">
        <v>92442</v>
      </c>
      <c r="B1979" s="338" t="s">
        <v>2487</v>
      </c>
      <c r="C1979" s="337" t="s">
        <v>145</v>
      </c>
      <c r="D1979" s="339">
        <v>33.75</v>
      </c>
    </row>
    <row r="1980" spans="1:4" ht="94.5">
      <c r="A1980" s="337">
        <v>92443</v>
      </c>
      <c r="B1980" s="338" t="s">
        <v>2488</v>
      </c>
      <c r="C1980" s="337" t="s">
        <v>145</v>
      </c>
      <c r="D1980" s="339">
        <v>29.94</v>
      </c>
    </row>
    <row r="1981" spans="1:4" ht="94.5">
      <c r="A1981" s="337">
        <v>92444</v>
      </c>
      <c r="B1981" s="338" t="s">
        <v>2489</v>
      </c>
      <c r="C1981" s="337" t="s">
        <v>145</v>
      </c>
      <c r="D1981" s="339">
        <v>41.59</v>
      </c>
    </row>
    <row r="1982" spans="1:4" ht="94.5">
      <c r="A1982" s="337">
        <v>92445</v>
      </c>
      <c r="B1982" s="338" t="s">
        <v>2490</v>
      </c>
      <c r="C1982" s="337" t="s">
        <v>145</v>
      </c>
      <c r="D1982" s="339">
        <v>37.78</v>
      </c>
    </row>
    <row r="1983" spans="1:4" ht="54">
      <c r="A1983" s="337">
        <v>92446</v>
      </c>
      <c r="B1983" s="338" t="s">
        <v>2491</v>
      </c>
      <c r="C1983" s="337" t="s">
        <v>145</v>
      </c>
      <c r="D1983" s="339">
        <v>107.91</v>
      </c>
    </row>
    <row r="1984" spans="1:4" ht="54">
      <c r="A1984" s="337">
        <v>92447</v>
      </c>
      <c r="B1984" s="338" t="s">
        <v>2492</v>
      </c>
      <c r="C1984" s="337" t="s">
        <v>145</v>
      </c>
      <c r="D1984" s="339">
        <v>80.97</v>
      </c>
    </row>
    <row r="1985" spans="1:4" ht="54">
      <c r="A1985" s="337">
        <v>92448</v>
      </c>
      <c r="B1985" s="338" t="s">
        <v>2493</v>
      </c>
      <c r="C1985" s="337" t="s">
        <v>145</v>
      </c>
      <c r="D1985" s="339">
        <v>67.63</v>
      </c>
    </row>
    <row r="1986" spans="1:4" ht="54">
      <c r="A1986" s="337">
        <v>92449</v>
      </c>
      <c r="B1986" s="338" t="s">
        <v>2494</v>
      </c>
      <c r="C1986" s="337" t="s">
        <v>145</v>
      </c>
      <c r="D1986" s="339">
        <v>145.97</v>
      </c>
    </row>
    <row r="1987" spans="1:4" ht="54">
      <c r="A1987" s="337">
        <v>92450</v>
      </c>
      <c r="B1987" s="338" t="s">
        <v>2495</v>
      </c>
      <c r="C1987" s="337" t="s">
        <v>145</v>
      </c>
      <c r="D1987" s="339">
        <v>183.48</v>
      </c>
    </row>
    <row r="1988" spans="1:4" ht="54">
      <c r="A1988" s="337">
        <v>92451</v>
      </c>
      <c r="B1988" s="338" t="s">
        <v>2496</v>
      </c>
      <c r="C1988" s="337" t="s">
        <v>145</v>
      </c>
      <c r="D1988" s="339">
        <v>100.51</v>
      </c>
    </row>
    <row r="1989" spans="1:4" ht="54">
      <c r="A1989" s="337">
        <v>92452</v>
      </c>
      <c r="B1989" s="338" t="s">
        <v>2497</v>
      </c>
      <c r="C1989" s="337" t="s">
        <v>145</v>
      </c>
      <c r="D1989" s="339">
        <v>96.82</v>
      </c>
    </row>
    <row r="1990" spans="1:4" ht="54">
      <c r="A1990" s="337">
        <v>92453</v>
      </c>
      <c r="B1990" s="338" t="s">
        <v>2498</v>
      </c>
      <c r="C1990" s="337" t="s">
        <v>145</v>
      </c>
      <c r="D1990" s="339">
        <v>125.45</v>
      </c>
    </row>
    <row r="1991" spans="1:4" ht="54">
      <c r="A1991" s="337">
        <v>92454</v>
      </c>
      <c r="B1991" s="338" t="s">
        <v>2499</v>
      </c>
      <c r="C1991" s="337" t="s">
        <v>145</v>
      </c>
      <c r="D1991" s="339">
        <v>203.65</v>
      </c>
    </row>
    <row r="1992" spans="1:4" ht="54">
      <c r="A1992" s="337">
        <v>92455</v>
      </c>
      <c r="B1992" s="338" t="s">
        <v>2500</v>
      </c>
      <c r="C1992" s="337" t="s">
        <v>145</v>
      </c>
      <c r="D1992" s="339">
        <v>82.7</v>
      </c>
    </row>
    <row r="1993" spans="1:4" ht="54">
      <c r="A1993" s="337">
        <v>92456</v>
      </c>
      <c r="B1993" s="338" t="s">
        <v>2501</v>
      </c>
      <c r="C1993" s="337" t="s">
        <v>145</v>
      </c>
      <c r="D1993" s="339">
        <v>83.13</v>
      </c>
    </row>
    <row r="1994" spans="1:4" ht="54">
      <c r="A1994" s="337">
        <v>92457</v>
      </c>
      <c r="B1994" s="338" t="s">
        <v>2502</v>
      </c>
      <c r="C1994" s="337" t="s">
        <v>145</v>
      </c>
      <c r="D1994" s="339">
        <v>108.67</v>
      </c>
    </row>
    <row r="1995" spans="1:4" ht="54">
      <c r="A1995" s="337">
        <v>92458</v>
      </c>
      <c r="B1995" s="338" t="s">
        <v>2503</v>
      </c>
      <c r="C1995" s="337" t="s">
        <v>145</v>
      </c>
      <c r="D1995" s="339">
        <v>192.47</v>
      </c>
    </row>
    <row r="1996" spans="1:4" ht="54">
      <c r="A1996" s="337">
        <v>92459</v>
      </c>
      <c r="B1996" s="338" t="s">
        <v>2504</v>
      </c>
      <c r="C1996" s="337" t="s">
        <v>145</v>
      </c>
      <c r="D1996" s="339">
        <v>69.98</v>
      </c>
    </row>
    <row r="1997" spans="1:4" ht="54">
      <c r="A1997" s="337">
        <v>92460</v>
      </c>
      <c r="B1997" s="338" t="s">
        <v>2505</v>
      </c>
      <c r="C1997" s="337" t="s">
        <v>145</v>
      </c>
      <c r="D1997" s="339">
        <v>68.16</v>
      </c>
    </row>
    <row r="1998" spans="1:4" ht="54">
      <c r="A1998" s="337">
        <v>92461</v>
      </c>
      <c r="B1998" s="338" t="s">
        <v>2506</v>
      </c>
      <c r="C1998" s="337" t="s">
        <v>145</v>
      </c>
      <c r="D1998" s="339">
        <v>99.87</v>
      </c>
    </row>
    <row r="1999" spans="1:4" ht="54">
      <c r="A1999" s="337">
        <v>92462</v>
      </c>
      <c r="B1999" s="338" t="s">
        <v>2507</v>
      </c>
      <c r="C1999" s="337" t="s">
        <v>145</v>
      </c>
      <c r="D1999" s="339">
        <v>185.28</v>
      </c>
    </row>
    <row r="2000" spans="1:4" ht="54">
      <c r="A2000" s="337">
        <v>92463</v>
      </c>
      <c r="B2000" s="338" t="s">
        <v>2508</v>
      </c>
      <c r="C2000" s="337" t="s">
        <v>145</v>
      </c>
      <c r="D2000" s="339">
        <v>63.14</v>
      </c>
    </row>
    <row r="2001" spans="1:4" ht="54">
      <c r="A2001" s="337">
        <v>92464</v>
      </c>
      <c r="B2001" s="338" t="s">
        <v>2509</v>
      </c>
      <c r="C2001" s="337" t="s">
        <v>145</v>
      </c>
      <c r="D2001" s="339">
        <v>65.42</v>
      </c>
    </row>
    <row r="2002" spans="1:4" ht="67.5">
      <c r="A2002" s="337">
        <v>92465</v>
      </c>
      <c r="B2002" s="338" t="s">
        <v>2510</v>
      </c>
      <c r="C2002" s="337" t="s">
        <v>145</v>
      </c>
      <c r="D2002" s="339">
        <v>78.77</v>
      </c>
    </row>
    <row r="2003" spans="1:4" ht="67.5">
      <c r="A2003" s="337">
        <v>92466</v>
      </c>
      <c r="B2003" s="338" t="s">
        <v>2511</v>
      </c>
      <c r="C2003" s="337" t="s">
        <v>145</v>
      </c>
      <c r="D2003" s="339">
        <v>179.85</v>
      </c>
    </row>
    <row r="2004" spans="1:4" ht="67.5">
      <c r="A2004" s="337">
        <v>92467</v>
      </c>
      <c r="B2004" s="338" t="s">
        <v>2512</v>
      </c>
      <c r="C2004" s="337" t="s">
        <v>145</v>
      </c>
      <c r="D2004" s="339">
        <v>50.95</v>
      </c>
    </row>
    <row r="2005" spans="1:4" ht="67.5">
      <c r="A2005" s="337">
        <v>92468</v>
      </c>
      <c r="B2005" s="338" t="s">
        <v>2513</v>
      </c>
      <c r="C2005" s="337" t="s">
        <v>145</v>
      </c>
      <c r="D2005" s="339">
        <v>60.31</v>
      </c>
    </row>
    <row r="2006" spans="1:4" ht="67.5">
      <c r="A2006" s="337">
        <v>92469</v>
      </c>
      <c r="B2006" s="338" t="s">
        <v>2514</v>
      </c>
      <c r="C2006" s="337" t="s">
        <v>145</v>
      </c>
      <c r="D2006" s="339">
        <v>71.569999999999993</v>
      </c>
    </row>
    <row r="2007" spans="1:4" ht="67.5">
      <c r="A2007" s="337">
        <v>92470</v>
      </c>
      <c r="B2007" s="338" t="s">
        <v>2515</v>
      </c>
      <c r="C2007" s="337" t="s">
        <v>145</v>
      </c>
      <c r="D2007" s="339">
        <v>175.85</v>
      </c>
    </row>
    <row r="2008" spans="1:4" ht="67.5">
      <c r="A2008" s="337">
        <v>92471</v>
      </c>
      <c r="B2008" s="338" t="s">
        <v>2516</v>
      </c>
      <c r="C2008" s="337" t="s">
        <v>145</v>
      </c>
      <c r="D2008" s="339">
        <v>46.35</v>
      </c>
    </row>
    <row r="2009" spans="1:4" ht="67.5">
      <c r="A2009" s="337">
        <v>92472</v>
      </c>
      <c r="B2009" s="338" t="s">
        <v>2517</v>
      </c>
      <c r="C2009" s="337" t="s">
        <v>145</v>
      </c>
      <c r="D2009" s="339">
        <v>56.86</v>
      </c>
    </row>
    <row r="2010" spans="1:4" ht="67.5">
      <c r="A2010" s="337">
        <v>92473</v>
      </c>
      <c r="B2010" s="338" t="s">
        <v>2518</v>
      </c>
      <c r="C2010" s="337" t="s">
        <v>145</v>
      </c>
      <c r="D2010" s="339">
        <v>65.709999999999994</v>
      </c>
    </row>
    <row r="2011" spans="1:4" ht="67.5">
      <c r="A2011" s="337">
        <v>92474</v>
      </c>
      <c r="B2011" s="338" t="s">
        <v>2519</v>
      </c>
      <c r="C2011" s="337" t="s">
        <v>145</v>
      </c>
      <c r="D2011" s="339">
        <v>172.38</v>
      </c>
    </row>
    <row r="2012" spans="1:4" ht="67.5">
      <c r="A2012" s="337">
        <v>92475</v>
      </c>
      <c r="B2012" s="338" t="s">
        <v>2520</v>
      </c>
      <c r="C2012" s="337" t="s">
        <v>145</v>
      </c>
      <c r="D2012" s="339">
        <v>42.59</v>
      </c>
    </row>
    <row r="2013" spans="1:4" ht="67.5">
      <c r="A2013" s="337">
        <v>92476</v>
      </c>
      <c r="B2013" s="338" t="s">
        <v>2521</v>
      </c>
      <c r="C2013" s="337" t="s">
        <v>145</v>
      </c>
      <c r="D2013" s="339">
        <v>53.92</v>
      </c>
    </row>
    <row r="2014" spans="1:4" ht="67.5">
      <c r="A2014" s="337">
        <v>92477</v>
      </c>
      <c r="B2014" s="338" t="s">
        <v>2522</v>
      </c>
      <c r="C2014" s="337" t="s">
        <v>145</v>
      </c>
      <c r="D2014" s="339">
        <v>53.29</v>
      </c>
    </row>
    <row r="2015" spans="1:4" ht="67.5">
      <c r="A2015" s="337">
        <v>92478</v>
      </c>
      <c r="B2015" s="338" t="s">
        <v>2523</v>
      </c>
      <c r="C2015" s="337" t="s">
        <v>145</v>
      </c>
      <c r="D2015" s="339">
        <v>165.62</v>
      </c>
    </row>
    <row r="2016" spans="1:4" ht="67.5">
      <c r="A2016" s="337">
        <v>92479</v>
      </c>
      <c r="B2016" s="338" t="s">
        <v>2524</v>
      </c>
      <c r="C2016" s="337" t="s">
        <v>145</v>
      </c>
      <c r="D2016" s="339">
        <v>34.630000000000003</v>
      </c>
    </row>
    <row r="2017" spans="1:4" ht="67.5">
      <c r="A2017" s="337">
        <v>92480</v>
      </c>
      <c r="B2017" s="338" t="s">
        <v>2525</v>
      </c>
      <c r="C2017" s="337" t="s">
        <v>145</v>
      </c>
      <c r="D2017" s="339">
        <v>48.11</v>
      </c>
    </row>
    <row r="2018" spans="1:4" ht="54">
      <c r="A2018" s="337">
        <v>92481</v>
      </c>
      <c r="B2018" s="338" t="s">
        <v>2526</v>
      </c>
      <c r="C2018" s="337" t="s">
        <v>145</v>
      </c>
      <c r="D2018" s="339">
        <v>138.61000000000001</v>
      </c>
    </row>
    <row r="2019" spans="1:4" ht="54">
      <c r="A2019" s="337">
        <v>92482</v>
      </c>
      <c r="B2019" s="338" t="s">
        <v>2527</v>
      </c>
      <c r="C2019" s="337" t="s">
        <v>145</v>
      </c>
      <c r="D2019" s="339">
        <v>129.19999999999999</v>
      </c>
    </row>
    <row r="2020" spans="1:4" ht="54">
      <c r="A2020" s="337">
        <v>92483</v>
      </c>
      <c r="B2020" s="338" t="s">
        <v>2528</v>
      </c>
      <c r="C2020" s="337" t="s">
        <v>145</v>
      </c>
      <c r="D2020" s="339">
        <v>111.34</v>
      </c>
    </row>
    <row r="2021" spans="1:4" ht="54">
      <c r="A2021" s="337">
        <v>92484</v>
      </c>
      <c r="B2021" s="338" t="s">
        <v>2529</v>
      </c>
      <c r="C2021" s="337" t="s">
        <v>145</v>
      </c>
      <c r="D2021" s="339">
        <v>103.02</v>
      </c>
    </row>
    <row r="2022" spans="1:4" ht="54">
      <c r="A2022" s="337">
        <v>92485</v>
      </c>
      <c r="B2022" s="338" t="s">
        <v>2530</v>
      </c>
      <c r="C2022" s="337" t="s">
        <v>145</v>
      </c>
      <c r="D2022" s="339">
        <v>82.73</v>
      </c>
    </row>
    <row r="2023" spans="1:4" ht="54">
      <c r="A2023" s="337">
        <v>92486</v>
      </c>
      <c r="B2023" s="338" t="s">
        <v>2531</v>
      </c>
      <c r="C2023" s="337" t="s">
        <v>145</v>
      </c>
      <c r="D2023" s="339">
        <v>76.349999999999994</v>
      </c>
    </row>
    <row r="2024" spans="1:4" ht="81">
      <c r="A2024" s="337">
        <v>92487</v>
      </c>
      <c r="B2024" s="338" t="s">
        <v>2532</v>
      </c>
      <c r="C2024" s="337" t="s">
        <v>145</v>
      </c>
      <c r="D2024" s="339">
        <v>69.239999999999995</v>
      </c>
    </row>
    <row r="2025" spans="1:4" ht="67.5">
      <c r="A2025" s="337">
        <v>92488</v>
      </c>
      <c r="B2025" s="338" t="s">
        <v>2533</v>
      </c>
      <c r="C2025" s="337" t="s">
        <v>145</v>
      </c>
      <c r="D2025" s="339">
        <v>67.040000000000006</v>
      </c>
    </row>
    <row r="2026" spans="1:4" ht="81">
      <c r="A2026" s="337">
        <v>92489</v>
      </c>
      <c r="B2026" s="338" t="s">
        <v>2534</v>
      </c>
      <c r="C2026" s="337" t="s">
        <v>145</v>
      </c>
      <c r="D2026" s="339">
        <v>38.659999999999997</v>
      </c>
    </row>
    <row r="2027" spans="1:4" ht="67.5">
      <c r="A2027" s="337">
        <v>92490</v>
      </c>
      <c r="B2027" s="338" t="s">
        <v>2535</v>
      </c>
      <c r="C2027" s="337" t="s">
        <v>145</v>
      </c>
      <c r="D2027" s="339">
        <v>36.64</v>
      </c>
    </row>
    <row r="2028" spans="1:4" ht="81">
      <c r="A2028" s="337">
        <v>92491</v>
      </c>
      <c r="B2028" s="338" t="s">
        <v>2536</v>
      </c>
      <c r="C2028" s="337" t="s">
        <v>145</v>
      </c>
      <c r="D2028" s="339">
        <v>66.97</v>
      </c>
    </row>
    <row r="2029" spans="1:4" ht="67.5">
      <c r="A2029" s="337">
        <v>92492</v>
      </c>
      <c r="B2029" s="338" t="s">
        <v>2537</v>
      </c>
      <c r="C2029" s="337" t="s">
        <v>145</v>
      </c>
      <c r="D2029" s="339">
        <v>64.87</v>
      </c>
    </row>
    <row r="2030" spans="1:4" ht="81">
      <c r="A2030" s="337">
        <v>92493</v>
      </c>
      <c r="B2030" s="338" t="s">
        <v>2538</v>
      </c>
      <c r="C2030" s="337" t="s">
        <v>145</v>
      </c>
      <c r="D2030" s="339">
        <v>34.369999999999997</v>
      </c>
    </row>
    <row r="2031" spans="1:4" ht="67.5">
      <c r="A2031" s="337">
        <v>92494</v>
      </c>
      <c r="B2031" s="338" t="s">
        <v>2539</v>
      </c>
      <c r="C2031" s="337" t="s">
        <v>145</v>
      </c>
      <c r="D2031" s="339">
        <v>34.81</v>
      </c>
    </row>
    <row r="2032" spans="1:4" ht="81">
      <c r="A2032" s="337">
        <v>92495</v>
      </c>
      <c r="B2032" s="338" t="s">
        <v>2540</v>
      </c>
      <c r="C2032" s="337" t="s">
        <v>145</v>
      </c>
      <c r="D2032" s="339">
        <v>65.430000000000007</v>
      </c>
    </row>
    <row r="2033" spans="1:4" ht="67.5">
      <c r="A2033" s="337">
        <v>92496</v>
      </c>
      <c r="B2033" s="338" t="s">
        <v>2541</v>
      </c>
      <c r="C2033" s="337" t="s">
        <v>145</v>
      </c>
      <c r="D2033" s="339">
        <v>63.41</v>
      </c>
    </row>
    <row r="2034" spans="1:4" ht="81">
      <c r="A2034" s="337">
        <v>92497</v>
      </c>
      <c r="B2034" s="338" t="s">
        <v>2542</v>
      </c>
      <c r="C2034" s="337" t="s">
        <v>145</v>
      </c>
      <c r="D2034" s="339">
        <v>35.44</v>
      </c>
    </row>
    <row r="2035" spans="1:4" ht="67.5">
      <c r="A2035" s="337">
        <v>92498</v>
      </c>
      <c r="B2035" s="338" t="s">
        <v>2543</v>
      </c>
      <c r="C2035" s="337" t="s">
        <v>145</v>
      </c>
      <c r="D2035" s="339">
        <v>33.56</v>
      </c>
    </row>
    <row r="2036" spans="1:4" ht="81">
      <c r="A2036" s="337">
        <v>92499</v>
      </c>
      <c r="B2036" s="338" t="s">
        <v>2544</v>
      </c>
      <c r="C2036" s="337" t="s">
        <v>145</v>
      </c>
      <c r="D2036" s="339">
        <v>64.52</v>
      </c>
    </row>
    <row r="2037" spans="1:4" ht="67.5">
      <c r="A2037" s="337">
        <v>92500</v>
      </c>
      <c r="B2037" s="338" t="s">
        <v>2545</v>
      </c>
      <c r="C2037" s="337" t="s">
        <v>145</v>
      </c>
      <c r="D2037" s="339">
        <v>62.56</v>
      </c>
    </row>
    <row r="2038" spans="1:4" ht="81">
      <c r="A2038" s="337">
        <v>92501</v>
      </c>
      <c r="B2038" s="338" t="s">
        <v>2546</v>
      </c>
      <c r="C2038" s="337" t="s">
        <v>145</v>
      </c>
      <c r="D2038" s="339">
        <v>34.69</v>
      </c>
    </row>
    <row r="2039" spans="1:4" ht="67.5">
      <c r="A2039" s="337">
        <v>92502</v>
      </c>
      <c r="B2039" s="338" t="s">
        <v>2547</v>
      </c>
      <c r="C2039" s="337" t="s">
        <v>145</v>
      </c>
      <c r="D2039" s="339">
        <v>32.86</v>
      </c>
    </row>
    <row r="2040" spans="1:4" ht="81">
      <c r="A2040" s="337">
        <v>92503</v>
      </c>
      <c r="B2040" s="338" t="s">
        <v>2548</v>
      </c>
      <c r="C2040" s="337" t="s">
        <v>145</v>
      </c>
      <c r="D2040" s="339">
        <v>63.03</v>
      </c>
    </row>
    <row r="2041" spans="1:4" ht="67.5">
      <c r="A2041" s="337">
        <v>92504</v>
      </c>
      <c r="B2041" s="338" t="s">
        <v>2549</v>
      </c>
      <c r="C2041" s="337" t="s">
        <v>145</v>
      </c>
      <c r="D2041" s="339">
        <v>37.58</v>
      </c>
    </row>
    <row r="2042" spans="1:4" ht="81">
      <c r="A2042" s="337">
        <v>92505</v>
      </c>
      <c r="B2042" s="338" t="s">
        <v>2550</v>
      </c>
      <c r="C2042" s="337" t="s">
        <v>145</v>
      </c>
      <c r="D2042" s="339">
        <v>33.42</v>
      </c>
    </row>
    <row r="2043" spans="1:4" ht="67.5">
      <c r="A2043" s="337">
        <v>92506</v>
      </c>
      <c r="B2043" s="338" t="s">
        <v>2551</v>
      </c>
      <c r="C2043" s="337" t="s">
        <v>145</v>
      </c>
      <c r="D2043" s="339">
        <v>31.67</v>
      </c>
    </row>
    <row r="2044" spans="1:4" ht="67.5">
      <c r="A2044" s="337">
        <v>92507</v>
      </c>
      <c r="B2044" s="338" t="s">
        <v>2552</v>
      </c>
      <c r="C2044" s="337" t="s">
        <v>145</v>
      </c>
      <c r="D2044" s="339">
        <v>60.67</v>
      </c>
    </row>
    <row r="2045" spans="1:4" ht="67.5">
      <c r="A2045" s="337">
        <v>92508</v>
      </c>
      <c r="B2045" s="338" t="s">
        <v>2553</v>
      </c>
      <c r="C2045" s="337" t="s">
        <v>145</v>
      </c>
      <c r="D2045" s="339">
        <v>58.91</v>
      </c>
    </row>
    <row r="2046" spans="1:4" ht="67.5">
      <c r="A2046" s="337">
        <v>92509</v>
      </c>
      <c r="B2046" s="338" t="s">
        <v>2554</v>
      </c>
      <c r="C2046" s="337" t="s">
        <v>145</v>
      </c>
      <c r="D2046" s="339">
        <v>33.99</v>
      </c>
    </row>
    <row r="2047" spans="1:4" ht="67.5">
      <c r="A2047" s="337">
        <v>92510</v>
      </c>
      <c r="B2047" s="338" t="s">
        <v>2555</v>
      </c>
      <c r="C2047" s="337" t="s">
        <v>145</v>
      </c>
      <c r="D2047" s="339">
        <v>32.369999999999997</v>
      </c>
    </row>
    <row r="2048" spans="1:4" ht="67.5">
      <c r="A2048" s="337">
        <v>92511</v>
      </c>
      <c r="B2048" s="338" t="s">
        <v>2556</v>
      </c>
      <c r="C2048" s="337" t="s">
        <v>145</v>
      </c>
      <c r="D2048" s="339">
        <v>56.6</v>
      </c>
    </row>
    <row r="2049" spans="1:4" ht="67.5">
      <c r="A2049" s="337">
        <v>92512</v>
      </c>
      <c r="B2049" s="338" t="s">
        <v>2557</v>
      </c>
      <c r="C2049" s="337" t="s">
        <v>145</v>
      </c>
      <c r="D2049" s="339">
        <v>55.25</v>
      </c>
    </row>
    <row r="2050" spans="1:4" ht="67.5">
      <c r="A2050" s="337">
        <v>92513</v>
      </c>
      <c r="B2050" s="338" t="s">
        <v>2558</v>
      </c>
      <c r="C2050" s="337" t="s">
        <v>145</v>
      </c>
      <c r="D2050" s="339">
        <v>25.25</v>
      </c>
    </row>
    <row r="2051" spans="1:4" ht="67.5">
      <c r="A2051" s="337">
        <v>92514</v>
      </c>
      <c r="B2051" s="338" t="s">
        <v>2559</v>
      </c>
      <c r="C2051" s="337" t="s">
        <v>145</v>
      </c>
      <c r="D2051" s="339">
        <v>24.01</v>
      </c>
    </row>
    <row r="2052" spans="1:4" ht="67.5">
      <c r="A2052" s="337">
        <v>92515</v>
      </c>
      <c r="B2052" s="338" t="s">
        <v>2560</v>
      </c>
      <c r="C2052" s="337" t="s">
        <v>145</v>
      </c>
      <c r="D2052" s="339">
        <v>51.4</v>
      </c>
    </row>
    <row r="2053" spans="1:4" ht="67.5">
      <c r="A2053" s="337">
        <v>92516</v>
      </c>
      <c r="B2053" s="338" t="s">
        <v>2561</v>
      </c>
      <c r="C2053" s="337" t="s">
        <v>145</v>
      </c>
      <c r="D2053" s="339">
        <v>50.24</v>
      </c>
    </row>
    <row r="2054" spans="1:4" ht="67.5">
      <c r="A2054" s="337">
        <v>92517</v>
      </c>
      <c r="B2054" s="338" t="s">
        <v>2562</v>
      </c>
      <c r="C2054" s="337" t="s">
        <v>145</v>
      </c>
      <c r="D2054" s="339">
        <v>21.11</v>
      </c>
    </row>
    <row r="2055" spans="1:4" ht="67.5">
      <c r="A2055" s="337">
        <v>92518</v>
      </c>
      <c r="B2055" s="338" t="s">
        <v>2563</v>
      </c>
      <c r="C2055" s="337" t="s">
        <v>145</v>
      </c>
      <c r="D2055" s="339">
        <v>20.02</v>
      </c>
    </row>
    <row r="2056" spans="1:4" ht="67.5">
      <c r="A2056" s="337">
        <v>92519</v>
      </c>
      <c r="B2056" s="338" t="s">
        <v>2564</v>
      </c>
      <c r="C2056" s="337" t="s">
        <v>145</v>
      </c>
      <c r="D2056" s="339">
        <v>48.76</v>
      </c>
    </row>
    <row r="2057" spans="1:4" ht="67.5">
      <c r="A2057" s="337">
        <v>92520</v>
      </c>
      <c r="B2057" s="338" t="s">
        <v>2565</v>
      </c>
      <c r="C2057" s="337" t="s">
        <v>145</v>
      </c>
      <c r="D2057" s="339">
        <v>47.67</v>
      </c>
    </row>
    <row r="2058" spans="1:4" ht="67.5">
      <c r="A2058" s="337">
        <v>92521</v>
      </c>
      <c r="B2058" s="338" t="s">
        <v>2566</v>
      </c>
      <c r="C2058" s="337" t="s">
        <v>145</v>
      </c>
      <c r="D2058" s="339">
        <v>18.97</v>
      </c>
    </row>
    <row r="2059" spans="1:4" ht="67.5">
      <c r="A2059" s="337">
        <v>92522</v>
      </c>
      <c r="B2059" s="338" t="s">
        <v>2567</v>
      </c>
      <c r="C2059" s="337" t="s">
        <v>145</v>
      </c>
      <c r="D2059" s="339">
        <v>17.97</v>
      </c>
    </row>
    <row r="2060" spans="1:4" ht="67.5">
      <c r="A2060" s="337">
        <v>92523</v>
      </c>
      <c r="B2060" s="338" t="s">
        <v>2568</v>
      </c>
      <c r="C2060" s="337" t="s">
        <v>145</v>
      </c>
      <c r="D2060" s="339">
        <v>47.92</v>
      </c>
    </row>
    <row r="2061" spans="1:4" ht="67.5">
      <c r="A2061" s="337">
        <v>92524</v>
      </c>
      <c r="B2061" s="338" t="s">
        <v>2569</v>
      </c>
      <c r="C2061" s="337" t="s">
        <v>145</v>
      </c>
      <c r="D2061" s="339">
        <v>46.9</v>
      </c>
    </row>
    <row r="2062" spans="1:4" ht="67.5">
      <c r="A2062" s="337">
        <v>92525</v>
      </c>
      <c r="B2062" s="338" t="s">
        <v>2570</v>
      </c>
      <c r="C2062" s="337" t="s">
        <v>145</v>
      </c>
      <c r="D2062" s="339">
        <v>18.47</v>
      </c>
    </row>
    <row r="2063" spans="1:4" ht="67.5">
      <c r="A2063" s="337">
        <v>92526</v>
      </c>
      <c r="B2063" s="338" t="s">
        <v>2571</v>
      </c>
      <c r="C2063" s="337" t="s">
        <v>145</v>
      </c>
      <c r="D2063" s="339">
        <v>17.5</v>
      </c>
    </row>
    <row r="2064" spans="1:4" ht="67.5">
      <c r="A2064" s="337">
        <v>92527</v>
      </c>
      <c r="B2064" s="338" t="s">
        <v>2572</v>
      </c>
      <c r="C2064" s="337" t="s">
        <v>145</v>
      </c>
      <c r="D2064" s="339">
        <v>46.87</v>
      </c>
    </row>
    <row r="2065" spans="1:4" ht="67.5">
      <c r="A2065" s="337">
        <v>92528</v>
      </c>
      <c r="B2065" s="338" t="s">
        <v>2573</v>
      </c>
      <c r="C2065" s="337" t="s">
        <v>145</v>
      </c>
      <c r="D2065" s="339">
        <v>45.88</v>
      </c>
    </row>
    <row r="2066" spans="1:4" ht="67.5">
      <c r="A2066" s="337">
        <v>92529</v>
      </c>
      <c r="B2066" s="338" t="s">
        <v>2574</v>
      </c>
      <c r="C2066" s="337" t="s">
        <v>145</v>
      </c>
      <c r="D2066" s="339">
        <v>17.61</v>
      </c>
    </row>
    <row r="2067" spans="1:4" ht="67.5">
      <c r="A2067" s="337">
        <v>92530</v>
      </c>
      <c r="B2067" s="338" t="s">
        <v>2575</v>
      </c>
      <c r="C2067" s="337" t="s">
        <v>145</v>
      </c>
      <c r="D2067" s="339">
        <v>16.670000000000002</v>
      </c>
    </row>
    <row r="2068" spans="1:4" ht="67.5">
      <c r="A2068" s="337">
        <v>92531</v>
      </c>
      <c r="B2068" s="338" t="s">
        <v>2576</v>
      </c>
      <c r="C2068" s="337" t="s">
        <v>145</v>
      </c>
      <c r="D2068" s="339">
        <v>46.06</v>
      </c>
    </row>
    <row r="2069" spans="1:4" ht="67.5">
      <c r="A2069" s="337">
        <v>92532</v>
      </c>
      <c r="B2069" s="338" t="s">
        <v>2577</v>
      </c>
      <c r="C2069" s="337" t="s">
        <v>145</v>
      </c>
      <c r="D2069" s="339">
        <v>45.09</v>
      </c>
    </row>
    <row r="2070" spans="1:4" ht="67.5">
      <c r="A2070" s="337">
        <v>92533</v>
      </c>
      <c r="B2070" s="338" t="s">
        <v>2578</v>
      </c>
      <c r="C2070" s="337" t="s">
        <v>145</v>
      </c>
      <c r="D2070" s="339">
        <v>16.96</v>
      </c>
    </row>
    <row r="2071" spans="1:4" ht="67.5">
      <c r="A2071" s="337">
        <v>92534</v>
      </c>
      <c r="B2071" s="338" t="s">
        <v>2579</v>
      </c>
      <c r="C2071" s="337" t="s">
        <v>145</v>
      </c>
      <c r="D2071" s="339">
        <v>16.07</v>
      </c>
    </row>
    <row r="2072" spans="1:4" ht="67.5">
      <c r="A2072" s="337">
        <v>92535</v>
      </c>
      <c r="B2072" s="338" t="s">
        <v>2580</v>
      </c>
      <c r="C2072" s="337" t="s">
        <v>145</v>
      </c>
      <c r="D2072" s="339">
        <v>44.65</v>
      </c>
    </row>
    <row r="2073" spans="1:4" ht="67.5">
      <c r="A2073" s="337">
        <v>92536</v>
      </c>
      <c r="B2073" s="338" t="s">
        <v>2581</v>
      </c>
      <c r="C2073" s="337" t="s">
        <v>145</v>
      </c>
      <c r="D2073" s="339">
        <v>43.7</v>
      </c>
    </row>
    <row r="2074" spans="1:4" ht="67.5">
      <c r="A2074" s="337">
        <v>92537</v>
      </c>
      <c r="B2074" s="338" t="s">
        <v>2582</v>
      </c>
      <c r="C2074" s="337" t="s">
        <v>145</v>
      </c>
      <c r="D2074" s="339">
        <v>15.72</v>
      </c>
    </row>
    <row r="2075" spans="1:4" ht="67.5">
      <c r="A2075" s="337">
        <v>92538</v>
      </c>
      <c r="B2075" s="338" t="s">
        <v>2583</v>
      </c>
      <c r="C2075" s="337" t="s">
        <v>145</v>
      </c>
      <c r="D2075" s="339">
        <v>14.85</v>
      </c>
    </row>
    <row r="2076" spans="1:4" ht="40.5">
      <c r="A2076" s="337">
        <v>95934</v>
      </c>
      <c r="B2076" s="338" t="s">
        <v>2584</v>
      </c>
      <c r="C2076" s="337" t="s">
        <v>145</v>
      </c>
      <c r="D2076" s="339">
        <v>102.53</v>
      </c>
    </row>
    <row r="2077" spans="1:4" ht="40.5">
      <c r="A2077" s="337">
        <v>95935</v>
      </c>
      <c r="B2077" s="338" t="s">
        <v>2585</v>
      </c>
      <c r="C2077" s="337" t="s">
        <v>145</v>
      </c>
      <c r="D2077" s="339">
        <v>87.6</v>
      </c>
    </row>
    <row r="2078" spans="1:4" ht="40.5">
      <c r="A2078" s="337">
        <v>95936</v>
      </c>
      <c r="B2078" s="338" t="s">
        <v>2586</v>
      </c>
      <c r="C2078" s="337" t="s">
        <v>145</v>
      </c>
      <c r="D2078" s="339">
        <v>67.28</v>
      </c>
    </row>
    <row r="2079" spans="1:4" ht="40.5">
      <c r="A2079" s="337">
        <v>95937</v>
      </c>
      <c r="B2079" s="338" t="s">
        <v>2587</v>
      </c>
      <c r="C2079" s="337" t="s">
        <v>145</v>
      </c>
      <c r="D2079" s="339">
        <v>200.81</v>
      </c>
    </row>
    <row r="2080" spans="1:4" ht="40.5">
      <c r="A2080" s="337">
        <v>95938</v>
      </c>
      <c r="B2080" s="338" t="s">
        <v>2588</v>
      </c>
      <c r="C2080" s="337" t="s">
        <v>145</v>
      </c>
      <c r="D2080" s="339">
        <v>165.42</v>
      </c>
    </row>
    <row r="2081" spans="1:4" ht="54">
      <c r="A2081" s="337">
        <v>95939</v>
      </c>
      <c r="B2081" s="338" t="s">
        <v>2589</v>
      </c>
      <c r="C2081" s="337" t="s">
        <v>145</v>
      </c>
      <c r="D2081" s="339">
        <v>140.86000000000001</v>
      </c>
    </row>
    <row r="2082" spans="1:4" ht="54">
      <c r="A2082" s="337">
        <v>95940</v>
      </c>
      <c r="B2082" s="338" t="s">
        <v>2590</v>
      </c>
      <c r="C2082" s="337" t="s">
        <v>145</v>
      </c>
      <c r="D2082" s="339">
        <v>114.22</v>
      </c>
    </row>
    <row r="2083" spans="1:4" ht="54">
      <c r="A2083" s="337">
        <v>95941</v>
      </c>
      <c r="B2083" s="338" t="s">
        <v>2591</v>
      </c>
      <c r="C2083" s="337" t="s">
        <v>145</v>
      </c>
      <c r="D2083" s="339">
        <v>101.06</v>
      </c>
    </row>
    <row r="2084" spans="1:4" ht="54">
      <c r="A2084" s="337">
        <v>95942</v>
      </c>
      <c r="B2084" s="338" t="s">
        <v>2592</v>
      </c>
      <c r="C2084" s="337" t="s">
        <v>145</v>
      </c>
      <c r="D2084" s="339">
        <v>92.86</v>
      </c>
    </row>
    <row r="2085" spans="1:4" ht="40.5">
      <c r="A2085" s="337">
        <v>96252</v>
      </c>
      <c r="B2085" s="338" t="s">
        <v>2593</v>
      </c>
      <c r="C2085" s="337" t="s">
        <v>145</v>
      </c>
      <c r="D2085" s="339">
        <v>119.1</v>
      </c>
    </row>
    <row r="2086" spans="1:4" ht="67.5">
      <c r="A2086" s="337">
        <v>96257</v>
      </c>
      <c r="B2086" s="338" t="s">
        <v>2594</v>
      </c>
      <c r="C2086" s="337" t="s">
        <v>145</v>
      </c>
      <c r="D2086" s="339">
        <v>108.93</v>
      </c>
    </row>
    <row r="2087" spans="1:4" ht="67.5">
      <c r="A2087" s="337">
        <v>96258</v>
      </c>
      <c r="B2087" s="338" t="s">
        <v>2595</v>
      </c>
      <c r="C2087" s="337" t="s">
        <v>145</v>
      </c>
      <c r="D2087" s="339">
        <v>100.97</v>
      </c>
    </row>
    <row r="2088" spans="1:4" ht="67.5">
      <c r="A2088" s="337">
        <v>96259</v>
      </c>
      <c r="B2088" s="338" t="s">
        <v>2596</v>
      </c>
      <c r="C2088" s="337" t="s">
        <v>145</v>
      </c>
      <c r="D2088" s="339">
        <v>124.39</v>
      </c>
    </row>
    <row r="2089" spans="1:4" ht="40.5">
      <c r="A2089" s="337">
        <v>96529</v>
      </c>
      <c r="B2089" s="338" t="s">
        <v>2597</v>
      </c>
      <c r="C2089" s="337" t="s">
        <v>145</v>
      </c>
      <c r="D2089" s="339">
        <v>156.33000000000001</v>
      </c>
    </row>
    <row r="2090" spans="1:4" ht="54">
      <c r="A2090" s="337">
        <v>96530</v>
      </c>
      <c r="B2090" s="338" t="s">
        <v>2598</v>
      </c>
      <c r="C2090" s="337" t="s">
        <v>145</v>
      </c>
      <c r="D2090" s="339">
        <v>74.53</v>
      </c>
    </row>
    <row r="2091" spans="1:4" ht="54">
      <c r="A2091" s="337">
        <v>96531</v>
      </c>
      <c r="B2091" s="338" t="s">
        <v>2599</v>
      </c>
      <c r="C2091" s="337" t="s">
        <v>145</v>
      </c>
      <c r="D2091" s="339">
        <v>58.46</v>
      </c>
    </row>
    <row r="2092" spans="1:4" ht="40.5">
      <c r="A2092" s="337">
        <v>96532</v>
      </c>
      <c r="B2092" s="338" t="s">
        <v>2600</v>
      </c>
      <c r="C2092" s="337" t="s">
        <v>145</v>
      </c>
      <c r="D2092" s="339">
        <v>106.51</v>
      </c>
    </row>
    <row r="2093" spans="1:4" ht="54">
      <c r="A2093" s="337">
        <v>96533</v>
      </c>
      <c r="B2093" s="338" t="s">
        <v>2601</v>
      </c>
      <c r="C2093" s="337" t="s">
        <v>145</v>
      </c>
      <c r="D2093" s="339">
        <v>50.38</v>
      </c>
    </row>
    <row r="2094" spans="1:4" ht="54">
      <c r="A2094" s="337">
        <v>96534</v>
      </c>
      <c r="B2094" s="338" t="s">
        <v>2602</v>
      </c>
      <c r="C2094" s="337" t="s">
        <v>145</v>
      </c>
      <c r="D2094" s="339">
        <v>45.08</v>
      </c>
    </row>
    <row r="2095" spans="1:4" ht="40.5">
      <c r="A2095" s="337">
        <v>96535</v>
      </c>
      <c r="B2095" s="338" t="s">
        <v>2603</v>
      </c>
      <c r="C2095" s="337" t="s">
        <v>145</v>
      </c>
      <c r="D2095" s="339">
        <v>80.540000000000006</v>
      </c>
    </row>
    <row r="2096" spans="1:4" ht="54">
      <c r="A2096" s="337">
        <v>96536</v>
      </c>
      <c r="B2096" s="338" t="s">
        <v>2604</v>
      </c>
      <c r="C2096" s="337" t="s">
        <v>145</v>
      </c>
      <c r="D2096" s="339">
        <v>37.81</v>
      </c>
    </row>
    <row r="2097" spans="1:4" ht="54">
      <c r="A2097" s="337">
        <v>96537</v>
      </c>
      <c r="B2097" s="338" t="s">
        <v>2605</v>
      </c>
      <c r="C2097" s="337" t="s">
        <v>145</v>
      </c>
      <c r="D2097" s="339">
        <v>102</v>
      </c>
    </row>
    <row r="2098" spans="1:4" ht="54">
      <c r="A2098" s="337">
        <v>96538</v>
      </c>
      <c r="B2098" s="338" t="s">
        <v>2606</v>
      </c>
      <c r="C2098" s="337" t="s">
        <v>145</v>
      </c>
      <c r="D2098" s="339">
        <v>158.56</v>
      </c>
    </row>
    <row r="2099" spans="1:4" ht="54">
      <c r="A2099" s="337">
        <v>96539</v>
      </c>
      <c r="B2099" s="338" t="s">
        <v>2607</v>
      </c>
      <c r="C2099" s="337" t="s">
        <v>145</v>
      </c>
      <c r="D2099" s="339">
        <v>73.34</v>
      </c>
    </row>
    <row r="2100" spans="1:4" ht="54">
      <c r="A2100" s="337">
        <v>96540</v>
      </c>
      <c r="B2100" s="338" t="s">
        <v>2608</v>
      </c>
      <c r="C2100" s="337" t="s">
        <v>145</v>
      </c>
      <c r="D2100" s="339">
        <v>74.569999999999993</v>
      </c>
    </row>
    <row r="2101" spans="1:4" ht="54">
      <c r="A2101" s="337">
        <v>96541</v>
      </c>
      <c r="B2101" s="338" t="s">
        <v>2609</v>
      </c>
      <c r="C2101" s="337" t="s">
        <v>145</v>
      </c>
      <c r="D2101" s="339">
        <v>115.08</v>
      </c>
    </row>
    <row r="2102" spans="1:4" ht="54">
      <c r="A2102" s="337">
        <v>96542</v>
      </c>
      <c r="B2102" s="338" t="s">
        <v>2610</v>
      </c>
      <c r="C2102" s="337" t="s">
        <v>145</v>
      </c>
      <c r="D2102" s="339">
        <v>56.34</v>
      </c>
    </row>
    <row r="2103" spans="1:4" ht="40.5">
      <c r="A2103" s="337">
        <v>96543</v>
      </c>
      <c r="B2103" s="338" t="s">
        <v>2611</v>
      </c>
      <c r="C2103" s="337" t="s">
        <v>283</v>
      </c>
      <c r="D2103" s="339">
        <v>11.01</v>
      </c>
    </row>
    <row r="2104" spans="1:4" ht="67.5">
      <c r="A2104" s="337">
        <v>97747</v>
      </c>
      <c r="B2104" s="338" t="s">
        <v>2612</v>
      </c>
      <c r="C2104" s="337" t="s">
        <v>145</v>
      </c>
      <c r="D2104" s="339">
        <v>114.3</v>
      </c>
    </row>
    <row r="2105" spans="1:4" ht="27">
      <c r="A2105" s="337" t="s">
        <v>2613</v>
      </c>
      <c r="B2105" s="338" t="s">
        <v>2614</v>
      </c>
      <c r="C2105" s="337" t="s">
        <v>474</v>
      </c>
      <c r="D2105" s="339">
        <v>19.46</v>
      </c>
    </row>
    <row r="2106" spans="1:4" ht="13.5">
      <c r="A2106" s="337" t="s">
        <v>2615</v>
      </c>
      <c r="B2106" s="338" t="s">
        <v>2616</v>
      </c>
      <c r="C2106" s="337" t="s">
        <v>474</v>
      </c>
      <c r="D2106" s="339">
        <v>509.52</v>
      </c>
    </row>
    <row r="2107" spans="1:4" ht="40.5">
      <c r="A2107" s="337" t="s">
        <v>282</v>
      </c>
      <c r="B2107" s="338" t="s">
        <v>2617</v>
      </c>
      <c r="C2107" s="337" t="s">
        <v>283</v>
      </c>
      <c r="D2107" s="339">
        <v>6.41</v>
      </c>
    </row>
    <row r="2108" spans="1:4" ht="27">
      <c r="A2108" s="337" t="s">
        <v>2618</v>
      </c>
      <c r="B2108" s="338" t="s">
        <v>2619</v>
      </c>
      <c r="C2108" s="337" t="s">
        <v>172</v>
      </c>
      <c r="D2108" s="339">
        <v>41.78</v>
      </c>
    </row>
    <row r="2109" spans="1:4" ht="27">
      <c r="A2109" s="337" t="s">
        <v>2620</v>
      </c>
      <c r="B2109" s="338" t="s">
        <v>2621</v>
      </c>
      <c r="C2109" s="337" t="s">
        <v>172</v>
      </c>
      <c r="D2109" s="339">
        <v>48.44</v>
      </c>
    </row>
    <row r="2110" spans="1:4" ht="27">
      <c r="A2110" s="337" t="s">
        <v>2622</v>
      </c>
      <c r="B2110" s="338" t="s">
        <v>2623</v>
      </c>
      <c r="C2110" s="337" t="s">
        <v>172</v>
      </c>
      <c r="D2110" s="339">
        <v>55.1</v>
      </c>
    </row>
    <row r="2111" spans="1:4" ht="27">
      <c r="A2111" s="337" t="s">
        <v>2624</v>
      </c>
      <c r="B2111" s="338" t="s">
        <v>2625</v>
      </c>
      <c r="C2111" s="337" t="s">
        <v>172</v>
      </c>
      <c r="D2111" s="339">
        <v>61.75</v>
      </c>
    </row>
    <row r="2112" spans="1:4" ht="40.5">
      <c r="A2112" s="337" t="s">
        <v>2626</v>
      </c>
      <c r="B2112" s="338" t="s">
        <v>2627</v>
      </c>
      <c r="C2112" s="337" t="s">
        <v>172</v>
      </c>
      <c r="D2112" s="339">
        <v>50.4</v>
      </c>
    </row>
    <row r="2113" spans="1:4" ht="40.5">
      <c r="A2113" s="337" t="s">
        <v>2628</v>
      </c>
      <c r="B2113" s="338" t="s">
        <v>2629</v>
      </c>
      <c r="C2113" s="337" t="s">
        <v>172</v>
      </c>
      <c r="D2113" s="339">
        <v>57.06</v>
      </c>
    </row>
    <row r="2114" spans="1:4" ht="40.5">
      <c r="A2114" s="337" t="s">
        <v>2630</v>
      </c>
      <c r="B2114" s="338" t="s">
        <v>2631</v>
      </c>
      <c r="C2114" s="337" t="s">
        <v>172</v>
      </c>
      <c r="D2114" s="339">
        <v>63.72</v>
      </c>
    </row>
    <row r="2115" spans="1:4" ht="40.5">
      <c r="A2115" s="337" t="s">
        <v>2632</v>
      </c>
      <c r="B2115" s="338" t="s">
        <v>2633</v>
      </c>
      <c r="C2115" s="337" t="s">
        <v>172</v>
      </c>
      <c r="D2115" s="339">
        <v>84.52</v>
      </c>
    </row>
    <row r="2116" spans="1:4" ht="40.5">
      <c r="A2116" s="337" t="s">
        <v>2634</v>
      </c>
      <c r="B2116" s="338" t="s">
        <v>2635</v>
      </c>
      <c r="C2116" s="337" t="s">
        <v>172</v>
      </c>
      <c r="D2116" s="339">
        <v>97.87</v>
      </c>
    </row>
    <row r="2117" spans="1:4" ht="40.5">
      <c r="A2117" s="337" t="s">
        <v>2636</v>
      </c>
      <c r="B2117" s="338" t="s">
        <v>2637</v>
      </c>
      <c r="C2117" s="337" t="s">
        <v>172</v>
      </c>
      <c r="D2117" s="339">
        <v>104.53</v>
      </c>
    </row>
    <row r="2118" spans="1:4" ht="40.5">
      <c r="A2118" s="337" t="s">
        <v>2638</v>
      </c>
      <c r="B2118" s="338" t="s">
        <v>2639</v>
      </c>
      <c r="C2118" s="337" t="s">
        <v>172</v>
      </c>
      <c r="D2118" s="339">
        <v>111.19</v>
      </c>
    </row>
    <row r="2119" spans="1:4" ht="40.5">
      <c r="A2119" s="337" t="s">
        <v>2640</v>
      </c>
      <c r="B2119" s="338" t="s">
        <v>2641</v>
      </c>
      <c r="C2119" s="337" t="s">
        <v>172</v>
      </c>
      <c r="D2119" s="339">
        <v>131.99</v>
      </c>
    </row>
    <row r="2120" spans="1:4" ht="40.5">
      <c r="A2120" s="337">
        <v>85662</v>
      </c>
      <c r="B2120" s="338" t="s">
        <v>2642</v>
      </c>
      <c r="C2120" s="337" t="s">
        <v>145</v>
      </c>
      <c r="D2120" s="339">
        <v>9.58</v>
      </c>
    </row>
    <row r="2121" spans="1:4" ht="40.5">
      <c r="A2121" s="337">
        <v>89996</v>
      </c>
      <c r="B2121" s="338" t="s">
        <v>2643</v>
      </c>
      <c r="C2121" s="337" t="s">
        <v>283</v>
      </c>
      <c r="D2121" s="339">
        <v>6.27</v>
      </c>
    </row>
    <row r="2122" spans="1:4" ht="40.5">
      <c r="A2122" s="337">
        <v>89997</v>
      </c>
      <c r="B2122" s="338" t="s">
        <v>2644</v>
      </c>
      <c r="C2122" s="337" t="s">
        <v>283</v>
      </c>
      <c r="D2122" s="339">
        <v>5.43</v>
      </c>
    </row>
    <row r="2123" spans="1:4" ht="40.5">
      <c r="A2123" s="337">
        <v>89998</v>
      </c>
      <c r="B2123" s="338" t="s">
        <v>2645</v>
      </c>
      <c r="C2123" s="337" t="s">
        <v>283</v>
      </c>
      <c r="D2123" s="339">
        <v>5.89</v>
      </c>
    </row>
    <row r="2124" spans="1:4" ht="40.5">
      <c r="A2124" s="337">
        <v>89999</v>
      </c>
      <c r="B2124" s="338" t="s">
        <v>2646</v>
      </c>
      <c r="C2124" s="337" t="s">
        <v>283</v>
      </c>
      <c r="D2124" s="339">
        <v>9.5299999999999994</v>
      </c>
    </row>
    <row r="2125" spans="1:4" ht="40.5">
      <c r="A2125" s="337">
        <v>90000</v>
      </c>
      <c r="B2125" s="338" t="s">
        <v>2647</v>
      </c>
      <c r="C2125" s="337" t="s">
        <v>283</v>
      </c>
      <c r="D2125" s="339">
        <v>7.23</v>
      </c>
    </row>
    <row r="2126" spans="1:4" ht="54">
      <c r="A2126" s="337">
        <v>91593</v>
      </c>
      <c r="B2126" s="338" t="s">
        <v>2648</v>
      </c>
      <c r="C2126" s="337" t="s">
        <v>283</v>
      </c>
      <c r="D2126" s="339">
        <v>6.41</v>
      </c>
    </row>
    <row r="2127" spans="1:4" ht="54">
      <c r="A2127" s="337">
        <v>91594</v>
      </c>
      <c r="B2127" s="338" t="s">
        <v>2649</v>
      </c>
      <c r="C2127" s="337" t="s">
        <v>283</v>
      </c>
      <c r="D2127" s="339">
        <v>6.78</v>
      </c>
    </row>
    <row r="2128" spans="1:4" ht="54">
      <c r="A2128" s="337">
        <v>91595</v>
      </c>
      <c r="B2128" s="338" t="s">
        <v>2650</v>
      </c>
      <c r="C2128" s="337" t="s">
        <v>283</v>
      </c>
      <c r="D2128" s="339">
        <v>7.53</v>
      </c>
    </row>
    <row r="2129" spans="1:4" ht="54">
      <c r="A2129" s="337">
        <v>91596</v>
      </c>
      <c r="B2129" s="338" t="s">
        <v>2651</v>
      </c>
      <c r="C2129" s="337" t="s">
        <v>283</v>
      </c>
      <c r="D2129" s="339">
        <v>6.54</v>
      </c>
    </row>
    <row r="2130" spans="1:4" ht="54">
      <c r="A2130" s="337">
        <v>91597</v>
      </c>
      <c r="B2130" s="338" t="s">
        <v>2652</v>
      </c>
      <c r="C2130" s="337" t="s">
        <v>283</v>
      </c>
      <c r="D2130" s="339">
        <v>4.59</v>
      </c>
    </row>
    <row r="2131" spans="1:4" ht="54">
      <c r="A2131" s="337">
        <v>91598</v>
      </c>
      <c r="B2131" s="338" t="s">
        <v>2653</v>
      </c>
      <c r="C2131" s="337" t="s">
        <v>283</v>
      </c>
      <c r="D2131" s="339">
        <v>6.51</v>
      </c>
    </row>
    <row r="2132" spans="1:4" ht="54">
      <c r="A2132" s="337">
        <v>91599</v>
      </c>
      <c r="B2132" s="338" t="s">
        <v>2654</v>
      </c>
      <c r="C2132" s="337" t="s">
        <v>283</v>
      </c>
      <c r="D2132" s="339">
        <v>6.97</v>
      </c>
    </row>
    <row r="2133" spans="1:4" ht="40.5">
      <c r="A2133" s="337">
        <v>91600</v>
      </c>
      <c r="B2133" s="338" t="s">
        <v>2655</v>
      </c>
      <c r="C2133" s="337" t="s">
        <v>283</v>
      </c>
      <c r="D2133" s="339">
        <v>7.41</v>
      </c>
    </row>
    <row r="2134" spans="1:4" ht="54">
      <c r="A2134" s="337">
        <v>91601</v>
      </c>
      <c r="B2134" s="338" t="s">
        <v>2656</v>
      </c>
      <c r="C2134" s="337" t="s">
        <v>283</v>
      </c>
      <c r="D2134" s="339">
        <v>8.06</v>
      </c>
    </row>
    <row r="2135" spans="1:4" ht="54">
      <c r="A2135" s="337">
        <v>91602</v>
      </c>
      <c r="B2135" s="338" t="s">
        <v>2657</v>
      </c>
      <c r="C2135" s="337" t="s">
        <v>283</v>
      </c>
      <c r="D2135" s="339">
        <v>7.64</v>
      </c>
    </row>
    <row r="2136" spans="1:4" ht="54">
      <c r="A2136" s="337">
        <v>91603</v>
      </c>
      <c r="B2136" s="338" t="s">
        <v>2658</v>
      </c>
      <c r="C2136" s="337" t="s">
        <v>283</v>
      </c>
      <c r="D2136" s="339">
        <v>6.15</v>
      </c>
    </row>
    <row r="2137" spans="1:4" ht="67.5">
      <c r="A2137" s="337">
        <v>92759</v>
      </c>
      <c r="B2137" s="338" t="s">
        <v>2659</v>
      </c>
      <c r="C2137" s="337" t="s">
        <v>283</v>
      </c>
      <c r="D2137" s="339">
        <v>9.1</v>
      </c>
    </row>
    <row r="2138" spans="1:4" ht="67.5">
      <c r="A2138" s="337">
        <v>92760</v>
      </c>
      <c r="B2138" s="338" t="s">
        <v>2660</v>
      </c>
      <c r="C2138" s="337" t="s">
        <v>283</v>
      </c>
      <c r="D2138" s="339">
        <v>8.09</v>
      </c>
    </row>
    <row r="2139" spans="1:4" ht="67.5">
      <c r="A2139" s="337">
        <v>92761</v>
      </c>
      <c r="B2139" s="338" t="s">
        <v>2661</v>
      </c>
      <c r="C2139" s="337" t="s">
        <v>283</v>
      </c>
      <c r="D2139" s="339">
        <v>8.0399999999999991</v>
      </c>
    </row>
    <row r="2140" spans="1:4" ht="67.5">
      <c r="A2140" s="337">
        <v>92762</v>
      </c>
      <c r="B2140" s="338" t="s">
        <v>2662</v>
      </c>
      <c r="C2140" s="337" t="s">
        <v>283</v>
      </c>
      <c r="D2140" s="339">
        <v>6.58</v>
      </c>
    </row>
    <row r="2141" spans="1:4" ht="67.5">
      <c r="A2141" s="337">
        <v>92763</v>
      </c>
      <c r="B2141" s="338" t="s">
        <v>2663</v>
      </c>
      <c r="C2141" s="337" t="s">
        <v>283</v>
      </c>
      <c r="D2141" s="339">
        <v>5.94</v>
      </c>
    </row>
    <row r="2142" spans="1:4" ht="67.5">
      <c r="A2142" s="337">
        <v>92764</v>
      </c>
      <c r="B2142" s="338" t="s">
        <v>2664</v>
      </c>
      <c r="C2142" s="337" t="s">
        <v>283</v>
      </c>
      <c r="D2142" s="339">
        <v>5.6</v>
      </c>
    </row>
    <row r="2143" spans="1:4" ht="67.5">
      <c r="A2143" s="337">
        <v>92765</v>
      </c>
      <c r="B2143" s="338" t="s">
        <v>2665</v>
      </c>
      <c r="C2143" s="337" t="s">
        <v>283</v>
      </c>
      <c r="D2143" s="339">
        <v>5.2</v>
      </c>
    </row>
    <row r="2144" spans="1:4" ht="67.5">
      <c r="A2144" s="337">
        <v>92766</v>
      </c>
      <c r="B2144" s="338" t="s">
        <v>2666</v>
      </c>
      <c r="C2144" s="337" t="s">
        <v>283</v>
      </c>
      <c r="D2144" s="339">
        <v>5.75</v>
      </c>
    </row>
    <row r="2145" spans="1:4" ht="67.5">
      <c r="A2145" s="337">
        <v>92767</v>
      </c>
      <c r="B2145" s="338" t="s">
        <v>2667</v>
      </c>
      <c r="C2145" s="337" t="s">
        <v>283</v>
      </c>
      <c r="D2145" s="339">
        <v>9.23</v>
      </c>
    </row>
    <row r="2146" spans="1:4" ht="67.5">
      <c r="A2146" s="337">
        <v>92768</v>
      </c>
      <c r="B2146" s="338" t="s">
        <v>2668</v>
      </c>
      <c r="C2146" s="337" t="s">
        <v>283</v>
      </c>
      <c r="D2146" s="339">
        <v>8.09</v>
      </c>
    </row>
    <row r="2147" spans="1:4" ht="67.5">
      <c r="A2147" s="337">
        <v>92769</v>
      </c>
      <c r="B2147" s="338" t="s">
        <v>2669</v>
      </c>
      <c r="C2147" s="337" t="s">
        <v>283</v>
      </c>
      <c r="D2147" s="339">
        <v>7.32</v>
      </c>
    </row>
    <row r="2148" spans="1:4" ht="67.5">
      <c r="A2148" s="337">
        <v>92770</v>
      </c>
      <c r="B2148" s="338" t="s">
        <v>2670</v>
      </c>
      <c r="C2148" s="337" t="s">
        <v>283</v>
      </c>
      <c r="D2148" s="339">
        <v>7.47</v>
      </c>
    </row>
    <row r="2149" spans="1:4" ht="67.5">
      <c r="A2149" s="337">
        <v>92771</v>
      </c>
      <c r="B2149" s="338" t="s">
        <v>2671</v>
      </c>
      <c r="C2149" s="337" t="s">
        <v>283</v>
      </c>
      <c r="D2149" s="339">
        <v>6.13</v>
      </c>
    </row>
    <row r="2150" spans="1:4" ht="67.5">
      <c r="A2150" s="337">
        <v>92772</v>
      </c>
      <c r="B2150" s="338" t="s">
        <v>2672</v>
      </c>
      <c r="C2150" s="337" t="s">
        <v>283</v>
      </c>
      <c r="D2150" s="339">
        <v>5.59</v>
      </c>
    </row>
    <row r="2151" spans="1:4" ht="67.5">
      <c r="A2151" s="337">
        <v>92773</v>
      </c>
      <c r="B2151" s="338" t="s">
        <v>2673</v>
      </c>
      <c r="C2151" s="337" t="s">
        <v>283</v>
      </c>
      <c r="D2151" s="339">
        <v>5.36</v>
      </c>
    </row>
    <row r="2152" spans="1:4" ht="67.5">
      <c r="A2152" s="337">
        <v>92774</v>
      </c>
      <c r="B2152" s="338" t="s">
        <v>2674</v>
      </c>
      <c r="C2152" s="337" t="s">
        <v>283</v>
      </c>
      <c r="D2152" s="339">
        <v>5.03</v>
      </c>
    </row>
    <row r="2153" spans="1:4" ht="67.5">
      <c r="A2153" s="337">
        <v>92775</v>
      </c>
      <c r="B2153" s="338" t="s">
        <v>2675</v>
      </c>
      <c r="C2153" s="337" t="s">
        <v>283</v>
      </c>
      <c r="D2153" s="339">
        <v>11.07</v>
      </c>
    </row>
    <row r="2154" spans="1:4" ht="67.5">
      <c r="A2154" s="337">
        <v>92776</v>
      </c>
      <c r="B2154" s="338" t="s">
        <v>2676</v>
      </c>
      <c r="C2154" s="337" t="s">
        <v>283</v>
      </c>
      <c r="D2154" s="339">
        <v>9.6</v>
      </c>
    </row>
    <row r="2155" spans="1:4" ht="67.5">
      <c r="A2155" s="337">
        <v>92777</v>
      </c>
      <c r="B2155" s="338" t="s">
        <v>2677</v>
      </c>
      <c r="C2155" s="337" t="s">
        <v>283</v>
      </c>
      <c r="D2155" s="339">
        <v>9.17</v>
      </c>
    </row>
    <row r="2156" spans="1:4" ht="67.5">
      <c r="A2156" s="337">
        <v>92778</v>
      </c>
      <c r="B2156" s="338" t="s">
        <v>2678</v>
      </c>
      <c r="C2156" s="337" t="s">
        <v>283</v>
      </c>
      <c r="D2156" s="339">
        <v>7.43</v>
      </c>
    </row>
    <row r="2157" spans="1:4" ht="67.5">
      <c r="A2157" s="337">
        <v>92779</v>
      </c>
      <c r="B2157" s="338" t="s">
        <v>2679</v>
      </c>
      <c r="C2157" s="337" t="s">
        <v>283</v>
      </c>
      <c r="D2157" s="339">
        <v>6.56</v>
      </c>
    </row>
    <row r="2158" spans="1:4" ht="67.5">
      <c r="A2158" s="337">
        <v>92780</v>
      </c>
      <c r="B2158" s="338" t="s">
        <v>2680</v>
      </c>
      <c r="C2158" s="337" t="s">
        <v>283</v>
      </c>
      <c r="D2158" s="339">
        <v>6.02</v>
      </c>
    </row>
    <row r="2159" spans="1:4" ht="67.5">
      <c r="A2159" s="337">
        <v>92781</v>
      </c>
      <c r="B2159" s="338" t="s">
        <v>2681</v>
      </c>
      <c r="C2159" s="337" t="s">
        <v>283</v>
      </c>
      <c r="D2159" s="339">
        <v>5.47</v>
      </c>
    </row>
    <row r="2160" spans="1:4" ht="67.5">
      <c r="A2160" s="337">
        <v>92782</v>
      </c>
      <c r="B2160" s="338" t="s">
        <v>2682</v>
      </c>
      <c r="C2160" s="337" t="s">
        <v>283</v>
      </c>
      <c r="D2160" s="339">
        <v>5.92</v>
      </c>
    </row>
    <row r="2161" spans="1:4" ht="67.5">
      <c r="A2161" s="337">
        <v>92783</v>
      </c>
      <c r="B2161" s="338" t="s">
        <v>2683</v>
      </c>
      <c r="C2161" s="337" t="s">
        <v>283</v>
      </c>
      <c r="D2161" s="339">
        <v>10.9</v>
      </c>
    </row>
    <row r="2162" spans="1:4" ht="67.5">
      <c r="A2162" s="337">
        <v>92784</v>
      </c>
      <c r="B2162" s="338" t="s">
        <v>2684</v>
      </c>
      <c r="C2162" s="337" t="s">
        <v>283</v>
      </c>
      <c r="D2162" s="339">
        <v>9.4499999999999993</v>
      </c>
    </row>
    <row r="2163" spans="1:4" ht="67.5">
      <c r="A2163" s="337">
        <v>92785</v>
      </c>
      <c r="B2163" s="338" t="s">
        <v>2685</v>
      </c>
      <c r="C2163" s="337" t="s">
        <v>283</v>
      </c>
      <c r="D2163" s="339">
        <v>8.35</v>
      </c>
    </row>
    <row r="2164" spans="1:4" ht="67.5">
      <c r="A2164" s="337">
        <v>92786</v>
      </c>
      <c r="B2164" s="338" t="s">
        <v>2686</v>
      </c>
      <c r="C2164" s="337" t="s">
        <v>283</v>
      </c>
      <c r="D2164" s="339">
        <v>8.23</v>
      </c>
    </row>
    <row r="2165" spans="1:4" ht="67.5">
      <c r="A2165" s="337">
        <v>92787</v>
      </c>
      <c r="B2165" s="338" t="s">
        <v>2687</v>
      </c>
      <c r="C2165" s="337" t="s">
        <v>283</v>
      </c>
      <c r="D2165" s="339">
        <v>6.7</v>
      </c>
    </row>
    <row r="2166" spans="1:4" ht="67.5">
      <c r="A2166" s="337">
        <v>92788</v>
      </c>
      <c r="B2166" s="338" t="s">
        <v>2688</v>
      </c>
      <c r="C2166" s="337" t="s">
        <v>283</v>
      </c>
      <c r="D2166" s="339">
        <v>5.98</v>
      </c>
    </row>
    <row r="2167" spans="1:4" ht="67.5">
      <c r="A2167" s="337">
        <v>92789</v>
      </c>
      <c r="B2167" s="338" t="s">
        <v>2689</v>
      </c>
      <c r="C2167" s="337" t="s">
        <v>283</v>
      </c>
      <c r="D2167" s="339">
        <v>5.61</v>
      </c>
    </row>
    <row r="2168" spans="1:4" ht="67.5">
      <c r="A2168" s="337">
        <v>92790</v>
      </c>
      <c r="B2168" s="338" t="s">
        <v>2690</v>
      </c>
      <c r="C2168" s="337" t="s">
        <v>283</v>
      </c>
      <c r="D2168" s="339">
        <v>5.17</v>
      </c>
    </row>
    <row r="2169" spans="1:4" ht="40.5">
      <c r="A2169" s="337">
        <v>92791</v>
      </c>
      <c r="B2169" s="338" t="s">
        <v>2691</v>
      </c>
      <c r="C2169" s="337" t="s">
        <v>283</v>
      </c>
      <c r="D2169" s="339">
        <v>6.29</v>
      </c>
    </row>
    <row r="2170" spans="1:4" ht="40.5">
      <c r="A2170" s="337">
        <v>92792</v>
      </c>
      <c r="B2170" s="338" t="s">
        <v>2692</v>
      </c>
      <c r="C2170" s="337" t="s">
        <v>283</v>
      </c>
      <c r="D2170" s="339">
        <v>5.89</v>
      </c>
    </row>
    <row r="2171" spans="1:4" ht="40.5">
      <c r="A2171" s="337">
        <v>92793</v>
      </c>
      <c r="B2171" s="338" t="s">
        <v>2693</v>
      </c>
      <c r="C2171" s="337" t="s">
        <v>283</v>
      </c>
      <c r="D2171" s="339">
        <v>6.35</v>
      </c>
    </row>
    <row r="2172" spans="1:4" ht="40.5">
      <c r="A2172" s="337">
        <v>92794</v>
      </c>
      <c r="B2172" s="338" t="s">
        <v>2694</v>
      </c>
      <c r="C2172" s="337" t="s">
        <v>283</v>
      </c>
      <c r="D2172" s="339">
        <v>5.26</v>
      </c>
    </row>
    <row r="2173" spans="1:4" ht="40.5">
      <c r="A2173" s="337">
        <v>92795</v>
      </c>
      <c r="B2173" s="338" t="s">
        <v>2695</v>
      </c>
      <c r="C2173" s="337" t="s">
        <v>283</v>
      </c>
      <c r="D2173" s="339">
        <v>4.92</v>
      </c>
    </row>
    <row r="2174" spans="1:4" ht="40.5">
      <c r="A2174" s="337">
        <v>92796</v>
      </c>
      <c r="B2174" s="338" t="s">
        <v>2696</v>
      </c>
      <c r="C2174" s="337" t="s">
        <v>283</v>
      </c>
      <c r="D2174" s="339">
        <v>4.8499999999999996</v>
      </c>
    </row>
    <row r="2175" spans="1:4" ht="40.5">
      <c r="A2175" s="337">
        <v>92797</v>
      </c>
      <c r="B2175" s="338" t="s">
        <v>2697</v>
      </c>
      <c r="C2175" s="337" t="s">
        <v>283</v>
      </c>
      <c r="D2175" s="339">
        <v>4.63</v>
      </c>
    </row>
    <row r="2176" spans="1:4" ht="40.5">
      <c r="A2176" s="337">
        <v>92798</v>
      </c>
      <c r="B2176" s="338" t="s">
        <v>2698</v>
      </c>
      <c r="C2176" s="337" t="s">
        <v>283</v>
      </c>
      <c r="D2176" s="339">
        <v>5.33</v>
      </c>
    </row>
    <row r="2177" spans="1:4" ht="27">
      <c r="A2177" s="337">
        <v>92799</v>
      </c>
      <c r="B2177" s="338" t="s">
        <v>2699</v>
      </c>
      <c r="C2177" s="337" t="s">
        <v>283</v>
      </c>
      <c r="D2177" s="339">
        <v>6.61</v>
      </c>
    </row>
    <row r="2178" spans="1:4" ht="27">
      <c r="A2178" s="337">
        <v>92800</v>
      </c>
      <c r="B2178" s="338" t="s">
        <v>2700</v>
      </c>
      <c r="C2178" s="337" t="s">
        <v>283</v>
      </c>
      <c r="D2178" s="339">
        <v>5.93</v>
      </c>
    </row>
    <row r="2179" spans="1:4" ht="27">
      <c r="A2179" s="337">
        <v>92801</v>
      </c>
      <c r="B2179" s="338" t="s">
        <v>2701</v>
      </c>
      <c r="C2179" s="337" t="s">
        <v>283</v>
      </c>
      <c r="D2179" s="339">
        <v>5.67</v>
      </c>
    </row>
    <row r="2180" spans="1:4" ht="27">
      <c r="A2180" s="337">
        <v>92802</v>
      </c>
      <c r="B2180" s="338" t="s">
        <v>2702</v>
      </c>
      <c r="C2180" s="337" t="s">
        <v>283</v>
      </c>
      <c r="D2180" s="339">
        <v>6.23</v>
      </c>
    </row>
    <row r="2181" spans="1:4" ht="27">
      <c r="A2181" s="337">
        <v>92803</v>
      </c>
      <c r="B2181" s="338" t="s">
        <v>2703</v>
      </c>
      <c r="C2181" s="337" t="s">
        <v>283</v>
      </c>
      <c r="D2181" s="339">
        <v>5.19</v>
      </c>
    </row>
    <row r="2182" spans="1:4" ht="27">
      <c r="A2182" s="337">
        <v>92804</v>
      </c>
      <c r="B2182" s="338" t="s">
        <v>2704</v>
      </c>
      <c r="C2182" s="337" t="s">
        <v>283</v>
      </c>
      <c r="D2182" s="339">
        <v>4.87</v>
      </c>
    </row>
    <row r="2183" spans="1:4" ht="27">
      <c r="A2183" s="337">
        <v>92805</v>
      </c>
      <c r="B2183" s="338" t="s">
        <v>2705</v>
      </c>
      <c r="C2183" s="337" t="s">
        <v>283</v>
      </c>
      <c r="D2183" s="339">
        <v>4.83</v>
      </c>
    </row>
    <row r="2184" spans="1:4" ht="27">
      <c r="A2184" s="337">
        <v>92806</v>
      </c>
      <c r="B2184" s="338" t="s">
        <v>2706</v>
      </c>
      <c r="C2184" s="337" t="s">
        <v>283</v>
      </c>
      <c r="D2184" s="339">
        <v>4.62</v>
      </c>
    </row>
    <row r="2185" spans="1:4" ht="27">
      <c r="A2185" s="337">
        <v>92875</v>
      </c>
      <c r="B2185" s="338" t="s">
        <v>2707</v>
      </c>
      <c r="C2185" s="337" t="s">
        <v>283</v>
      </c>
      <c r="D2185" s="339">
        <v>5.42</v>
      </c>
    </row>
    <row r="2186" spans="1:4" ht="27">
      <c r="A2186" s="337">
        <v>92876</v>
      </c>
      <c r="B2186" s="338" t="s">
        <v>2708</v>
      </c>
      <c r="C2186" s="337" t="s">
        <v>283</v>
      </c>
      <c r="D2186" s="339">
        <v>5.16</v>
      </c>
    </row>
    <row r="2187" spans="1:4" ht="27">
      <c r="A2187" s="337">
        <v>92877</v>
      </c>
      <c r="B2187" s="338" t="s">
        <v>2709</v>
      </c>
      <c r="C2187" s="337" t="s">
        <v>283</v>
      </c>
      <c r="D2187" s="339">
        <v>4.67</v>
      </c>
    </row>
    <row r="2188" spans="1:4" ht="27">
      <c r="A2188" s="337">
        <v>92878</v>
      </c>
      <c r="B2188" s="338" t="s">
        <v>2710</v>
      </c>
      <c r="C2188" s="337" t="s">
        <v>283</v>
      </c>
      <c r="D2188" s="339">
        <v>4.5999999999999996</v>
      </c>
    </row>
    <row r="2189" spans="1:4" ht="27">
      <c r="A2189" s="337">
        <v>92879</v>
      </c>
      <c r="B2189" s="338" t="s">
        <v>2711</v>
      </c>
      <c r="C2189" s="337" t="s">
        <v>283</v>
      </c>
      <c r="D2189" s="339">
        <v>4.53</v>
      </c>
    </row>
    <row r="2190" spans="1:4" ht="27">
      <c r="A2190" s="337">
        <v>92880</v>
      </c>
      <c r="B2190" s="338" t="s">
        <v>2712</v>
      </c>
      <c r="C2190" s="337" t="s">
        <v>283</v>
      </c>
      <c r="D2190" s="339">
        <v>4.62</v>
      </c>
    </row>
    <row r="2191" spans="1:4" ht="27">
      <c r="A2191" s="337">
        <v>92881</v>
      </c>
      <c r="B2191" s="338" t="s">
        <v>2713</v>
      </c>
      <c r="C2191" s="337" t="s">
        <v>283</v>
      </c>
      <c r="D2191" s="339">
        <v>4.5999999999999996</v>
      </c>
    </row>
    <row r="2192" spans="1:4" ht="27">
      <c r="A2192" s="337">
        <v>92882</v>
      </c>
      <c r="B2192" s="338" t="s">
        <v>2714</v>
      </c>
      <c r="C2192" s="337" t="s">
        <v>283</v>
      </c>
      <c r="D2192" s="339">
        <v>7.62</v>
      </c>
    </row>
    <row r="2193" spans="1:4" ht="27">
      <c r="A2193" s="337">
        <v>92883</v>
      </c>
      <c r="B2193" s="338" t="s">
        <v>2715</v>
      </c>
      <c r="C2193" s="337" t="s">
        <v>283</v>
      </c>
      <c r="D2193" s="339">
        <v>6.85</v>
      </c>
    </row>
    <row r="2194" spans="1:4" ht="27">
      <c r="A2194" s="337">
        <v>92884</v>
      </c>
      <c r="B2194" s="338" t="s">
        <v>2716</v>
      </c>
      <c r="C2194" s="337" t="s">
        <v>283</v>
      </c>
      <c r="D2194" s="339">
        <v>5.99</v>
      </c>
    </row>
    <row r="2195" spans="1:4" ht="27">
      <c r="A2195" s="337">
        <v>92885</v>
      </c>
      <c r="B2195" s="338" t="s">
        <v>2717</v>
      </c>
      <c r="C2195" s="337" t="s">
        <v>283</v>
      </c>
      <c r="D2195" s="339">
        <v>5.62</v>
      </c>
    </row>
    <row r="2196" spans="1:4" ht="27">
      <c r="A2196" s="337">
        <v>92886</v>
      </c>
      <c r="B2196" s="338" t="s">
        <v>2718</v>
      </c>
      <c r="C2196" s="337" t="s">
        <v>283</v>
      </c>
      <c r="D2196" s="339">
        <v>5.28</v>
      </c>
    </row>
    <row r="2197" spans="1:4" ht="27">
      <c r="A2197" s="337">
        <v>92887</v>
      </c>
      <c r="B2197" s="338" t="s">
        <v>2719</v>
      </c>
      <c r="C2197" s="337" t="s">
        <v>283</v>
      </c>
      <c r="D2197" s="339">
        <v>5.19</v>
      </c>
    </row>
    <row r="2198" spans="1:4" ht="27">
      <c r="A2198" s="337">
        <v>92888</v>
      </c>
      <c r="B2198" s="338" t="s">
        <v>2720</v>
      </c>
      <c r="C2198" s="337" t="s">
        <v>283</v>
      </c>
      <c r="D2198" s="339">
        <v>5.0199999999999996</v>
      </c>
    </row>
    <row r="2199" spans="1:4" ht="54">
      <c r="A2199" s="337">
        <v>92915</v>
      </c>
      <c r="B2199" s="338" t="s">
        <v>2721</v>
      </c>
      <c r="C2199" s="337" t="s">
        <v>283</v>
      </c>
      <c r="D2199" s="339">
        <v>10.09</v>
      </c>
    </row>
    <row r="2200" spans="1:4" ht="54">
      <c r="A2200" s="337">
        <v>92916</v>
      </c>
      <c r="B2200" s="338" t="s">
        <v>2722</v>
      </c>
      <c r="C2200" s="337" t="s">
        <v>283</v>
      </c>
      <c r="D2200" s="339">
        <v>8.84</v>
      </c>
    </row>
    <row r="2201" spans="1:4" ht="54">
      <c r="A2201" s="337">
        <v>92917</v>
      </c>
      <c r="B2201" s="338" t="s">
        <v>2723</v>
      </c>
      <c r="C2201" s="337" t="s">
        <v>283</v>
      </c>
      <c r="D2201" s="339">
        <v>8.61</v>
      </c>
    </row>
    <row r="2202" spans="1:4" ht="54">
      <c r="A2202" s="337">
        <v>92919</v>
      </c>
      <c r="B2202" s="338" t="s">
        <v>2724</v>
      </c>
      <c r="C2202" s="337" t="s">
        <v>283</v>
      </c>
      <c r="D2202" s="339">
        <v>7.01</v>
      </c>
    </row>
    <row r="2203" spans="1:4" ht="54">
      <c r="A2203" s="337">
        <v>92921</v>
      </c>
      <c r="B2203" s="338" t="s">
        <v>2725</v>
      </c>
      <c r="C2203" s="337" t="s">
        <v>283</v>
      </c>
      <c r="D2203" s="339">
        <v>6.25</v>
      </c>
    </row>
    <row r="2204" spans="1:4" ht="54">
      <c r="A2204" s="337">
        <v>92922</v>
      </c>
      <c r="B2204" s="338" t="s">
        <v>2726</v>
      </c>
      <c r="C2204" s="337" t="s">
        <v>283</v>
      </c>
      <c r="D2204" s="339">
        <v>5.82</v>
      </c>
    </row>
    <row r="2205" spans="1:4" ht="54">
      <c r="A2205" s="337">
        <v>92923</v>
      </c>
      <c r="B2205" s="338" t="s">
        <v>2727</v>
      </c>
      <c r="C2205" s="337" t="s">
        <v>283</v>
      </c>
      <c r="D2205" s="339">
        <v>5.34</v>
      </c>
    </row>
    <row r="2206" spans="1:4" ht="54">
      <c r="A2206" s="337">
        <v>92924</v>
      </c>
      <c r="B2206" s="338" t="s">
        <v>2728</v>
      </c>
      <c r="C2206" s="337" t="s">
        <v>283</v>
      </c>
      <c r="D2206" s="339">
        <v>5.83</v>
      </c>
    </row>
    <row r="2207" spans="1:4" ht="40.5">
      <c r="A2207" s="337">
        <v>95445</v>
      </c>
      <c r="B2207" s="338" t="s">
        <v>2729</v>
      </c>
      <c r="C2207" s="337" t="s">
        <v>283</v>
      </c>
      <c r="D2207" s="339">
        <v>4.99</v>
      </c>
    </row>
    <row r="2208" spans="1:4" ht="40.5">
      <c r="A2208" s="337">
        <v>95446</v>
      </c>
      <c r="B2208" s="338" t="s">
        <v>2730</v>
      </c>
      <c r="C2208" s="337" t="s">
        <v>283</v>
      </c>
      <c r="D2208" s="339">
        <v>5.1100000000000003</v>
      </c>
    </row>
    <row r="2209" spans="1:4" ht="54">
      <c r="A2209" s="337">
        <v>95576</v>
      </c>
      <c r="B2209" s="338" t="s">
        <v>2731</v>
      </c>
      <c r="C2209" s="337" t="s">
        <v>283</v>
      </c>
      <c r="D2209" s="339">
        <v>8.18</v>
      </c>
    </row>
    <row r="2210" spans="1:4" ht="40.5">
      <c r="A2210" s="337">
        <v>95577</v>
      </c>
      <c r="B2210" s="338" t="s">
        <v>2732</v>
      </c>
      <c r="C2210" s="337" t="s">
        <v>283</v>
      </c>
      <c r="D2210" s="339">
        <v>6.76</v>
      </c>
    </row>
    <row r="2211" spans="1:4" ht="54">
      <c r="A2211" s="337">
        <v>95578</v>
      </c>
      <c r="B2211" s="338" t="s">
        <v>2733</v>
      </c>
      <c r="C2211" s="337" t="s">
        <v>283</v>
      </c>
      <c r="D2211" s="339">
        <v>6.17</v>
      </c>
    </row>
    <row r="2212" spans="1:4" ht="40.5">
      <c r="A2212" s="337">
        <v>95579</v>
      </c>
      <c r="B2212" s="338" t="s">
        <v>2734</v>
      </c>
      <c r="C2212" s="337" t="s">
        <v>283</v>
      </c>
      <c r="D2212" s="339">
        <v>5.86</v>
      </c>
    </row>
    <row r="2213" spans="1:4" ht="40.5">
      <c r="A2213" s="337">
        <v>95580</v>
      </c>
      <c r="B2213" s="338" t="s">
        <v>2735</v>
      </c>
      <c r="C2213" s="337" t="s">
        <v>283</v>
      </c>
      <c r="D2213" s="339">
        <v>5.49</v>
      </c>
    </row>
    <row r="2214" spans="1:4" ht="40.5">
      <c r="A2214" s="337">
        <v>95581</v>
      </c>
      <c r="B2214" s="338" t="s">
        <v>2736</v>
      </c>
      <c r="C2214" s="337" t="s">
        <v>283</v>
      </c>
      <c r="D2214" s="339">
        <v>6.05</v>
      </c>
    </row>
    <row r="2215" spans="1:4" ht="40.5">
      <c r="A2215" s="337">
        <v>95583</v>
      </c>
      <c r="B2215" s="338" t="s">
        <v>2737</v>
      </c>
      <c r="C2215" s="337" t="s">
        <v>283</v>
      </c>
      <c r="D2215" s="339">
        <v>10.47</v>
      </c>
    </row>
    <row r="2216" spans="1:4" ht="40.5">
      <c r="A2216" s="337">
        <v>95584</v>
      </c>
      <c r="B2216" s="338" t="s">
        <v>2738</v>
      </c>
      <c r="C2216" s="337" t="s">
        <v>283</v>
      </c>
      <c r="D2216" s="339">
        <v>8.58</v>
      </c>
    </row>
    <row r="2217" spans="1:4" ht="54">
      <c r="A2217" s="337">
        <v>95585</v>
      </c>
      <c r="B2217" s="338" t="s">
        <v>2739</v>
      </c>
      <c r="C2217" s="337" t="s">
        <v>283</v>
      </c>
      <c r="D2217" s="339">
        <v>8.52</v>
      </c>
    </row>
    <row r="2218" spans="1:4" ht="40.5">
      <c r="A2218" s="337">
        <v>95586</v>
      </c>
      <c r="B2218" s="338" t="s">
        <v>2740</v>
      </c>
      <c r="C2218" s="337" t="s">
        <v>283</v>
      </c>
      <c r="D2218" s="339">
        <v>7.03</v>
      </c>
    </row>
    <row r="2219" spans="1:4" ht="54">
      <c r="A2219" s="337">
        <v>95587</v>
      </c>
      <c r="B2219" s="338" t="s">
        <v>2741</v>
      </c>
      <c r="C2219" s="337" t="s">
        <v>283</v>
      </c>
      <c r="D2219" s="339">
        <v>6.39</v>
      </c>
    </row>
    <row r="2220" spans="1:4" ht="40.5">
      <c r="A2220" s="337">
        <v>95588</v>
      </c>
      <c r="B2220" s="338" t="s">
        <v>2742</v>
      </c>
      <c r="C2220" s="337" t="s">
        <v>283</v>
      </c>
      <c r="D2220" s="339">
        <v>6.03</v>
      </c>
    </row>
    <row r="2221" spans="1:4" ht="40.5">
      <c r="A2221" s="337">
        <v>95589</v>
      </c>
      <c r="B2221" s="338" t="s">
        <v>2743</v>
      </c>
      <c r="C2221" s="337" t="s">
        <v>283</v>
      </c>
      <c r="D2221" s="339">
        <v>5.62</v>
      </c>
    </row>
    <row r="2222" spans="1:4" ht="40.5">
      <c r="A2222" s="337">
        <v>95590</v>
      </c>
      <c r="B2222" s="338" t="s">
        <v>2744</v>
      </c>
      <c r="C2222" s="337" t="s">
        <v>283</v>
      </c>
      <c r="D2222" s="339">
        <v>6.17</v>
      </c>
    </row>
    <row r="2223" spans="1:4" ht="40.5">
      <c r="A2223" s="337">
        <v>95592</v>
      </c>
      <c r="B2223" s="338" t="s">
        <v>2745</v>
      </c>
      <c r="C2223" s="337" t="s">
        <v>283</v>
      </c>
      <c r="D2223" s="339">
        <v>12.83</v>
      </c>
    </row>
    <row r="2224" spans="1:4" ht="40.5">
      <c r="A2224" s="337">
        <v>95593</v>
      </c>
      <c r="B2224" s="338" t="s">
        <v>2746</v>
      </c>
      <c r="C2224" s="337" t="s">
        <v>283</v>
      </c>
      <c r="D2224" s="339">
        <v>10.02</v>
      </c>
    </row>
    <row r="2225" spans="1:4" ht="54">
      <c r="A2225" s="337">
        <v>95943</v>
      </c>
      <c r="B2225" s="338" t="s">
        <v>2747</v>
      </c>
      <c r="C2225" s="337" t="s">
        <v>283</v>
      </c>
      <c r="D2225" s="339">
        <v>13.46</v>
      </c>
    </row>
    <row r="2226" spans="1:4" ht="54">
      <c r="A2226" s="337">
        <v>95944</v>
      </c>
      <c r="B2226" s="338" t="s">
        <v>2748</v>
      </c>
      <c r="C2226" s="337" t="s">
        <v>283</v>
      </c>
      <c r="D2226" s="339">
        <v>11.82</v>
      </c>
    </row>
    <row r="2227" spans="1:4" ht="54">
      <c r="A2227" s="337">
        <v>95945</v>
      </c>
      <c r="B2227" s="338" t="s">
        <v>2749</v>
      </c>
      <c r="C2227" s="337" t="s">
        <v>283</v>
      </c>
      <c r="D2227" s="339">
        <v>9.9700000000000006</v>
      </c>
    </row>
    <row r="2228" spans="1:4" ht="54">
      <c r="A2228" s="337">
        <v>95946</v>
      </c>
      <c r="B2228" s="338" t="s">
        <v>2750</v>
      </c>
      <c r="C2228" s="337" t="s">
        <v>283</v>
      </c>
      <c r="D2228" s="339">
        <v>7.31</v>
      </c>
    </row>
    <row r="2229" spans="1:4" ht="54">
      <c r="A2229" s="337">
        <v>95947</v>
      </c>
      <c r="B2229" s="338" t="s">
        <v>2751</v>
      </c>
      <c r="C2229" s="337" t="s">
        <v>283</v>
      </c>
      <c r="D2229" s="339">
        <v>5.95</v>
      </c>
    </row>
    <row r="2230" spans="1:4" ht="54">
      <c r="A2230" s="337">
        <v>95948</v>
      </c>
      <c r="B2230" s="338" t="s">
        <v>2752</v>
      </c>
      <c r="C2230" s="337" t="s">
        <v>283</v>
      </c>
      <c r="D2230" s="339">
        <v>5.2</v>
      </c>
    </row>
    <row r="2231" spans="1:4" ht="40.5">
      <c r="A2231" s="337">
        <v>96544</v>
      </c>
      <c r="B2231" s="338" t="s">
        <v>2753</v>
      </c>
      <c r="C2231" s="337" t="s">
        <v>283</v>
      </c>
      <c r="D2231" s="339">
        <v>9.56</v>
      </c>
    </row>
    <row r="2232" spans="1:4" ht="40.5">
      <c r="A2232" s="337">
        <v>96545</v>
      </c>
      <c r="B2232" s="338" t="s">
        <v>2754</v>
      </c>
      <c r="C2232" s="337" t="s">
        <v>283</v>
      </c>
      <c r="D2232" s="339">
        <v>9.19</v>
      </c>
    </row>
    <row r="2233" spans="1:4" ht="40.5">
      <c r="A2233" s="337">
        <v>96546</v>
      </c>
      <c r="B2233" s="338" t="s">
        <v>2755</v>
      </c>
      <c r="C2233" s="337" t="s">
        <v>283</v>
      </c>
      <c r="D2233" s="339">
        <v>7.48</v>
      </c>
    </row>
    <row r="2234" spans="1:4" ht="40.5">
      <c r="A2234" s="337">
        <v>96547</v>
      </c>
      <c r="B2234" s="338" t="s">
        <v>2756</v>
      </c>
      <c r="C2234" s="337" t="s">
        <v>283</v>
      </c>
      <c r="D2234" s="339">
        <v>6.66</v>
      </c>
    </row>
    <row r="2235" spans="1:4" ht="40.5">
      <c r="A2235" s="337">
        <v>96548</v>
      </c>
      <c r="B2235" s="338" t="s">
        <v>2757</v>
      </c>
      <c r="C2235" s="337" t="s">
        <v>283</v>
      </c>
      <c r="D2235" s="339">
        <v>6.17</v>
      </c>
    </row>
    <row r="2236" spans="1:4" ht="40.5">
      <c r="A2236" s="337">
        <v>96549</v>
      </c>
      <c r="B2236" s="338" t="s">
        <v>2758</v>
      </c>
      <c r="C2236" s="337" t="s">
        <v>283</v>
      </c>
      <c r="D2236" s="339">
        <v>5.66</v>
      </c>
    </row>
    <row r="2237" spans="1:4" ht="40.5">
      <c r="A2237" s="337">
        <v>96550</v>
      </c>
      <c r="B2237" s="338" t="s">
        <v>2759</v>
      </c>
      <c r="C2237" s="337" t="s">
        <v>283</v>
      </c>
      <c r="D2237" s="339">
        <v>6.13</v>
      </c>
    </row>
    <row r="2238" spans="1:4" ht="27">
      <c r="A2238" s="337">
        <v>40780</v>
      </c>
      <c r="B2238" s="338" t="s">
        <v>2760</v>
      </c>
      <c r="C2238" s="337" t="s">
        <v>145</v>
      </c>
      <c r="D2238" s="339">
        <v>8.43</v>
      </c>
    </row>
    <row r="2239" spans="1:4" ht="27">
      <c r="A2239" s="337" t="s">
        <v>111</v>
      </c>
      <c r="B2239" s="338" t="s">
        <v>2761</v>
      </c>
      <c r="C2239" s="337" t="s">
        <v>178</v>
      </c>
      <c r="D2239" s="339">
        <v>93.76</v>
      </c>
    </row>
    <row r="2240" spans="1:4" ht="27">
      <c r="A2240" s="337">
        <v>89993</v>
      </c>
      <c r="B2240" s="338" t="s">
        <v>2762</v>
      </c>
      <c r="C2240" s="337" t="s">
        <v>178</v>
      </c>
      <c r="D2240" s="339">
        <v>590.5</v>
      </c>
    </row>
    <row r="2241" spans="1:4" ht="40.5">
      <c r="A2241" s="337">
        <v>89994</v>
      </c>
      <c r="B2241" s="338" t="s">
        <v>2763</v>
      </c>
      <c r="C2241" s="337" t="s">
        <v>178</v>
      </c>
      <c r="D2241" s="339">
        <v>497.12</v>
      </c>
    </row>
    <row r="2242" spans="1:4" ht="40.5">
      <c r="A2242" s="337">
        <v>89995</v>
      </c>
      <c r="B2242" s="338" t="s">
        <v>2764</v>
      </c>
      <c r="C2242" s="337" t="s">
        <v>178</v>
      </c>
      <c r="D2242" s="339">
        <v>566.62</v>
      </c>
    </row>
    <row r="2243" spans="1:4" ht="54">
      <c r="A2243" s="337">
        <v>90278</v>
      </c>
      <c r="B2243" s="338" t="s">
        <v>2765</v>
      </c>
      <c r="C2243" s="337" t="s">
        <v>178</v>
      </c>
      <c r="D2243" s="339">
        <v>284.47000000000003</v>
      </c>
    </row>
    <row r="2244" spans="1:4" ht="54">
      <c r="A2244" s="337">
        <v>90279</v>
      </c>
      <c r="B2244" s="338" t="s">
        <v>2766</v>
      </c>
      <c r="C2244" s="337" t="s">
        <v>178</v>
      </c>
      <c r="D2244" s="339">
        <v>304.22000000000003</v>
      </c>
    </row>
    <row r="2245" spans="1:4" ht="54">
      <c r="A2245" s="337">
        <v>90280</v>
      </c>
      <c r="B2245" s="338" t="s">
        <v>2767</v>
      </c>
      <c r="C2245" s="337" t="s">
        <v>178</v>
      </c>
      <c r="D2245" s="339">
        <v>340.59</v>
      </c>
    </row>
    <row r="2246" spans="1:4" ht="54">
      <c r="A2246" s="337">
        <v>90281</v>
      </c>
      <c r="B2246" s="338" t="s">
        <v>2768</v>
      </c>
      <c r="C2246" s="337" t="s">
        <v>178</v>
      </c>
      <c r="D2246" s="339">
        <v>391.6</v>
      </c>
    </row>
    <row r="2247" spans="1:4" ht="54">
      <c r="A2247" s="337">
        <v>90282</v>
      </c>
      <c r="B2247" s="338" t="s">
        <v>2769</v>
      </c>
      <c r="C2247" s="337" t="s">
        <v>178</v>
      </c>
      <c r="D2247" s="339">
        <v>289.25</v>
      </c>
    </row>
    <row r="2248" spans="1:4" ht="54">
      <c r="A2248" s="337">
        <v>90283</v>
      </c>
      <c r="B2248" s="338" t="s">
        <v>2770</v>
      </c>
      <c r="C2248" s="337" t="s">
        <v>178</v>
      </c>
      <c r="D2248" s="339">
        <v>310.24</v>
      </c>
    </row>
    <row r="2249" spans="1:4" ht="54">
      <c r="A2249" s="337">
        <v>90284</v>
      </c>
      <c r="B2249" s="338" t="s">
        <v>2771</v>
      </c>
      <c r="C2249" s="337" t="s">
        <v>178</v>
      </c>
      <c r="D2249" s="339">
        <v>347.53</v>
      </c>
    </row>
    <row r="2250" spans="1:4" ht="54">
      <c r="A2250" s="337">
        <v>90285</v>
      </c>
      <c r="B2250" s="338" t="s">
        <v>2772</v>
      </c>
      <c r="C2250" s="337" t="s">
        <v>178</v>
      </c>
      <c r="D2250" s="339">
        <v>401.38</v>
      </c>
    </row>
    <row r="2251" spans="1:4" ht="81">
      <c r="A2251" s="337">
        <v>90853</v>
      </c>
      <c r="B2251" s="338" t="s">
        <v>2773</v>
      </c>
      <c r="C2251" s="337" t="s">
        <v>178</v>
      </c>
      <c r="D2251" s="339">
        <v>421.96</v>
      </c>
    </row>
    <row r="2252" spans="1:4" ht="81">
      <c r="A2252" s="337">
        <v>90854</v>
      </c>
      <c r="B2252" s="338" t="s">
        <v>2774</v>
      </c>
      <c r="C2252" s="337" t="s">
        <v>178</v>
      </c>
      <c r="D2252" s="339">
        <v>409.18</v>
      </c>
    </row>
    <row r="2253" spans="1:4" ht="81">
      <c r="A2253" s="337">
        <v>90855</v>
      </c>
      <c r="B2253" s="338" t="s">
        <v>2775</v>
      </c>
      <c r="C2253" s="337" t="s">
        <v>178</v>
      </c>
      <c r="D2253" s="339">
        <v>446.77</v>
      </c>
    </row>
    <row r="2254" spans="1:4" ht="81">
      <c r="A2254" s="337">
        <v>90856</v>
      </c>
      <c r="B2254" s="338" t="s">
        <v>2776</v>
      </c>
      <c r="C2254" s="337" t="s">
        <v>178</v>
      </c>
      <c r="D2254" s="339">
        <v>425.15</v>
      </c>
    </row>
    <row r="2255" spans="1:4" ht="81">
      <c r="A2255" s="337">
        <v>90857</v>
      </c>
      <c r="B2255" s="338" t="s">
        <v>2777</v>
      </c>
      <c r="C2255" s="337" t="s">
        <v>178</v>
      </c>
      <c r="D2255" s="339">
        <v>411.31</v>
      </c>
    </row>
    <row r="2256" spans="1:4" ht="81">
      <c r="A2256" s="337">
        <v>90858</v>
      </c>
      <c r="B2256" s="338" t="s">
        <v>2778</v>
      </c>
      <c r="C2256" s="337" t="s">
        <v>178</v>
      </c>
      <c r="D2256" s="339">
        <v>461.47</v>
      </c>
    </row>
    <row r="2257" spans="1:4" ht="81">
      <c r="A2257" s="337">
        <v>90859</v>
      </c>
      <c r="B2257" s="338" t="s">
        <v>2779</v>
      </c>
      <c r="C2257" s="337" t="s">
        <v>178</v>
      </c>
      <c r="D2257" s="339">
        <v>402.49</v>
      </c>
    </row>
    <row r="2258" spans="1:4" ht="81">
      <c r="A2258" s="337">
        <v>90860</v>
      </c>
      <c r="B2258" s="338" t="s">
        <v>2780</v>
      </c>
      <c r="C2258" s="337" t="s">
        <v>178</v>
      </c>
      <c r="D2258" s="339">
        <v>406.94</v>
      </c>
    </row>
    <row r="2259" spans="1:4" ht="81">
      <c r="A2259" s="337">
        <v>90861</v>
      </c>
      <c r="B2259" s="338" t="s">
        <v>2781</v>
      </c>
      <c r="C2259" s="337" t="s">
        <v>178</v>
      </c>
      <c r="D2259" s="339">
        <v>415.23</v>
      </c>
    </row>
    <row r="2260" spans="1:4" ht="81">
      <c r="A2260" s="337">
        <v>90862</v>
      </c>
      <c r="B2260" s="338" t="s">
        <v>2782</v>
      </c>
      <c r="C2260" s="337" t="s">
        <v>178</v>
      </c>
      <c r="D2260" s="339">
        <v>378.48</v>
      </c>
    </row>
    <row r="2261" spans="1:4" ht="67.5">
      <c r="A2261" s="337">
        <v>92718</v>
      </c>
      <c r="B2261" s="338" t="s">
        <v>2783</v>
      </c>
      <c r="C2261" s="337" t="s">
        <v>178</v>
      </c>
      <c r="D2261" s="339">
        <v>480</v>
      </c>
    </row>
    <row r="2262" spans="1:4" ht="67.5">
      <c r="A2262" s="337">
        <v>92719</v>
      </c>
      <c r="B2262" s="338" t="s">
        <v>2784</v>
      </c>
      <c r="C2262" s="337" t="s">
        <v>178</v>
      </c>
      <c r="D2262" s="339">
        <v>362.63</v>
      </c>
    </row>
    <row r="2263" spans="1:4" ht="67.5">
      <c r="A2263" s="337">
        <v>92720</v>
      </c>
      <c r="B2263" s="338" t="s">
        <v>2785</v>
      </c>
      <c r="C2263" s="337" t="s">
        <v>178</v>
      </c>
      <c r="D2263" s="339">
        <v>414.93</v>
      </c>
    </row>
    <row r="2264" spans="1:4" ht="67.5">
      <c r="A2264" s="337">
        <v>92721</v>
      </c>
      <c r="B2264" s="338" t="s">
        <v>2786</v>
      </c>
      <c r="C2264" s="337" t="s">
        <v>178</v>
      </c>
      <c r="D2264" s="339">
        <v>355.45</v>
      </c>
    </row>
    <row r="2265" spans="1:4" ht="67.5">
      <c r="A2265" s="337">
        <v>92722</v>
      </c>
      <c r="B2265" s="338" t="s">
        <v>2787</v>
      </c>
      <c r="C2265" s="337" t="s">
        <v>178</v>
      </c>
      <c r="D2265" s="339">
        <v>411.94</v>
      </c>
    </row>
    <row r="2266" spans="1:4" ht="81">
      <c r="A2266" s="337">
        <v>92723</v>
      </c>
      <c r="B2266" s="338" t="s">
        <v>2788</v>
      </c>
      <c r="C2266" s="337" t="s">
        <v>178</v>
      </c>
      <c r="D2266" s="339">
        <v>399.53</v>
      </c>
    </row>
    <row r="2267" spans="1:4" ht="67.5">
      <c r="A2267" s="337">
        <v>92724</v>
      </c>
      <c r="B2267" s="338" t="s">
        <v>2789</v>
      </c>
      <c r="C2267" s="337" t="s">
        <v>178</v>
      </c>
      <c r="D2267" s="339">
        <v>396.92</v>
      </c>
    </row>
    <row r="2268" spans="1:4" ht="81">
      <c r="A2268" s="337">
        <v>92725</v>
      </c>
      <c r="B2268" s="338" t="s">
        <v>2790</v>
      </c>
      <c r="C2268" s="337" t="s">
        <v>178</v>
      </c>
      <c r="D2268" s="339">
        <v>395.81</v>
      </c>
    </row>
    <row r="2269" spans="1:4" ht="81">
      <c r="A2269" s="337">
        <v>92726</v>
      </c>
      <c r="B2269" s="338" t="s">
        <v>2791</v>
      </c>
      <c r="C2269" s="337" t="s">
        <v>178</v>
      </c>
      <c r="D2269" s="339">
        <v>393.96</v>
      </c>
    </row>
    <row r="2270" spans="1:4" ht="94.5">
      <c r="A2270" s="337">
        <v>92727</v>
      </c>
      <c r="B2270" s="338" t="s">
        <v>2792</v>
      </c>
      <c r="C2270" s="337" t="s">
        <v>178</v>
      </c>
      <c r="D2270" s="339">
        <v>424.59</v>
      </c>
    </row>
    <row r="2271" spans="1:4" ht="94.5">
      <c r="A2271" s="337">
        <v>92728</v>
      </c>
      <c r="B2271" s="338" t="s">
        <v>2793</v>
      </c>
      <c r="C2271" s="337" t="s">
        <v>178</v>
      </c>
      <c r="D2271" s="339">
        <v>405.83</v>
      </c>
    </row>
    <row r="2272" spans="1:4" ht="94.5">
      <c r="A2272" s="337">
        <v>92729</v>
      </c>
      <c r="B2272" s="338" t="s">
        <v>2794</v>
      </c>
      <c r="C2272" s="337" t="s">
        <v>178</v>
      </c>
      <c r="D2272" s="339">
        <v>397.86</v>
      </c>
    </row>
    <row r="2273" spans="1:4" ht="94.5">
      <c r="A2273" s="337">
        <v>92730</v>
      </c>
      <c r="B2273" s="338" t="s">
        <v>2795</v>
      </c>
      <c r="C2273" s="337" t="s">
        <v>178</v>
      </c>
      <c r="D2273" s="339">
        <v>384.63</v>
      </c>
    </row>
    <row r="2274" spans="1:4" ht="94.5">
      <c r="A2274" s="337">
        <v>92731</v>
      </c>
      <c r="B2274" s="338" t="s">
        <v>2796</v>
      </c>
      <c r="C2274" s="337" t="s">
        <v>178</v>
      </c>
      <c r="D2274" s="339">
        <v>400.06</v>
      </c>
    </row>
    <row r="2275" spans="1:4" ht="94.5">
      <c r="A2275" s="337">
        <v>92732</v>
      </c>
      <c r="B2275" s="338" t="s">
        <v>2797</v>
      </c>
      <c r="C2275" s="337" t="s">
        <v>178</v>
      </c>
      <c r="D2275" s="339">
        <v>387.19</v>
      </c>
    </row>
    <row r="2276" spans="1:4" ht="94.5">
      <c r="A2276" s="337">
        <v>92733</v>
      </c>
      <c r="B2276" s="338" t="s">
        <v>2798</v>
      </c>
      <c r="C2276" s="337" t="s">
        <v>178</v>
      </c>
      <c r="D2276" s="339">
        <v>381.71</v>
      </c>
    </row>
    <row r="2277" spans="1:4" ht="94.5">
      <c r="A2277" s="337">
        <v>92734</v>
      </c>
      <c r="B2277" s="338" t="s">
        <v>2799</v>
      </c>
      <c r="C2277" s="337" t="s">
        <v>178</v>
      </c>
      <c r="D2277" s="339">
        <v>372.61</v>
      </c>
    </row>
    <row r="2278" spans="1:4" ht="94.5">
      <c r="A2278" s="337">
        <v>92735</v>
      </c>
      <c r="B2278" s="338" t="s">
        <v>2800</v>
      </c>
      <c r="C2278" s="337" t="s">
        <v>178</v>
      </c>
      <c r="D2278" s="339">
        <v>377.36</v>
      </c>
    </row>
    <row r="2279" spans="1:4" ht="94.5">
      <c r="A2279" s="337">
        <v>92736</v>
      </c>
      <c r="B2279" s="338" t="s">
        <v>2801</v>
      </c>
      <c r="C2279" s="337" t="s">
        <v>178</v>
      </c>
      <c r="D2279" s="339">
        <v>367.64</v>
      </c>
    </row>
    <row r="2280" spans="1:4" ht="94.5">
      <c r="A2280" s="337">
        <v>92739</v>
      </c>
      <c r="B2280" s="338" t="s">
        <v>2802</v>
      </c>
      <c r="C2280" s="337" t="s">
        <v>178</v>
      </c>
      <c r="D2280" s="339">
        <v>353.51</v>
      </c>
    </row>
    <row r="2281" spans="1:4" ht="94.5">
      <c r="A2281" s="337">
        <v>92740</v>
      </c>
      <c r="B2281" s="338" t="s">
        <v>2803</v>
      </c>
      <c r="C2281" s="337" t="s">
        <v>178</v>
      </c>
      <c r="D2281" s="339">
        <v>348.7</v>
      </c>
    </row>
    <row r="2282" spans="1:4" ht="81">
      <c r="A2282" s="337">
        <v>92741</v>
      </c>
      <c r="B2282" s="338" t="s">
        <v>2804</v>
      </c>
      <c r="C2282" s="337" t="s">
        <v>178</v>
      </c>
      <c r="D2282" s="339">
        <v>527.19000000000005</v>
      </c>
    </row>
    <row r="2283" spans="1:4" ht="81">
      <c r="A2283" s="337">
        <v>92742</v>
      </c>
      <c r="B2283" s="338" t="s">
        <v>2805</v>
      </c>
      <c r="C2283" s="337" t="s">
        <v>178</v>
      </c>
      <c r="D2283" s="339">
        <v>714.72</v>
      </c>
    </row>
    <row r="2284" spans="1:4" ht="40.5">
      <c r="A2284" s="337">
        <v>92873</v>
      </c>
      <c r="B2284" s="338" t="s">
        <v>2806</v>
      </c>
      <c r="C2284" s="337" t="s">
        <v>178</v>
      </c>
      <c r="D2284" s="339">
        <v>145.12</v>
      </c>
    </row>
    <row r="2285" spans="1:4" ht="40.5">
      <c r="A2285" s="337">
        <v>92874</v>
      </c>
      <c r="B2285" s="338" t="s">
        <v>2807</v>
      </c>
      <c r="C2285" s="337" t="s">
        <v>178</v>
      </c>
      <c r="D2285" s="339">
        <v>24.13</v>
      </c>
    </row>
    <row r="2286" spans="1:4" ht="54">
      <c r="A2286" s="337">
        <v>94962</v>
      </c>
      <c r="B2286" s="338" t="s">
        <v>2808</v>
      </c>
      <c r="C2286" s="337" t="s">
        <v>178</v>
      </c>
      <c r="D2286" s="339">
        <v>255.88</v>
      </c>
    </row>
    <row r="2287" spans="1:4" ht="54">
      <c r="A2287" s="337">
        <v>94963</v>
      </c>
      <c r="B2287" s="338" t="s">
        <v>2809</v>
      </c>
      <c r="C2287" s="337" t="s">
        <v>178</v>
      </c>
      <c r="D2287" s="339">
        <v>282.64</v>
      </c>
    </row>
    <row r="2288" spans="1:4" ht="54">
      <c r="A2288" s="337">
        <v>94964</v>
      </c>
      <c r="B2288" s="338" t="s">
        <v>2810</v>
      </c>
      <c r="C2288" s="337" t="s">
        <v>178</v>
      </c>
      <c r="D2288" s="339">
        <v>310.08999999999997</v>
      </c>
    </row>
    <row r="2289" spans="1:4" ht="54">
      <c r="A2289" s="337">
        <v>94965</v>
      </c>
      <c r="B2289" s="338" t="s">
        <v>2811</v>
      </c>
      <c r="C2289" s="337" t="s">
        <v>178</v>
      </c>
      <c r="D2289" s="339">
        <v>323.45</v>
      </c>
    </row>
    <row r="2290" spans="1:4" ht="54">
      <c r="A2290" s="337">
        <v>94966</v>
      </c>
      <c r="B2290" s="338" t="s">
        <v>2812</v>
      </c>
      <c r="C2290" s="337" t="s">
        <v>178</v>
      </c>
      <c r="D2290" s="339">
        <v>335.3</v>
      </c>
    </row>
    <row r="2291" spans="1:4" ht="54">
      <c r="A2291" s="337">
        <v>94967</v>
      </c>
      <c r="B2291" s="338" t="s">
        <v>2813</v>
      </c>
      <c r="C2291" s="337" t="s">
        <v>178</v>
      </c>
      <c r="D2291" s="339">
        <v>384.6</v>
      </c>
    </row>
    <row r="2292" spans="1:4" ht="54">
      <c r="A2292" s="337">
        <v>94968</v>
      </c>
      <c r="B2292" s="338" t="s">
        <v>2814</v>
      </c>
      <c r="C2292" s="337" t="s">
        <v>178</v>
      </c>
      <c r="D2292" s="339">
        <v>251.03</v>
      </c>
    </row>
    <row r="2293" spans="1:4" ht="54">
      <c r="A2293" s="337">
        <v>94969</v>
      </c>
      <c r="B2293" s="338" t="s">
        <v>2815</v>
      </c>
      <c r="C2293" s="337" t="s">
        <v>178</v>
      </c>
      <c r="D2293" s="339">
        <v>278.38</v>
      </c>
    </row>
    <row r="2294" spans="1:4" ht="54">
      <c r="A2294" s="337">
        <v>94970</v>
      </c>
      <c r="B2294" s="338" t="s">
        <v>2816</v>
      </c>
      <c r="C2294" s="337" t="s">
        <v>178</v>
      </c>
      <c r="D2294" s="339">
        <v>302</v>
      </c>
    </row>
    <row r="2295" spans="1:4" ht="54">
      <c r="A2295" s="337">
        <v>94971</v>
      </c>
      <c r="B2295" s="338" t="s">
        <v>2817</v>
      </c>
      <c r="C2295" s="337" t="s">
        <v>178</v>
      </c>
      <c r="D2295" s="339">
        <v>319.27999999999997</v>
      </c>
    </row>
    <row r="2296" spans="1:4" ht="54">
      <c r="A2296" s="337">
        <v>94972</v>
      </c>
      <c r="B2296" s="338" t="s">
        <v>2818</v>
      </c>
      <c r="C2296" s="337" t="s">
        <v>178</v>
      </c>
      <c r="D2296" s="339">
        <v>332.83</v>
      </c>
    </row>
    <row r="2297" spans="1:4" ht="54">
      <c r="A2297" s="337">
        <v>94973</v>
      </c>
      <c r="B2297" s="338" t="s">
        <v>2819</v>
      </c>
      <c r="C2297" s="337" t="s">
        <v>178</v>
      </c>
      <c r="D2297" s="339">
        <v>379.32</v>
      </c>
    </row>
    <row r="2298" spans="1:4" ht="40.5">
      <c r="A2298" s="337">
        <v>94974</v>
      </c>
      <c r="B2298" s="338" t="s">
        <v>2820</v>
      </c>
      <c r="C2298" s="337" t="s">
        <v>178</v>
      </c>
      <c r="D2298" s="339">
        <v>350.93</v>
      </c>
    </row>
    <row r="2299" spans="1:4" ht="40.5">
      <c r="A2299" s="337">
        <v>94975</v>
      </c>
      <c r="B2299" s="338" t="s">
        <v>2821</v>
      </c>
      <c r="C2299" s="337" t="s">
        <v>178</v>
      </c>
      <c r="D2299" s="339">
        <v>375.9</v>
      </c>
    </row>
    <row r="2300" spans="1:4" ht="54">
      <c r="A2300" s="337">
        <v>96555</v>
      </c>
      <c r="B2300" s="338" t="s">
        <v>2822</v>
      </c>
      <c r="C2300" s="337" t="s">
        <v>178</v>
      </c>
      <c r="D2300" s="339">
        <v>460.41</v>
      </c>
    </row>
    <row r="2301" spans="1:4" ht="40.5">
      <c r="A2301" s="337">
        <v>96556</v>
      </c>
      <c r="B2301" s="338" t="s">
        <v>2823</v>
      </c>
      <c r="C2301" s="337" t="s">
        <v>178</v>
      </c>
      <c r="D2301" s="339">
        <v>517.08000000000004</v>
      </c>
    </row>
    <row r="2302" spans="1:4" ht="54">
      <c r="A2302" s="337">
        <v>96557</v>
      </c>
      <c r="B2302" s="338" t="s">
        <v>2824</v>
      </c>
      <c r="C2302" s="337" t="s">
        <v>178</v>
      </c>
      <c r="D2302" s="339">
        <v>435.44</v>
      </c>
    </row>
    <row r="2303" spans="1:4" ht="40.5">
      <c r="A2303" s="337">
        <v>96558</v>
      </c>
      <c r="B2303" s="338" t="s">
        <v>2825</v>
      </c>
      <c r="C2303" s="337" t="s">
        <v>178</v>
      </c>
      <c r="D2303" s="339">
        <v>440.58</v>
      </c>
    </row>
    <row r="2304" spans="1:4" ht="54">
      <c r="A2304" s="337" t="s">
        <v>2826</v>
      </c>
      <c r="B2304" s="338" t="s">
        <v>2827</v>
      </c>
      <c r="C2304" s="337" t="s">
        <v>145</v>
      </c>
      <c r="D2304" s="339">
        <v>71.89</v>
      </c>
    </row>
    <row r="2305" spans="1:4" ht="54">
      <c r="A2305" s="337" t="s">
        <v>2828</v>
      </c>
      <c r="B2305" s="338" t="s">
        <v>2829</v>
      </c>
      <c r="C2305" s="337" t="s">
        <v>145</v>
      </c>
      <c r="D2305" s="339">
        <v>79.510000000000005</v>
      </c>
    </row>
    <row r="2306" spans="1:4" ht="54">
      <c r="A2306" s="337" t="s">
        <v>2830</v>
      </c>
      <c r="B2306" s="338" t="s">
        <v>2831</v>
      </c>
      <c r="C2306" s="337" t="s">
        <v>145</v>
      </c>
      <c r="D2306" s="339">
        <v>95.34</v>
      </c>
    </row>
    <row r="2307" spans="1:4" ht="54">
      <c r="A2307" s="337" t="s">
        <v>2832</v>
      </c>
      <c r="B2307" s="338" t="s">
        <v>2833</v>
      </c>
      <c r="C2307" s="337" t="s">
        <v>145</v>
      </c>
      <c r="D2307" s="339">
        <v>109.9</v>
      </c>
    </row>
    <row r="2308" spans="1:4" ht="67.5">
      <c r="A2308" s="337" t="s">
        <v>2834</v>
      </c>
      <c r="B2308" s="338" t="s">
        <v>2835</v>
      </c>
      <c r="C2308" s="337" t="s">
        <v>145</v>
      </c>
      <c r="D2308" s="339">
        <v>64.67</v>
      </c>
    </row>
    <row r="2309" spans="1:4" ht="67.5">
      <c r="A2309" s="337" t="s">
        <v>2836</v>
      </c>
      <c r="B2309" s="338" t="s">
        <v>2837</v>
      </c>
      <c r="C2309" s="337" t="s">
        <v>145</v>
      </c>
      <c r="D2309" s="339">
        <v>71.209999999999994</v>
      </c>
    </row>
    <row r="2310" spans="1:4" ht="27">
      <c r="A2310" s="337" t="s">
        <v>2838</v>
      </c>
      <c r="B2310" s="338" t="s">
        <v>2839</v>
      </c>
      <c r="C2310" s="337" t="s">
        <v>178</v>
      </c>
      <c r="D2310" s="339">
        <v>88.6</v>
      </c>
    </row>
    <row r="2311" spans="1:4" ht="27">
      <c r="A2311" s="337" t="s">
        <v>2840</v>
      </c>
      <c r="B2311" s="338" t="s">
        <v>2841</v>
      </c>
      <c r="C2311" s="337" t="s">
        <v>178</v>
      </c>
      <c r="D2311" s="339">
        <v>115.77</v>
      </c>
    </row>
    <row r="2312" spans="1:4" ht="27">
      <c r="A2312" s="337" t="s">
        <v>2842</v>
      </c>
      <c r="B2312" s="338" t="s">
        <v>2843</v>
      </c>
      <c r="C2312" s="337" t="s">
        <v>145</v>
      </c>
      <c r="D2312" s="339">
        <v>28.12</v>
      </c>
    </row>
    <row r="2313" spans="1:4" ht="27">
      <c r="A2313" s="337">
        <v>83518</v>
      </c>
      <c r="B2313" s="338" t="s">
        <v>2844</v>
      </c>
      <c r="C2313" s="337" t="s">
        <v>178</v>
      </c>
      <c r="D2313" s="339">
        <v>322.86</v>
      </c>
    </row>
    <row r="2314" spans="1:4" ht="27">
      <c r="A2314" s="337">
        <v>95467</v>
      </c>
      <c r="B2314" s="338" t="s">
        <v>2845</v>
      </c>
      <c r="C2314" s="337" t="s">
        <v>178</v>
      </c>
      <c r="D2314" s="339">
        <v>351.87</v>
      </c>
    </row>
    <row r="2315" spans="1:4" ht="13.5">
      <c r="A2315" s="337">
        <v>68328</v>
      </c>
      <c r="B2315" s="338" t="s">
        <v>2846</v>
      </c>
      <c r="C2315" s="337" t="s">
        <v>145</v>
      </c>
      <c r="D2315" s="339">
        <v>11.13</v>
      </c>
    </row>
    <row r="2316" spans="1:4" ht="27">
      <c r="A2316" s="337" t="s">
        <v>2847</v>
      </c>
      <c r="B2316" s="338" t="s">
        <v>2848</v>
      </c>
      <c r="C2316" s="337" t="s">
        <v>172</v>
      </c>
      <c r="D2316" s="339">
        <v>95</v>
      </c>
    </row>
    <row r="2317" spans="1:4" ht="27">
      <c r="A2317" s="337">
        <v>79471</v>
      </c>
      <c r="B2317" s="338" t="s">
        <v>2849</v>
      </c>
      <c r="C2317" s="337" t="s">
        <v>283</v>
      </c>
      <c r="D2317" s="339">
        <v>57.61</v>
      </c>
    </row>
    <row r="2318" spans="1:4" ht="40.5">
      <c r="A2318" s="337">
        <v>98576</v>
      </c>
      <c r="B2318" s="338" t="s">
        <v>2850</v>
      </c>
      <c r="C2318" s="337" t="s">
        <v>172</v>
      </c>
      <c r="D2318" s="339">
        <v>14.85</v>
      </c>
    </row>
    <row r="2319" spans="1:4" ht="27">
      <c r="A2319" s="337">
        <v>93182</v>
      </c>
      <c r="B2319" s="338" t="s">
        <v>2851</v>
      </c>
      <c r="C2319" s="337" t="s">
        <v>172</v>
      </c>
      <c r="D2319" s="339">
        <v>19.2</v>
      </c>
    </row>
    <row r="2320" spans="1:4" ht="27">
      <c r="A2320" s="337">
        <v>93183</v>
      </c>
      <c r="B2320" s="338" t="s">
        <v>2852</v>
      </c>
      <c r="C2320" s="337" t="s">
        <v>172</v>
      </c>
      <c r="D2320" s="339">
        <v>24.58</v>
      </c>
    </row>
    <row r="2321" spans="1:4" ht="27">
      <c r="A2321" s="337">
        <v>93184</v>
      </c>
      <c r="B2321" s="338" t="s">
        <v>2853</v>
      </c>
      <c r="C2321" s="337" t="s">
        <v>172</v>
      </c>
      <c r="D2321" s="339">
        <v>14.83</v>
      </c>
    </row>
    <row r="2322" spans="1:4" ht="27">
      <c r="A2322" s="337">
        <v>93185</v>
      </c>
      <c r="B2322" s="338" t="s">
        <v>2854</v>
      </c>
      <c r="C2322" s="337" t="s">
        <v>172</v>
      </c>
      <c r="D2322" s="339">
        <v>24.19</v>
      </c>
    </row>
    <row r="2323" spans="1:4" ht="40.5">
      <c r="A2323" s="337">
        <v>93186</v>
      </c>
      <c r="B2323" s="338" t="s">
        <v>2855</v>
      </c>
      <c r="C2323" s="337" t="s">
        <v>172</v>
      </c>
      <c r="D2323" s="339">
        <v>33.450000000000003</v>
      </c>
    </row>
    <row r="2324" spans="1:4" ht="40.5">
      <c r="A2324" s="337">
        <v>93187</v>
      </c>
      <c r="B2324" s="338" t="s">
        <v>2856</v>
      </c>
      <c r="C2324" s="337" t="s">
        <v>172</v>
      </c>
      <c r="D2324" s="339">
        <v>38.369999999999997</v>
      </c>
    </row>
    <row r="2325" spans="1:4" ht="27">
      <c r="A2325" s="337">
        <v>93188</v>
      </c>
      <c r="B2325" s="338" t="s">
        <v>2857</v>
      </c>
      <c r="C2325" s="337" t="s">
        <v>172</v>
      </c>
      <c r="D2325" s="339">
        <v>32.76</v>
      </c>
    </row>
    <row r="2326" spans="1:4" ht="40.5">
      <c r="A2326" s="337">
        <v>93189</v>
      </c>
      <c r="B2326" s="338" t="s">
        <v>2858</v>
      </c>
      <c r="C2326" s="337" t="s">
        <v>172</v>
      </c>
      <c r="D2326" s="339">
        <v>38.82</v>
      </c>
    </row>
    <row r="2327" spans="1:4" ht="40.5">
      <c r="A2327" s="337">
        <v>93190</v>
      </c>
      <c r="B2327" s="338" t="s">
        <v>2859</v>
      </c>
      <c r="C2327" s="337" t="s">
        <v>172</v>
      </c>
      <c r="D2327" s="339">
        <v>27.98</v>
      </c>
    </row>
    <row r="2328" spans="1:4" ht="40.5">
      <c r="A2328" s="337">
        <v>93191</v>
      </c>
      <c r="B2328" s="338" t="s">
        <v>2860</v>
      </c>
      <c r="C2328" s="337" t="s">
        <v>172</v>
      </c>
      <c r="D2328" s="339">
        <v>29.18</v>
      </c>
    </row>
    <row r="2329" spans="1:4" ht="40.5">
      <c r="A2329" s="337">
        <v>93192</v>
      </c>
      <c r="B2329" s="338" t="s">
        <v>2861</v>
      </c>
      <c r="C2329" s="337" t="s">
        <v>172</v>
      </c>
      <c r="D2329" s="339">
        <v>31.03</v>
      </c>
    </row>
    <row r="2330" spans="1:4" ht="40.5">
      <c r="A2330" s="337">
        <v>93193</v>
      </c>
      <c r="B2330" s="338" t="s">
        <v>2862</v>
      </c>
      <c r="C2330" s="337" t="s">
        <v>172</v>
      </c>
      <c r="D2330" s="339">
        <v>29.65</v>
      </c>
    </row>
    <row r="2331" spans="1:4" ht="27">
      <c r="A2331" s="337">
        <v>93194</v>
      </c>
      <c r="B2331" s="338" t="s">
        <v>2863</v>
      </c>
      <c r="C2331" s="337" t="s">
        <v>172</v>
      </c>
      <c r="D2331" s="339">
        <v>18.97</v>
      </c>
    </row>
    <row r="2332" spans="1:4" ht="40.5">
      <c r="A2332" s="337">
        <v>93195</v>
      </c>
      <c r="B2332" s="338" t="s">
        <v>2864</v>
      </c>
      <c r="C2332" s="337" t="s">
        <v>172</v>
      </c>
      <c r="D2332" s="339">
        <v>22.3</v>
      </c>
    </row>
    <row r="2333" spans="1:4" ht="40.5">
      <c r="A2333" s="337">
        <v>93196</v>
      </c>
      <c r="B2333" s="338" t="s">
        <v>2865</v>
      </c>
      <c r="C2333" s="337" t="s">
        <v>172</v>
      </c>
      <c r="D2333" s="339">
        <v>31.93</v>
      </c>
    </row>
    <row r="2334" spans="1:4" ht="40.5">
      <c r="A2334" s="337">
        <v>93197</v>
      </c>
      <c r="B2334" s="338" t="s">
        <v>2866</v>
      </c>
      <c r="C2334" s="337" t="s">
        <v>172</v>
      </c>
      <c r="D2334" s="339">
        <v>35.29</v>
      </c>
    </row>
    <row r="2335" spans="1:4" ht="40.5">
      <c r="A2335" s="337">
        <v>93198</v>
      </c>
      <c r="B2335" s="338" t="s">
        <v>2867</v>
      </c>
      <c r="C2335" s="337" t="s">
        <v>172</v>
      </c>
      <c r="D2335" s="339">
        <v>25.72</v>
      </c>
    </row>
    <row r="2336" spans="1:4" ht="54">
      <c r="A2336" s="337">
        <v>93199</v>
      </c>
      <c r="B2336" s="338" t="s">
        <v>2868</v>
      </c>
      <c r="C2336" s="337" t="s">
        <v>172</v>
      </c>
      <c r="D2336" s="339">
        <v>25.33</v>
      </c>
    </row>
    <row r="2337" spans="1:4" ht="40.5">
      <c r="A2337" s="337">
        <v>93200</v>
      </c>
      <c r="B2337" s="338" t="s">
        <v>2869</v>
      </c>
      <c r="C2337" s="337" t="s">
        <v>172</v>
      </c>
      <c r="D2337" s="339">
        <v>2.04</v>
      </c>
    </row>
    <row r="2338" spans="1:4" ht="40.5">
      <c r="A2338" s="337">
        <v>93201</v>
      </c>
      <c r="B2338" s="338" t="s">
        <v>2870</v>
      </c>
      <c r="C2338" s="337" t="s">
        <v>172</v>
      </c>
      <c r="D2338" s="339">
        <v>4.2300000000000004</v>
      </c>
    </row>
    <row r="2339" spans="1:4" ht="27">
      <c r="A2339" s="337">
        <v>93202</v>
      </c>
      <c r="B2339" s="338" t="s">
        <v>2871</v>
      </c>
      <c r="C2339" s="337" t="s">
        <v>172</v>
      </c>
      <c r="D2339" s="339">
        <v>16.239999999999998</v>
      </c>
    </row>
    <row r="2340" spans="1:4" ht="40.5">
      <c r="A2340" s="337">
        <v>93203</v>
      </c>
      <c r="B2340" s="338" t="s">
        <v>2872</v>
      </c>
      <c r="C2340" s="337" t="s">
        <v>172</v>
      </c>
      <c r="D2340" s="339">
        <v>11.84</v>
      </c>
    </row>
    <row r="2341" spans="1:4" ht="27">
      <c r="A2341" s="337">
        <v>93204</v>
      </c>
      <c r="B2341" s="338" t="s">
        <v>2873</v>
      </c>
      <c r="C2341" s="337" t="s">
        <v>172</v>
      </c>
      <c r="D2341" s="339">
        <v>27.05</v>
      </c>
    </row>
    <row r="2342" spans="1:4" ht="40.5">
      <c r="A2342" s="337">
        <v>93205</v>
      </c>
      <c r="B2342" s="338" t="s">
        <v>2874</v>
      </c>
      <c r="C2342" s="337" t="s">
        <v>172</v>
      </c>
      <c r="D2342" s="339">
        <v>22.92</v>
      </c>
    </row>
    <row r="2343" spans="1:4" ht="54">
      <c r="A2343" s="337">
        <v>71623</v>
      </c>
      <c r="B2343" s="338" t="s">
        <v>2875</v>
      </c>
      <c r="C2343" s="337" t="s">
        <v>172</v>
      </c>
      <c r="D2343" s="339">
        <v>24.29</v>
      </c>
    </row>
    <row r="2344" spans="1:4" ht="27">
      <c r="A2344" s="337" t="s">
        <v>2876</v>
      </c>
      <c r="B2344" s="338" t="s">
        <v>2877</v>
      </c>
      <c r="C2344" s="337" t="s">
        <v>474</v>
      </c>
      <c r="D2344" s="339">
        <v>12.36</v>
      </c>
    </row>
    <row r="2345" spans="1:4" ht="27">
      <c r="A2345" s="337">
        <v>83513</v>
      </c>
      <c r="B2345" s="338" t="s">
        <v>2878</v>
      </c>
      <c r="C2345" s="337" t="s">
        <v>283</v>
      </c>
      <c r="D2345" s="339">
        <v>6.17</v>
      </c>
    </row>
    <row r="2346" spans="1:4" ht="27">
      <c r="A2346" s="337">
        <v>83514</v>
      </c>
      <c r="B2346" s="338" t="s">
        <v>2879</v>
      </c>
      <c r="C2346" s="337" t="s">
        <v>283</v>
      </c>
      <c r="D2346" s="339">
        <v>5.43</v>
      </c>
    </row>
    <row r="2347" spans="1:4" ht="27">
      <c r="A2347" s="337">
        <v>84153</v>
      </c>
      <c r="B2347" s="338" t="s">
        <v>2880</v>
      </c>
      <c r="C2347" s="337" t="s">
        <v>283</v>
      </c>
      <c r="D2347" s="339">
        <v>43.62</v>
      </c>
    </row>
    <row r="2348" spans="1:4" ht="13.5">
      <c r="A2348" s="337">
        <v>84154</v>
      </c>
      <c r="B2348" s="338" t="s">
        <v>2881</v>
      </c>
      <c r="C2348" s="337" t="s">
        <v>2882</v>
      </c>
      <c r="D2348" s="339">
        <v>88.77</v>
      </c>
    </row>
    <row r="2349" spans="1:4" ht="27">
      <c r="A2349" s="337">
        <v>85233</v>
      </c>
      <c r="B2349" s="338" t="s">
        <v>2883</v>
      </c>
      <c r="C2349" s="337" t="s">
        <v>178</v>
      </c>
      <c r="D2349" s="340">
        <v>1970.3</v>
      </c>
    </row>
    <row r="2350" spans="1:4" ht="67.5">
      <c r="A2350" s="337">
        <v>95952</v>
      </c>
      <c r="B2350" s="338" t="s">
        <v>2884</v>
      </c>
      <c r="C2350" s="337" t="s">
        <v>178</v>
      </c>
      <c r="D2350" s="340">
        <v>1349.34</v>
      </c>
    </row>
    <row r="2351" spans="1:4" ht="67.5">
      <c r="A2351" s="337">
        <v>95953</v>
      </c>
      <c r="B2351" s="338" t="s">
        <v>2885</v>
      </c>
      <c r="C2351" s="337" t="s">
        <v>178</v>
      </c>
      <c r="D2351" s="340">
        <v>2170.84</v>
      </c>
    </row>
    <row r="2352" spans="1:4" ht="81">
      <c r="A2352" s="337">
        <v>95954</v>
      </c>
      <c r="B2352" s="338" t="s">
        <v>2886</v>
      </c>
      <c r="C2352" s="337" t="s">
        <v>178</v>
      </c>
      <c r="D2352" s="340">
        <v>1546.71</v>
      </c>
    </row>
    <row r="2353" spans="1:4" ht="67.5">
      <c r="A2353" s="337">
        <v>95955</v>
      </c>
      <c r="B2353" s="338" t="s">
        <v>2887</v>
      </c>
      <c r="C2353" s="337" t="s">
        <v>178</v>
      </c>
      <c r="D2353" s="340">
        <v>1887.88</v>
      </c>
    </row>
    <row r="2354" spans="1:4" ht="67.5">
      <c r="A2354" s="337">
        <v>95956</v>
      </c>
      <c r="B2354" s="338" t="s">
        <v>2888</v>
      </c>
      <c r="C2354" s="337" t="s">
        <v>178</v>
      </c>
      <c r="D2354" s="340">
        <v>1475.57</v>
      </c>
    </row>
    <row r="2355" spans="1:4" ht="54">
      <c r="A2355" s="337">
        <v>95957</v>
      </c>
      <c r="B2355" s="338" t="s">
        <v>2889</v>
      </c>
      <c r="C2355" s="337" t="s">
        <v>178</v>
      </c>
      <c r="D2355" s="340">
        <v>1882.64</v>
      </c>
    </row>
    <row r="2356" spans="1:4" ht="40.5">
      <c r="A2356" s="337">
        <v>95969</v>
      </c>
      <c r="B2356" s="338" t="s">
        <v>2890</v>
      </c>
      <c r="C2356" s="337" t="s">
        <v>178</v>
      </c>
      <c r="D2356" s="340">
        <v>1894.39</v>
      </c>
    </row>
    <row r="2357" spans="1:4" ht="40.5">
      <c r="A2357" s="337">
        <v>97733</v>
      </c>
      <c r="B2357" s="338" t="s">
        <v>2891</v>
      </c>
      <c r="C2357" s="337" t="s">
        <v>178</v>
      </c>
      <c r="D2357" s="340">
        <v>2193.69</v>
      </c>
    </row>
    <row r="2358" spans="1:4" ht="40.5">
      <c r="A2358" s="337">
        <v>97734</v>
      </c>
      <c r="B2358" s="338" t="s">
        <v>2892</v>
      </c>
      <c r="C2358" s="337" t="s">
        <v>178</v>
      </c>
      <c r="D2358" s="340">
        <v>1913.76</v>
      </c>
    </row>
    <row r="2359" spans="1:4" ht="40.5">
      <c r="A2359" s="337">
        <v>97735</v>
      </c>
      <c r="B2359" s="338" t="s">
        <v>2893</v>
      </c>
      <c r="C2359" s="337" t="s">
        <v>178</v>
      </c>
      <c r="D2359" s="340">
        <v>1586.13</v>
      </c>
    </row>
    <row r="2360" spans="1:4" ht="40.5">
      <c r="A2360" s="337">
        <v>97736</v>
      </c>
      <c r="B2360" s="338" t="s">
        <v>2894</v>
      </c>
      <c r="C2360" s="337" t="s">
        <v>178</v>
      </c>
      <c r="D2360" s="339">
        <v>994.43</v>
      </c>
    </row>
    <row r="2361" spans="1:4" ht="40.5">
      <c r="A2361" s="337">
        <v>97737</v>
      </c>
      <c r="B2361" s="338" t="s">
        <v>2895</v>
      </c>
      <c r="C2361" s="337" t="s">
        <v>178</v>
      </c>
      <c r="D2361" s="340">
        <v>2175.6</v>
      </c>
    </row>
    <row r="2362" spans="1:4" ht="54">
      <c r="A2362" s="337">
        <v>97738</v>
      </c>
      <c r="B2362" s="338" t="s">
        <v>2896</v>
      </c>
      <c r="C2362" s="337" t="s">
        <v>178</v>
      </c>
      <c r="D2362" s="340">
        <v>3016.96</v>
      </c>
    </row>
    <row r="2363" spans="1:4" ht="40.5">
      <c r="A2363" s="337">
        <v>97739</v>
      </c>
      <c r="B2363" s="338" t="s">
        <v>2897</v>
      </c>
      <c r="C2363" s="337" t="s">
        <v>178</v>
      </c>
      <c r="D2363" s="340">
        <v>1814.4</v>
      </c>
    </row>
    <row r="2364" spans="1:4" ht="40.5">
      <c r="A2364" s="337">
        <v>97740</v>
      </c>
      <c r="B2364" s="338" t="s">
        <v>2898</v>
      </c>
      <c r="C2364" s="337" t="s">
        <v>178</v>
      </c>
      <c r="D2364" s="340">
        <v>1314.85</v>
      </c>
    </row>
    <row r="2365" spans="1:4" ht="54">
      <c r="A2365" s="337">
        <v>98615</v>
      </c>
      <c r="B2365" s="338" t="s">
        <v>2899</v>
      </c>
      <c r="C2365" s="337" t="s">
        <v>145</v>
      </c>
      <c r="D2365" s="339">
        <v>85.48</v>
      </c>
    </row>
    <row r="2366" spans="1:4" ht="54">
      <c r="A2366" s="337">
        <v>98616</v>
      </c>
      <c r="B2366" s="338" t="s">
        <v>2900</v>
      </c>
      <c r="C2366" s="337" t="s">
        <v>145</v>
      </c>
      <c r="D2366" s="339">
        <v>67.75</v>
      </c>
    </row>
    <row r="2367" spans="1:4" ht="40.5">
      <c r="A2367" s="337">
        <v>98617</v>
      </c>
      <c r="B2367" s="338" t="s">
        <v>2901</v>
      </c>
      <c r="C2367" s="337" t="s">
        <v>145</v>
      </c>
      <c r="D2367" s="339">
        <v>62.73</v>
      </c>
    </row>
    <row r="2368" spans="1:4" ht="54">
      <c r="A2368" s="337">
        <v>98618</v>
      </c>
      <c r="B2368" s="338" t="s">
        <v>2902</v>
      </c>
      <c r="C2368" s="337" t="s">
        <v>145</v>
      </c>
      <c r="D2368" s="339">
        <v>86.06</v>
      </c>
    </row>
    <row r="2369" spans="1:4" ht="54">
      <c r="A2369" s="337">
        <v>98619</v>
      </c>
      <c r="B2369" s="338" t="s">
        <v>2903</v>
      </c>
      <c r="C2369" s="337" t="s">
        <v>145</v>
      </c>
      <c r="D2369" s="339">
        <v>78.47</v>
      </c>
    </row>
    <row r="2370" spans="1:4" ht="40.5">
      <c r="A2370" s="337">
        <v>98620</v>
      </c>
      <c r="B2370" s="338" t="s">
        <v>2904</v>
      </c>
      <c r="C2370" s="337" t="s">
        <v>145</v>
      </c>
      <c r="D2370" s="339">
        <v>74.63</v>
      </c>
    </row>
    <row r="2371" spans="1:4" ht="54">
      <c r="A2371" s="337">
        <v>98621</v>
      </c>
      <c r="B2371" s="338" t="s">
        <v>2905</v>
      </c>
      <c r="C2371" s="337" t="s">
        <v>145</v>
      </c>
      <c r="D2371" s="339">
        <v>97.72</v>
      </c>
    </row>
    <row r="2372" spans="1:4" ht="54">
      <c r="A2372" s="337">
        <v>98622</v>
      </c>
      <c r="B2372" s="338" t="s">
        <v>2906</v>
      </c>
      <c r="C2372" s="337" t="s">
        <v>145</v>
      </c>
      <c r="D2372" s="339">
        <v>91.59</v>
      </c>
    </row>
    <row r="2373" spans="1:4" ht="40.5">
      <c r="A2373" s="337">
        <v>98623</v>
      </c>
      <c r="B2373" s="338" t="s">
        <v>2907</v>
      </c>
      <c r="C2373" s="337" t="s">
        <v>145</v>
      </c>
      <c r="D2373" s="339">
        <v>88.49</v>
      </c>
    </row>
    <row r="2374" spans="1:4" ht="54">
      <c r="A2374" s="337">
        <v>98624</v>
      </c>
      <c r="B2374" s="338" t="s">
        <v>2908</v>
      </c>
      <c r="C2374" s="337" t="s">
        <v>145</v>
      </c>
      <c r="D2374" s="339">
        <v>110.46</v>
      </c>
    </row>
    <row r="2375" spans="1:4" ht="54">
      <c r="A2375" s="337">
        <v>98625</v>
      </c>
      <c r="B2375" s="338" t="s">
        <v>2909</v>
      </c>
      <c r="C2375" s="337" t="s">
        <v>145</v>
      </c>
      <c r="D2375" s="339">
        <v>105.28</v>
      </c>
    </row>
    <row r="2376" spans="1:4" ht="40.5">
      <c r="A2376" s="337">
        <v>98626</v>
      </c>
      <c r="B2376" s="338" t="s">
        <v>2910</v>
      </c>
      <c r="C2376" s="337" t="s">
        <v>145</v>
      </c>
      <c r="D2376" s="339">
        <v>102.61</v>
      </c>
    </row>
    <row r="2377" spans="1:4" ht="40.5">
      <c r="A2377" s="337">
        <v>98655</v>
      </c>
      <c r="B2377" s="338" t="s">
        <v>2911</v>
      </c>
      <c r="C2377" s="337" t="s">
        <v>172</v>
      </c>
      <c r="D2377" s="339">
        <v>380.04</v>
      </c>
    </row>
    <row r="2378" spans="1:4" ht="40.5">
      <c r="A2378" s="337">
        <v>98656</v>
      </c>
      <c r="B2378" s="338" t="s">
        <v>2912</v>
      </c>
      <c r="C2378" s="337" t="s">
        <v>172</v>
      </c>
      <c r="D2378" s="339">
        <v>385.47</v>
      </c>
    </row>
    <row r="2379" spans="1:4" ht="40.5">
      <c r="A2379" s="337">
        <v>98657</v>
      </c>
      <c r="B2379" s="338" t="s">
        <v>2913</v>
      </c>
      <c r="C2379" s="337" t="s">
        <v>172</v>
      </c>
      <c r="D2379" s="339">
        <v>390.91</v>
      </c>
    </row>
    <row r="2380" spans="1:4" ht="40.5">
      <c r="A2380" s="337">
        <v>98658</v>
      </c>
      <c r="B2380" s="338" t="s">
        <v>2914</v>
      </c>
      <c r="C2380" s="337" t="s">
        <v>172</v>
      </c>
      <c r="D2380" s="339">
        <v>396.36</v>
      </c>
    </row>
    <row r="2381" spans="1:4" ht="40.5">
      <c r="A2381" s="337">
        <v>98659</v>
      </c>
      <c r="B2381" s="338" t="s">
        <v>2915</v>
      </c>
      <c r="C2381" s="337" t="s">
        <v>172</v>
      </c>
      <c r="D2381" s="339">
        <v>407.25</v>
      </c>
    </row>
    <row r="2382" spans="1:4" ht="40.5">
      <c r="A2382" s="337">
        <v>98746</v>
      </c>
      <c r="B2382" s="338" t="s">
        <v>2916</v>
      </c>
      <c r="C2382" s="337" t="s">
        <v>172</v>
      </c>
      <c r="D2382" s="339">
        <v>35.700000000000003</v>
      </c>
    </row>
    <row r="2383" spans="1:4" ht="27">
      <c r="A2383" s="337">
        <v>98749</v>
      </c>
      <c r="B2383" s="338" t="s">
        <v>2917</v>
      </c>
      <c r="C2383" s="337" t="s">
        <v>172</v>
      </c>
      <c r="D2383" s="339">
        <v>40.57</v>
      </c>
    </row>
    <row r="2384" spans="1:4" ht="27">
      <c r="A2384" s="337">
        <v>98750</v>
      </c>
      <c r="B2384" s="338" t="s">
        <v>2918</v>
      </c>
      <c r="C2384" s="337" t="s">
        <v>172</v>
      </c>
      <c r="D2384" s="339">
        <v>46.25</v>
      </c>
    </row>
    <row r="2385" spans="1:4" ht="27">
      <c r="A2385" s="337">
        <v>98751</v>
      </c>
      <c r="B2385" s="338" t="s">
        <v>2919</v>
      </c>
      <c r="C2385" s="337" t="s">
        <v>172</v>
      </c>
      <c r="D2385" s="339">
        <v>61</v>
      </c>
    </row>
    <row r="2386" spans="1:4" ht="27">
      <c r="A2386" s="337">
        <v>98752</v>
      </c>
      <c r="B2386" s="338" t="s">
        <v>2920</v>
      </c>
      <c r="C2386" s="337" t="s">
        <v>172</v>
      </c>
      <c r="D2386" s="339">
        <v>78.48</v>
      </c>
    </row>
    <row r="2387" spans="1:4" ht="27">
      <c r="A2387" s="337">
        <v>98753</v>
      </c>
      <c r="B2387" s="338" t="s">
        <v>2921</v>
      </c>
      <c r="C2387" s="337" t="s">
        <v>172</v>
      </c>
      <c r="D2387" s="339">
        <v>99.93</v>
      </c>
    </row>
    <row r="2388" spans="1:4" ht="40.5">
      <c r="A2388" s="337">
        <v>98560</v>
      </c>
      <c r="B2388" s="338" t="s">
        <v>2922</v>
      </c>
      <c r="C2388" s="337" t="s">
        <v>145</v>
      </c>
      <c r="D2388" s="339">
        <v>32.36</v>
      </c>
    </row>
    <row r="2389" spans="1:4" ht="54">
      <c r="A2389" s="337">
        <v>98561</v>
      </c>
      <c r="B2389" s="338" t="s">
        <v>2923</v>
      </c>
      <c r="C2389" s="337" t="s">
        <v>145</v>
      </c>
      <c r="D2389" s="339">
        <v>27.08</v>
      </c>
    </row>
    <row r="2390" spans="1:4" ht="54">
      <c r="A2390" s="337">
        <v>98562</v>
      </c>
      <c r="B2390" s="338" t="s">
        <v>2924</v>
      </c>
      <c r="C2390" s="337" t="s">
        <v>145</v>
      </c>
      <c r="D2390" s="339">
        <v>28.7</v>
      </c>
    </row>
    <row r="2391" spans="1:4" ht="40.5">
      <c r="A2391" s="337">
        <v>83735</v>
      </c>
      <c r="B2391" s="338" t="s">
        <v>2925</v>
      </c>
      <c r="C2391" s="337" t="s">
        <v>145</v>
      </c>
      <c r="D2391" s="339">
        <v>53.64</v>
      </c>
    </row>
    <row r="2392" spans="1:4" ht="40.5">
      <c r="A2392" s="337">
        <v>98555</v>
      </c>
      <c r="B2392" s="338" t="s">
        <v>2926</v>
      </c>
      <c r="C2392" s="337" t="s">
        <v>145</v>
      </c>
      <c r="D2392" s="339">
        <v>27.19</v>
      </c>
    </row>
    <row r="2393" spans="1:4" ht="54">
      <c r="A2393" s="337">
        <v>98556</v>
      </c>
      <c r="B2393" s="338" t="s">
        <v>2927</v>
      </c>
      <c r="C2393" s="337" t="s">
        <v>145</v>
      </c>
      <c r="D2393" s="339">
        <v>46.26</v>
      </c>
    </row>
    <row r="2394" spans="1:4" ht="54">
      <c r="A2394" s="337">
        <v>98558</v>
      </c>
      <c r="B2394" s="338" t="s">
        <v>2928</v>
      </c>
      <c r="C2394" s="337" t="s">
        <v>474</v>
      </c>
      <c r="D2394" s="339">
        <v>7.16</v>
      </c>
    </row>
    <row r="2395" spans="1:4" ht="27">
      <c r="A2395" s="337">
        <v>98559</v>
      </c>
      <c r="B2395" s="338" t="s">
        <v>2929</v>
      </c>
      <c r="C2395" s="337" t="s">
        <v>172</v>
      </c>
      <c r="D2395" s="339">
        <v>3.22</v>
      </c>
    </row>
    <row r="2396" spans="1:4" ht="40.5">
      <c r="A2396" s="337">
        <v>68053</v>
      </c>
      <c r="B2396" s="338" t="s">
        <v>2930</v>
      </c>
      <c r="C2396" s="337" t="s">
        <v>145</v>
      </c>
      <c r="D2396" s="339">
        <v>4.51</v>
      </c>
    </row>
    <row r="2397" spans="1:4" ht="40.5">
      <c r="A2397" s="337" t="s">
        <v>2931</v>
      </c>
      <c r="B2397" s="338" t="s">
        <v>2932</v>
      </c>
      <c r="C2397" s="337" t="s">
        <v>145</v>
      </c>
      <c r="D2397" s="339">
        <v>43.97</v>
      </c>
    </row>
    <row r="2398" spans="1:4" ht="54">
      <c r="A2398" s="337">
        <v>98546</v>
      </c>
      <c r="B2398" s="338" t="s">
        <v>2933</v>
      </c>
      <c r="C2398" s="337" t="s">
        <v>145</v>
      </c>
      <c r="D2398" s="339">
        <v>71.42</v>
      </c>
    </row>
    <row r="2399" spans="1:4" ht="54">
      <c r="A2399" s="337">
        <v>98547</v>
      </c>
      <c r="B2399" s="338" t="s">
        <v>2934</v>
      </c>
      <c r="C2399" s="337" t="s">
        <v>145</v>
      </c>
      <c r="D2399" s="339">
        <v>134.22999999999999</v>
      </c>
    </row>
    <row r="2400" spans="1:4" ht="40.5">
      <c r="A2400" s="337" t="s">
        <v>2935</v>
      </c>
      <c r="B2400" s="338" t="s">
        <v>2936</v>
      </c>
      <c r="C2400" s="337" t="s">
        <v>145</v>
      </c>
      <c r="D2400" s="339">
        <v>151.04</v>
      </c>
    </row>
    <row r="2401" spans="1:4" ht="40.5">
      <c r="A2401" s="337" t="s">
        <v>2937</v>
      </c>
      <c r="B2401" s="338" t="s">
        <v>2938</v>
      </c>
      <c r="C2401" s="337" t="s">
        <v>145</v>
      </c>
      <c r="D2401" s="339">
        <v>72.87</v>
      </c>
    </row>
    <row r="2402" spans="1:4" ht="40.5">
      <c r="A2402" s="337" t="s">
        <v>117</v>
      </c>
      <c r="B2402" s="338" t="s">
        <v>2939</v>
      </c>
      <c r="C2402" s="337" t="s">
        <v>145</v>
      </c>
      <c r="D2402" s="339">
        <v>9.5399999999999991</v>
      </c>
    </row>
    <row r="2403" spans="1:4" ht="27">
      <c r="A2403" s="337">
        <v>98557</v>
      </c>
      <c r="B2403" s="338" t="s">
        <v>2940</v>
      </c>
      <c r="C2403" s="337" t="s">
        <v>145</v>
      </c>
      <c r="D2403" s="339">
        <v>31.69</v>
      </c>
    </row>
    <row r="2404" spans="1:4" ht="27">
      <c r="A2404" s="337" t="s">
        <v>180</v>
      </c>
      <c r="B2404" s="338" t="s">
        <v>2941</v>
      </c>
      <c r="C2404" s="337" t="s">
        <v>145</v>
      </c>
      <c r="D2404" s="339">
        <v>26</v>
      </c>
    </row>
    <row r="2405" spans="1:4" ht="27">
      <c r="A2405" s="337" t="s">
        <v>2942</v>
      </c>
      <c r="B2405" s="338" t="s">
        <v>2943</v>
      </c>
      <c r="C2405" s="337" t="s">
        <v>145</v>
      </c>
      <c r="D2405" s="339">
        <v>50.53</v>
      </c>
    </row>
    <row r="2406" spans="1:4" ht="40.5">
      <c r="A2406" s="337">
        <v>72124</v>
      </c>
      <c r="B2406" s="338" t="s">
        <v>2944</v>
      </c>
      <c r="C2406" s="337" t="s">
        <v>2882</v>
      </c>
      <c r="D2406" s="339">
        <v>101.45</v>
      </c>
    </row>
    <row r="2407" spans="1:4" ht="27">
      <c r="A2407" s="337" t="s">
        <v>2945</v>
      </c>
      <c r="B2407" s="338" t="s">
        <v>2946</v>
      </c>
      <c r="C2407" s="337" t="s">
        <v>172</v>
      </c>
      <c r="D2407" s="339">
        <v>52.24</v>
      </c>
    </row>
    <row r="2408" spans="1:4" ht="27">
      <c r="A2408" s="337" t="s">
        <v>2947</v>
      </c>
      <c r="B2408" s="338" t="s">
        <v>2948</v>
      </c>
      <c r="C2408" s="337" t="s">
        <v>145</v>
      </c>
      <c r="D2408" s="339">
        <v>173.03</v>
      </c>
    </row>
    <row r="2409" spans="1:4" ht="40.5">
      <c r="A2409" s="337">
        <v>98563</v>
      </c>
      <c r="B2409" s="338" t="s">
        <v>2949</v>
      </c>
      <c r="C2409" s="337" t="s">
        <v>145</v>
      </c>
      <c r="D2409" s="339">
        <v>23.3</v>
      </c>
    </row>
    <row r="2410" spans="1:4" ht="40.5">
      <c r="A2410" s="337">
        <v>98564</v>
      </c>
      <c r="B2410" s="338" t="s">
        <v>2950</v>
      </c>
      <c r="C2410" s="337" t="s">
        <v>145</v>
      </c>
      <c r="D2410" s="339">
        <v>34.72</v>
      </c>
    </row>
    <row r="2411" spans="1:4" ht="40.5">
      <c r="A2411" s="337">
        <v>98565</v>
      </c>
      <c r="B2411" s="338" t="s">
        <v>2951</v>
      </c>
      <c r="C2411" s="337" t="s">
        <v>145</v>
      </c>
      <c r="D2411" s="339">
        <v>33.5</v>
      </c>
    </row>
    <row r="2412" spans="1:4" ht="40.5">
      <c r="A2412" s="337">
        <v>98566</v>
      </c>
      <c r="B2412" s="338" t="s">
        <v>2952</v>
      </c>
      <c r="C2412" s="337" t="s">
        <v>145</v>
      </c>
      <c r="D2412" s="339">
        <v>44.92</v>
      </c>
    </row>
    <row r="2413" spans="1:4" ht="40.5">
      <c r="A2413" s="337">
        <v>98567</v>
      </c>
      <c r="B2413" s="338" t="s">
        <v>2953</v>
      </c>
      <c r="C2413" s="337" t="s">
        <v>145</v>
      </c>
      <c r="D2413" s="339">
        <v>43.19</v>
      </c>
    </row>
    <row r="2414" spans="1:4" ht="40.5">
      <c r="A2414" s="337">
        <v>98568</v>
      </c>
      <c r="B2414" s="338" t="s">
        <v>2954</v>
      </c>
      <c r="C2414" s="337" t="s">
        <v>145</v>
      </c>
      <c r="D2414" s="339">
        <v>54.59</v>
      </c>
    </row>
    <row r="2415" spans="1:4" ht="40.5">
      <c r="A2415" s="337">
        <v>98569</v>
      </c>
      <c r="B2415" s="338" t="s">
        <v>2955</v>
      </c>
      <c r="C2415" s="337" t="s">
        <v>145</v>
      </c>
      <c r="D2415" s="339">
        <v>53.37</v>
      </c>
    </row>
    <row r="2416" spans="1:4" ht="40.5">
      <c r="A2416" s="337">
        <v>98570</v>
      </c>
      <c r="B2416" s="338" t="s">
        <v>2956</v>
      </c>
      <c r="C2416" s="337" t="s">
        <v>145</v>
      </c>
      <c r="D2416" s="339">
        <v>64.81</v>
      </c>
    </row>
    <row r="2417" spans="1:4" ht="40.5">
      <c r="A2417" s="337">
        <v>98571</v>
      </c>
      <c r="B2417" s="338" t="s">
        <v>2957</v>
      </c>
      <c r="C2417" s="337" t="s">
        <v>145</v>
      </c>
      <c r="D2417" s="339">
        <v>27.49</v>
      </c>
    </row>
    <row r="2418" spans="1:4" ht="40.5">
      <c r="A2418" s="337">
        <v>98572</v>
      </c>
      <c r="B2418" s="338" t="s">
        <v>2958</v>
      </c>
      <c r="C2418" s="337" t="s">
        <v>145</v>
      </c>
      <c r="D2418" s="339">
        <v>33.869999999999997</v>
      </c>
    </row>
    <row r="2419" spans="1:4" ht="40.5">
      <c r="A2419" s="337">
        <v>98573</v>
      </c>
      <c r="B2419" s="338" t="s">
        <v>2959</v>
      </c>
      <c r="C2419" s="337" t="s">
        <v>145</v>
      </c>
      <c r="D2419" s="339">
        <v>45.02</v>
      </c>
    </row>
    <row r="2420" spans="1:4" ht="54">
      <c r="A2420" s="337" t="s">
        <v>2960</v>
      </c>
      <c r="B2420" s="338" t="s">
        <v>2961</v>
      </c>
      <c r="C2420" s="337" t="s">
        <v>172</v>
      </c>
      <c r="D2420" s="339">
        <v>20.04</v>
      </c>
    </row>
    <row r="2421" spans="1:4" ht="54">
      <c r="A2421" s="337" t="s">
        <v>2962</v>
      </c>
      <c r="B2421" s="338" t="s">
        <v>2963</v>
      </c>
      <c r="C2421" s="337" t="s">
        <v>172</v>
      </c>
      <c r="D2421" s="339">
        <v>31.3</v>
      </c>
    </row>
    <row r="2422" spans="1:4" ht="54">
      <c r="A2422" s="337">
        <v>91831</v>
      </c>
      <c r="B2422" s="338" t="s">
        <v>2964</v>
      </c>
      <c r="C2422" s="337" t="s">
        <v>172</v>
      </c>
      <c r="D2422" s="339">
        <v>4.9400000000000004</v>
      </c>
    </row>
    <row r="2423" spans="1:4" ht="54">
      <c r="A2423" s="337">
        <v>91834</v>
      </c>
      <c r="B2423" s="338" t="s">
        <v>2965</v>
      </c>
      <c r="C2423" s="337" t="s">
        <v>172</v>
      </c>
      <c r="D2423" s="339">
        <v>5.5</v>
      </c>
    </row>
    <row r="2424" spans="1:4" ht="54">
      <c r="A2424" s="337">
        <v>91836</v>
      </c>
      <c r="B2424" s="338" t="s">
        <v>2966</v>
      </c>
      <c r="C2424" s="337" t="s">
        <v>172</v>
      </c>
      <c r="D2424" s="339">
        <v>7</v>
      </c>
    </row>
    <row r="2425" spans="1:4" ht="54">
      <c r="A2425" s="337">
        <v>91842</v>
      </c>
      <c r="B2425" s="338" t="s">
        <v>2967</v>
      </c>
      <c r="C2425" s="337" t="s">
        <v>172</v>
      </c>
      <c r="D2425" s="339">
        <v>3.44</v>
      </c>
    </row>
    <row r="2426" spans="1:4" ht="54">
      <c r="A2426" s="337">
        <v>91844</v>
      </c>
      <c r="B2426" s="338" t="s">
        <v>2968</v>
      </c>
      <c r="C2426" s="337" t="s">
        <v>172</v>
      </c>
      <c r="D2426" s="339">
        <v>4</v>
      </c>
    </row>
    <row r="2427" spans="1:4" ht="54">
      <c r="A2427" s="337">
        <v>91846</v>
      </c>
      <c r="B2427" s="338" t="s">
        <v>2969</v>
      </c>
      <c r="C2427" s="337" t="s">
        <v>172</v>
      </c>
      <c r="D2427" s="339">
        <v>5.5</v>
      </c>
    </row>
    <row r="2428" spans="1:4" ht="54">
      <c r="A2428" s="337">
        <v>91852</v>
      </c>
      <c r="B2428" s="338" t="s">
        <v>2970</v>
      </c>
      <c r="C2428" s="337" t="s">
        <v>172</v>
      </c>
      <c r="D2428" s="339">
        <v>5.19</v>
      </c>
    </row>
    <row r="2429" spans="1:4" ht="54">
      <c r="A2429" s="337">
        <v>91854</v>
      </c>
      <c r="B2429" s="338" t="s">
        <v>2971</v>
      </c>
      <c r="C2429" s="337" t="s">
        <v>172</v>
      </c>
      <c r="D2429" s="339">
        <v>5.75</v>
      </c>
    </row>
    <row r="2430" spans="1:4" ht="54">
      <c r="A2430" s="337">
        <v>91856</v>
      </c>
      <c r="B2430" s="338" t="s">
        <v>2972</v>
      </c>
      <c r="C2430" s="337" t="s">
        <v>172</v>
      </c>
      <c r="D2430" s="339">
        <v>7.19</v>
      </c>
    </row>
    <row r="2431" spans="1:4" ht="54">
      <c r="A2431" s="337">
        <v>91862</v>
      </c>
      <c r="B2431" s="338" t="s">
        <v>2973</v>
      </c>
      <c r="C2431" s="337" t="s">
        <v>172</v>
      </c>
      <c r="D2431" s="339">
        <v>5.84</v>
      </c>
    </row>
    <row r="2432" spans="1:4" ht="54">
      <c r="A2432" s="337">
        <v>91863</v>
      </c>
      <c r="B2432" s="338" t="s">
        <v>2974</v>
      </c>
      <c r="C2432" s="337" t="s">
        <v>172</v>
      </c>
      <c r="D2432" s="339">
        <v>6.8</v>
      </c>
    </row>
    <row r="2433" spans="1:4" ht="54">
      <c r="A2433" s="337">
        <v>91864</v>
      </c>
      <c r="B2433" s="338" t="s">
        <v>2975</v>
      </c>
      <c r="C2433" s="337" t="s">
        <v>172</v>
      </c>
      <c r="D2433" s="339">
        <v>8.77</v>
      </c>
    </row>
    <row r="2434" spans="1:4" ht="54">
      <c r="A2434" s="337">
        <v>91865</v>
      </c>
      <c r="B2434" s="338" t="s">
        <v>2976</v>
      </c>
      <c r="C2434" s="337" t="s">
        <v>172</v>
      </c>
      <c r="D2434" s="339">
        <v>10.77</v>
      </c>
    </row>
    <row r="2435" spans="1:4" ht="54">
      <c r="A2435" s="337">
        <v>91866</v>
      </c>
      <c r="B2435" s="338" t="s">
        <v>2977</v>
      </c>
      <c r="C2435" s="337" t="s">
        <v>172</v>
      </c>
      <c r="D2435" s="339">
        <v>4.43</v>
      </c>
    </row>
    <row r="2436" spans="1:4" ht="54">
      <c r="A2436" s="337">
        <v>91867</v>
      </c>
      <c r="B2436" s="338" t="s">
        <v>2978</v>
      </c>
      <c r="C2436" s="337" t="s">
        <v>172</v>
      </c>
      <c r="D2436" s="339">
        <v>5.39</v>
      </c>
    </row>
    <row r="2437" spans="1:4" ht="54">
      <c r="A2437" s="337">
        <v>91868</v>
      </c>
      <c r="B2437" s="338" t="s">
        <v>2979</v>
      </c>
      <c r="C2437" s="337" t="s">
        <v>172</v>
      </c>
      <c r="D2437" s="339">
        <v>7.36</v>
      </c>
    </row>
    <row r="2438" spans="1:4" ht="54">
      <c r="A2438" s="337">
        <v>91869</v>
      </c>
      <c r="B2438" s="338" t="s">
        <v>2980</v>
      </c>
      <c r="C2438" s="337" t="s">
        <v>172</v>
      </c>
      <c r="D2438" s="339">
        <v>9.3699999999999992</v>
      </c>
    </row>
    <row r="2439" spans="1:4" ht="54">
      <c r="A2439" s="337">
        <v>91870</v>
      </c>
      <c r="B2439" s="338" t="s">
        <v>2981</v>
      </c>
      <c r="C2439" s="337" t="s">
        <v>172</v>
      </c>
      <c r="D2439" s="339">
        <v>6.59</v>
      </c>
    </row>
    <row r="2440" spans="1:4" ht="54">
      <c r="A2440" s="337">
        <v>91871</v>
      </c>
      <c r="B2440" s="338" t="s">
        <v>2982</v>
      </c>
      <c r="C2440" s="337" t="s">
        <v>172</v>
      </c>
      <c r="D2440" s="339">
        <v>7.59</v>
      </c>
    </row>
    <row r="2441" spans="1:4" ht="54">
      <c r="A2441" s="337">
        <v>91872</v>
      </c>
      <c r="B2441" s="338" t="s">
        <v>2983</v>
      </c>
      <c r="C2441" s="337" t="s">
        <v>172</v>
      </c>
      <c r="D2441" s="339">
        <v>9.56</v>
      </c>
    </row>
    <row r="2442" spans="1:4" ht="54">
      <c r="A2442" s="337">
        <v>91873</v>
      </c>
      <c r="B2442" s="338" t="s">
        <v>2984</v>
      </c>
      <c r="C2442" s="337" t="s">
        <v>172</v>
      </c>
      <c r="D2442" s="339">
        <v>11.52</v>
      </c>
    </row>
    <row r="2443" spans="1:4" ht="40.5">
      <c r="A2443" s="337">
        <v>93008</v>
      </c>
      <c r="B2443" s="338" t="s">
        <v>2985</v>
      </c>
      <c r="C2443" s="337" t="s">
        <v>172</v>
      </c>
      <c r="D2443" s="339">
        <v>8.81</v>
      </c>
    </row>
    <row r="2444" spans="1:4" ht="40.5">
      <c r="A2444" s="337">
        <v>93009</v>
      </c>
      <c r="B2444" s="338" t="s">
        <v>2986</v>
      </c>
      <c r="C2444" s="337" t="s">
        <v>172</v>
      </c>
      <c r="D2444" s="339">
        <v>12.67</v>
      </c>
    </row>
    <row r="2445" spans="1:4" ht="40.5">
      <c r="A2445" s="337">
        <v>93010</v>
      </c>
      <c r="B2445" s="338" t="s">
        <v>2987</v>
      </c>
      <c r="C2445" s="337" t="s">
        <v>172</v>
      </c>
      <c r="D2445" s="339">
        <v>17.37</v>
      </c>
    </row>
    <row r="2446" spans="1:4" ht="40.5">
      <c r="A2446" s="337">
        <v>93011</v>
      </c>
      <c r="B2446" s="338" t="s">
        <v>2988</v>
      </c>
      <c r="C2446" s="337" t="s">
        <v>172</v>
      </c>
      <c r="D2446" s="339">
        <v>21.07</v>
      </c>
    </row>
    <row r="2447" spans="1:4" ht="40.5">
      <c r="A2447" s="337">
        <v>93012</v>
      </c>
      <c r="B2447" s="338" t="s">
        <v>2989</v>
      </c>
      <c r="C2447" s="337" t="s">
        <v>172</v>
      </c>
      <c r="D2447" s="339">
        <v>31.39</v>
      </c>
    </row>
    <row r="2448" spans="1:4" ht="40.5">
      <c r="A2448" s="337">
        <v>95726</v>
      </c>
      <c r="B2448" s="338" t="s">
        <v>2990</v>
      </c>
      <c r="C2448" s="337" t="s">
        <v>172</v>
      </c>
      <c r="D2448" s="339">
        <v>4.05</v>
      </c>
    </row>
    <row r="2449" spans="1:4" ht="40.5">
      <c r="A2449" s="337">
        <v>95727</v>
      </c>
      <c r="B2449" s="338" t="s">
        <v>2991</v>
      </c>
      <c r="C2449" s="337" t="s">
        <v>172</v>
      </c>
      <c r="D2449" s="339">
        <v>4.57</v>
      </c>
    </row>
    <row r="2450" spans="1:4" ht="40.5">
      <c r="A2450" s="337">
        <v>95728</v>
      </c>
      <c r="B2450" s="338" t="s">
        <v>2992</v>
      </c>
      <c r="C2450" s="337" t="s">
        <v>172</v>
      </c>
      <c r="D2450" s="339">
        <v>5.63</v>
      </c>
    </row>
    <row r="2451" spans="1:4" ht="40.5">
      <c r="A2451" s="337">
        <v>95729</v>
      </c>
      <c r="B2451" s="338" t="s">
        <v>2993</v>
      </c>
      <c r="C2451" s="337" t="s">
        <v>172</v>
      </c>
      <c r="D2451" s="339">
        <v>5.43</v>
      </c>
    </row>
    <row r="2452" spans="1:4" ht="54">
      <c r="A2452" s="337">
        <v>95730</v>
      </c>
      <c r="B2452" s="338" t="s">
        <v>2994</v>
      </c>
      <c r="C2452" s="337" t="s">
        <v>172</v>
      </c>
      <c r="D2452" s="339">
        <v>5.95</v>
      </c>
    </row>
    <row r="2453" spans="1:4" ht="40.5">
      <c r="A2453" s="337">
        <v>95731</v>
      </c>
      <c r="B2453" s="338" t="s">
        <v>2995</v>
      </c>
      <c r="C2453" s="337" t="s">
        <v>172</v>
      </c>
      <c r="D2453" s="339">
        <v>7.01</v>
      </c>
    </row>
    <row r="2454" spans="1:4" ht="54">
      <c r="A2454" s="337">
        <v>95732</v>
      </c>
      <c r="B2454" s="338" t="s">
        <v>2996</v>
      </c>
      <c r="C2454" s="337" t="s">
        <v>474</v>
      </c>
      <c r="D2454" s="339">
        <v>2.97</v>
      </c>
    </row>
    <row r="2455" spans="1:4" ht="54">
      <c r="A2455" s="337">
        <v>95745</v>
      </c>
      <c r="B2455" s="338" t="s">
        <v>2997</v>
      </c>
      <c r="C2455" s="337" t="s">
        <v>172</v>
      </c>
      <c r="D2455" s="339">
        <v>18.010000000000002</v>
      </c>
    </row>
    <row r="2456" spans="1:4" ht="54">
      <c r="A2456" s="337">
        <v>95746</v>
      </c>
      <c r="B2456" s="338" t="s">
        <v>2998</v>
      </c>
      <c r="C2456" s="337" t="s">
        <v>172</v>
      </c>
      <c r="D2456" s="339">
        <v>22.52</v>
      </c>
    </row>
    <row r="2457" spans="1:4" ht="54">
      <c r="A2457" s="337">
        <v>95747</v>
      </c>
      <c r="B2457" s="338" t="s">
        <v>2999</v>
      </c>
      <c r="C2457" s="337" t="s">
        <v>172</v>
      </c>
      <c r="D2457" s="339">
        <v>38.29</v>
      </c>
    </row>
    <row r="2458" spans="1:4" ht="54">
      <c r="A2458" s="337">
        <v>95748</v>
      </c>
      <c r="B2458" s="338" t="s">
        <v>3000</v>
      </c>
      <c r="C2458" s="337" t="s">
        <v>172</v>
      </c>
      <c r="D2458" s="339">
        <v>41.01</v>
      </c>
    </row>
    <row r="2459" spans="1:4" ht="54">
      <c r="A2459" s="337">
        <v>95749</v>
      </c>
      <c r="B2459" s="338" t="s">
        <v>3001</v>
      </c>
      <c r="C2459" s="337" t="s">
        <v>172</v>
      </c>
      <c r="D2459" s="339">
        <v>22.49</v>
      </c>
    </row>
    <row r="2460" spans="1:4" ht="54">
      <c r="A2460" s="337">
        <v>95750</v>
      </c>
      <c r="B2460" s="338" t="s">
        <v>3002</v>
      </c>
      <c r="C2460" s="337" t="s">
        <v>172</v>
      </c>
      <c r="D2460" s="339">
        <v>26.9</v>
      </c>
    </row>
    <row r="2461" spans="1:4" ht="54">
      <c r="A2461" s="337">
        <v>95751</v>
      </c>
      <c r="B2461" s="338" t="s">
        <v>3003</v>
      </c>
      <c r="C2461" s="337" t="s">
        <v>172</v>
      </c>
      <c r="D2461" s="339">
        <v>42.55</v>
      </c>
    </row>
    <row r="2462" spans="1:4" ht="54">
      <c r="A2462" s="337">
        <v>95752</v>
      </c>
      <c r="B2462" s="338" t="s">
        <v>3004</v>
      </c>
      <c r="C2462" s="337" t="s">
        <v>172</v>
      </c>
      <c r="D2462" s="339">
        <v>45.1</v>
      </c>
    </row>
    <row r="2463" spans="1:4" ht="27">
      <c r="A2463" s="337">
        <v>72259</v>
      </c>
      <c r="B2463" s="338" t="s">
        <v>3005</v>
      </c>
      <c r="C2463" s="337" t="s">
        <v>474</v>
      </c>
      <c r="D2463" s="339">
        <v>12.56</v>
      </c>
    </row>
    <row r="2464" spans="1:4" ht="27">
      <c r="A2464" s="337">
        <v>72260</v>
      </c>
      <c r="B2464" s="338" t="s">
        <v>3006</v>
      </c>
      <c r="C2464" s="337" t="s">
        <v>474</v>
      </c>
      <c r="D2464" s="339">
        <v>12.5</v>
      </c>
    </row>
    <row r="2465" spans="1:4" ht="27">
      <c r="A2465" s="337">
        <v>72261</v>
      </c>
      <c r="B2465" s="338" t="s">
        <v>3007</v>
      </c>
      <c r="C2465" s="337" t="s">
        <v>474</v>
      </c>
      <c r="D2465" s="339">
        <v>13.25</v>
      </c>
    </row>
    <row r="2466" spans="1:4" ht="27">
      <c r="A2466" s="337">
        <v>72262</v>
      </c>
      <c r="B2466" s="338" t="s">
        <v>3008</v>
      </c>
      <c r="C2466" s="337" t="s">
        <v>474</v>
      </c>
      <c r="D2466" s="339">
        <v>13.31</v>
      </c>
    </row>
    <row r="2467" spans="1:4" ht="27">
      <c r="A2467" s="337">
        <v>72263</v>
      </c>
      <c r="B2467" s="338" t="s">
        <v>3009</v>
      </c>
      <c r="C2467" s="337" t="s">
        <v>474</v>
      </c>
      <c r="D2467" s="339">
        <v>17.89</v>
      </c>
    </row>
    <row r="2468" spans="1:4" ht="27">
      <c r="A2468" s="337">
        <v>72264</v>
      </c>
      <c r="B2468" s="338" t="s">
        <v>3010</v>
      </c>
      <c r="C2468" s="337" t="s">
        <v>474</v>
      </c>
      <c r="D2468" s="339">
        <v>18.05</v>
      </c>
    </row>
    <row r="2469" spans="1:4" ht="27">
      <c r="A2469" s="337">
        <v>72265</v>
      </c>
      <c r="B2469" s="338" t="s">
        <v>3011</v>
      </c>
      <c r="C2469" s="337" t="s">
        <v>474</v>
      </c>
      <c r="D2469" s="339">
        <v>21.93</v>
      </c>
    </row>
    <row r="2470" spans="1:4" ht="27">
      <c r="A2470" s="337">
        <v>72266</v>
      </c>
      <c r="B2470" s="338" t="s">
        <v>3012</v>
      </c>
      <c r="C2470" s="337" t="s">
        <v>474</v>
      </c>
      <c r="D2470" s="339">
        <v>29.51</v>
      </c>
    </row>
    <row r="2471" spans="1:4" ht="27">
      <c r="A2471" s="337">
        <v>72267</v>
      </c>
      <c r="B2471" s="338" t="s">
        <v>3013</v>
      </c>
      <c r="C2471" s="337" t="s">
        <v>474</v>
      </c>
      <c r="D2471" s="339">
        <v>29.78</v>
      </c>
    </row>
    <row r="2472" spans="1:4" ht="27">
      <c r="A2472" s="337">
        <v>72268</v>
      </c>
      <c r="B2472" s="338" t="s">
        <v>3014</v>
      </c>
      <c r="C2472" s="337" t="s">
        <v>474</v>
      </c>
      <c r="D2472" s="339">
        <v>31.05</v>
      </c>
    </row>
    <row r="2473" spans="1:4" ht="27">
      <c r="A2473" s="337">
        <v>72269</v>
      </c>
      <c r="B2473" s="338" t="s">
        <v>3015</v>
      </c>
      <c r="C2473" s="337" t="s">
        <v>474</v>
      </c>
      <c r="D2473" s="339">
        <v>35.79</v>
      </c>
    </row>
    <row r="2474" spans="1:4" ht="27">
      <c r="A2474" s="337">
        <v>72270</v>
      </c>
      <c r="B2474" s="338" t="s">
        <v>3016</v>
      </c>
      <c r="C2474" s="337" t="s">
        <v>474</v>
      </c>
      <c r="D2474" s="339">
        <v>44.7</v>
      </c>
    </row>
    <row r="2475" spans="1:4" ht="40.5">
      <c r="A2475" s="337">
        <v>72271</v>
      </c>
      <c r="B2475" s="338" t="s">
        <v>3017</v>
      </c>
      <c r="C2475" s="337" t="s">
        <v>474</v>
      </c>
      <c r="D2475" s="339">
        <v>10.47</v>
      </c>
    </row>
    <row r="2476" spans="1:4" ht="40.5">
      <c r="A2476" s="337">
        <v>72272</v>
      </c>
      <c r="B2476" s="338" t="s">
        <v>3018</v>
      </c>
      <c r="C2476" s="337" t="s">
        <v>474</v>
      </c>
      <c r="D2476" s="339">
        <v>11.75</v>
      </c>
    </row>
    <row r="2477" spans="1:4" ht="27">
      <c r="A2477" s="337" t="s">
        <v>3019</v>
      </c>
      <c r="B2477" s="338" t="s">
        <v>3020</v>
      </c>
      <c r="C2477" s="337" t="s">
        <v>474</v>
      </c>
      <c r="D2477" s="339">
        <v>30.95</v>
      </c>
    </row>
    <row r="2478" spans="1:4" ht="27">
      <c r="A2478" s="337" t="s">
        <v>3021</v>
      </c>
      <c r="B2478" s="338" t="s">
        <v>3022</v>
      </c>
      <c r="C2478" s="337" t="s">
        <v>474</v>
      </c>
      <c r="D2478" s="339">
        <v>48.01</v>
      </c>
    </row>
    <row r="2479" spans="1:4" ht="54">
      <c r="A2479" s="337" t="s">
        <v>3023</v>
      </c>
      <c r="B2479" s="338" t="s">
        <v>3024</v>
      </c>
      <c r="C2479" s="337" t="s">
        <v>474</v>
      </c>
      <c r="D2479" s="339">
        <v>115.29</v>
      </c>
    </row>
    <row r="2480" spans="1:4" ht="40.5">
      <c r="A2480" s="337" t="s">
        <v>3025</v>
      </c>
      <c r="B2480" s="338" t="s">
        <v>3026</v>
      </c>
      <c r="C2480" s="337" t="s">
        <v>474</v>
      </c>
      <c r="D2480" s="339">
        <v>19.05</v>
      </c>
    </row>
    <row r="2481" spans="1:4" ht="40.5">
      <c r="A2481" s="337">
        <v>83377</v>
      </c>
      <c r="B2481" s="338" t="s">
        <v>3027</v>
      </c>
      <c r="C2481" s="337" t="s">
        <v>474</v>
      </c>
      <c r="D2481" s="339">
        <v>9.7899999999999991</v>
      </c>
    </row>
    <row r="2482" spans="1:4" ht="54">
      <c r="A2482" s="337">
        <v>91874</v>
      </c>
      <c r="B2482" s="338" t="s">
        <v>3028</v>
      </c>
      <c r="C2482" s="337" t="s">
        <v>474</v>
      </c>
      <c r="D2482" s="339">
        <v>3.24</v>
      </c>
    </row>
    <row r="2483" spans="1:4" ht="54">
      <c r="A2483" s="337">
        <v>91875</v>
      </c>
      <c r="B2483" s="338" t="s">
        <v>3029</v>
      </c>
      <c r="C2483" s="337" t="s">
        <v>474</v>
      </c>
      <c r="D2483" s="339">
        <v>4.28</v>
      </c>
    </row>
    <row r="2484" spans="1:4" ht="54">
      <c r="A2484" s="337">
        <v>91876</v>
      </c>
      <c r="B2484" s="338" t="s">
        <v>3030</v>
      </c>
      <c r="C2484" s="337" t="s">
        <v>474</v>
      </c>
      <c r="D2484" s="339">
        <v>5.66</v>
      </c>
    </row>
    <row r="2485" spans="1:4" ht="54">
      <c r="A2485" s="337">
        <v>91877</v>
      </c>
      <c r="B2485" s="338" t="s">
        <v>3031</v>
      </c>
      <c r="C2485" s="337" t="s">
        <v>474</v>
      </c>
      <c r="D2485" s="339">
        <v>7.5</v>
      </c>
    </row>
    <row r="2486" spans="1:4" ht="54">
      <c r="A2486" s="337">
        <v>91878</v>
      </c>
      <c r="B2486" s="338" t="s">
        <v>3032</v>
      </c>
      <c r="C2486" s="337" t="s">
        <v>474</v>
      </c>
      <c r="D2486" s="339">
        <v>4.18</v>
      </c>
    </row>
    <row r="2487" spans="1:4" ht="54">
      <c r="A2487" s="337">
        <v>91879</v>
      </c>
      <c r="B2487" s="338" t="s">
        <v>3033</v>
      </c>
      <c r="C2487" s="337" t="s">
        <v>474</v>
      </c>
      <c r="D2487" s="339">
        <v>5.19</v>
      </c>
    </row>
    <row r="2488" spans="1:4" ht="54">
      <c r="A2488" s="337">
        <v>91880</v>
      </c>
      <c r="B2488" s="338" t="s">
        <v>3034</v>
      </c>
      <c r="C2488" s="337" t="s">
        <v>474</v>
      </c>
      <c r="D2488" s="339">
        <v>6.6</v>
      </c>
    </row>
    <row r="2489" spans="1:4" ht="54">
      <c r="A2489" s="337">
        <v>91881</v>
      </c>
      <c r="B2489" s="338" t="s">
        <v>3035</v>
      </c>
      <c r="C2489" s="337" t="s">
        <v>474</v>
      </c>
      <c r="D2489" s="339">
        <v>8.44</v>
      </c>
    </row>
    <row r="2490" spans="1:4" ht="54">
      <c r="A2490" s="337">
        <v>91882</v>
      </c>
      <c r="B2490" s="338" t="s">
        <v>3036</v>
      </c>
      <c r="C2490" s="337" t="s">
        <v>474</v>
      </c>
      <c r="D2490" s="339">
        <v>5.18</v>
      </c>
    </row>
    <row r="2491" spans="1:4" ht="54">
      <c r="A2491" s="337">
        <v>91884</v>
      </c>
      <c r="B2491" s="338" t="s">
        <v>3037</v>
      </c>
      <c r="C2491" s="337" t="s">
        <v>474</v>
      </c>
      <c r="D2491" s="339">
        <v>5.97</v>
      </c>
    </row>
    <row r="2492" spans="1:4" ht="54">
      <c r="A2492" s="337">
        <v>91885</v>
      </c>
      <c r="B2492" s="338" t="s">
        <v>3038</v>
      </c>
      <c r="C2492" s="337" t="s">
        <v>474</v>
      </c>
      <c r="D2492" s="339">
        <v>7.05</v>
      </c>
    </row>
    <row r="2493" spans="1:4" ht="54">
      <c r="A2493" s="337">
        <v>91886</v>
      </c>
      <c r="B2493" s="338" t="s">
        <v>3039</v>
      </c>
      <c r="C2493" s="337" t="s">
        <v>474</v>
      </c>
      <c r="D2493" s="339">
        <v>8.5399999999999991</v>
      </c>
    </row>
    <row r="2494" spans="1:4" ht="54">
      <c r="A2494" s="337">
        <v>91887</v>
      </c>
      <c r="B2494" s="338" t="s">
        <v>3040</v>
      </c>
      <c r="C2494" s="337" t="s">
        <v>474</v>
      </c>
      <c r="D2494" s="339">
        <v>5.94</v>
      </c>
    </row>
    <row r="2495" spans="1:4" ht="54">
      <c r="A2495" s="337">
        <v>91889</v>
      </c>
      <c r="B2495" s="338" t="s">
        <v>3041</v>
      </c>
      <c r="C2495" s="337" t="s">
        <v>474</v>
      </c>
      <c r="D2495" s="339">
        <v>5.73</v>
      </c>
    </row>
    <row r="2496" spans="1:4" ht="54">
      <c r="A2496" s="337">
        <v>91890</v>
      </c>
      <c r="B2496" s="338" t="s">
        <v>3042</v>
      </c>
      <c r="C2496" s="337" t="s">
        <v>474</v>
      </c>
      <c r="D2496" s="339">
        <v>7.1</v>
      </c>
    </row>
    <row r="2497" spans="1:4" ht="54">
      <c r="A2497" s="337">
        <v>91892</v>
      </c>
      <c r="B2497" s="338" t="s">
        <v>3043</v>
      </c>
      <c r="C2497" s="337" t="s">
        <v>474</v>
      </c>
      <c r="D2497" s="339">
        <v>8.48</v>
      </c>
    </row>
    <row r="2498" spans="1:4" ht="54">
      <c r="A2498" s="337">
        <v>91893</v>
      </c>
      <c r="B2498" s="338" t="s">
        <v>3044</v>
      </c>
      <c r="C2498" s="337" t="s">
        <v>474</v>
      </c>
      <c r="D2498" s="339">
        <v>9.67</v>
      </c>
    </row>
    <row r="2499" spans="1:4" ht="54">
      <c r="A2499" s="337">
        <v>91896</v>
      </c>
      <c r="B2499" s="338" t="s">
        <v>3045</v>
      </c>
      <c r="C2499" s="337" t="s">
        <v>474</v>
      </c>
      <c r="D2499" s="339">
        <v>11.84</v>
      </c>
    </row>
    <row r="2500" spans="1:4" ht="54">
      <c r="A2500" s="337">
        <v>91898</v>
      </c>
      <c r="B2500" s="338" t="s">
        <v>3046</v>
      </c>
      <c r="C2500" s="337" t="s">
        <v>474</v>
      </c>
      <c r="D2500" s="339">
        <v>13.34</v>
      </c>
    </row>
    <row r="2501" spans="1:4" ht="54">
      <c r="A2501" s="337">
        <v>91899</v>
      </c>
      <c r="B2501" s="338" t="s">
        <v>3047</v>
      </c>
      <c r="C2501" s="337" t="s">
        <v>474</v>
      </c>
      <c r="D2501" s="339">
        <v>7.3</v>
      </c>
    </row>
    <row r="2502" spans="1:4" ht="54">
      <c r="A2502" s="337">
        <v>91901</v>
      </c>
      <c r="B2502" s="338" t="s">
        <v>3048</v>
      </c>
      <c r="C2502" s="337" t="s">
        <v>474</v>
      </c>
      <c r="D2502" s="339">
        <v>7.09</v>
      </c>
    </row>
    <row r="2503" spans="1:4" ht="54">
      <c r="A2503" s="337">
        <v>91902</v>
      </c>
      <c r="B2503" s="338" t="s">
        <v>3049</v>
      </c>
      <c r="C2503" s="337" t="s">
        <v>474</v>
      </c>
      <c r="D2503" s="339">
        <v>8.4600000000000009</v>
      </c>
    </row>
    <row r="2504" spans="1:4" ht="54">
      <c r="A2504" s="337">
        <v>91904</v>
      </c>
      <c r="B2504" s="338" t="s">
        <v>3050</v>
      </c>
      <c r="C2504" s="337" t="s">
        <v>474</v>
      </c>
      <c r="D2504" s="339">
        <v>9.84</v>
      </c>
    </row>
    <row r="2505" spans="1:4" ht="54">
      <c r="A2505" s="337">
        <v>91905</v>
      </c>
      <c r="B2505" s="338" t="s">
        <v>3051</v>
      </c>
      <c r="C2505" s="337" t="s">
        <v>474</v>
      </c>
      <c r="D2505" s="339">
        <v>11.04</v>
      </c>
    </row>
    <row r="2506" spans="1:4" ht="54">
      <c r="A2506" s="337">
        <v>91908</v>
      </c>
      <c r="B2506" s="338" t="s">
        <v>3052</v>
      </c>
      <c r="C2506" s="337" t="s">
        <v>474</v>
      </c>
      <c r="D2506" s="339">
        <v>13.23</v>
      </c>
    </row>
    <row r="2507" spans="1:4" ht="54">
      <c r="A2507" s="337">
        <v>91910</v>
      </c>
      <c r="B2507" s="338" t="s">
        <v>3053</v>
      </c>
      <c r="C2507" s="337" t="s">
        <v>474</v>
      </c>
      <c r="D2507" s="339">
        <v>14.73</v>
      </c>
    </row>
    <row r="2508" spans="1:4" ht="67.5">
      <c r="A2508" s="337">
        <v>91911</v>
      </c>
      <c r="B2508" s="338" t="s">
        <v>3054</v>
      </c>
      <c r="C2508" s="337" t="s">
        <v>474</v>
      </c>
      <c r="D2508" s="339">
        <v>8.86</v>
      </c>
    </row>
    <row r="2509" spans="1:4" ht="67.5">
      <c r="A2509" s="337">
        <v>91913</v>
      </c>
      <c r="B2509" s="338" t="s">
        <v>3055</v>
      </c>
      <c r="C2509" s="337" t="s">
        <v>474</v>
      </c>
      <c r="D2509" s="339">
        <v>8.65</v>
      </c>
    </row>
    <row r="2510" spans="1:4" ht="67.5">
      <c r="A2510" s="337">
        <v>91914</v>
      </c>
      <c r="B2510" s="338" t="s">
        <v>3056</v>
      </c>
      <c r="C2510" s="337" t="s">
        <v>474</v>
      </c>
      <c r="D2510" s="339">
        <v>9.66</v>
      </c>
    </row>
    <row r="2511" spans="1:4" ht="67.5">
      <c r="A2511" s="337">
        <v>91916</v>
      </c>
      <c r="B2511" s="338" t="s">
        <v>3057</v>
      </c>
      <c r="C2511" s="337" t="s">
        <v>474</v>
      </c>
      <c r="D2511" s="339">
        <v>11.04</v>
      </c>
    </row>
    <row r="2512" spans="1:4" ht="54">
      <c r="A2512" s="337">
        <v>91917</v>
      </c>
      <c r="B2512" s="338" t="s">
        <v>3058</v>
      </c>
      <c r="C2512" s="337" t="s">
        <v>474</v>
      </c>
      <c r="D2512" s="339">
        <v>11.75</v>
      </c>
    </row>
    <row r="2513" spans="1:4" ht="67.5">
      <c r="A2513" s="337">
        <v>91920</v>
      </c>
      <c r="B2513" s="338" t="s">
        <v>3059</v>
      </c>
      <c r="C2513" s="337" t="s">
        <v>474</v>
      </c>
      <c r="D2513" s="339">
        <v>13.39</v>
      </c>
    </row>
    <row r="2514" spans="1:4" ht="67.5">
      <c r="A2514" s="337">
        <v>91922</v>
      </c>
      <c r="B2514" s="338" t="s">
        <v>3060</v>
      </c>
      <c r="C2514" s="337" t="s">
        <v>474</v>
      </c>
      <c r="D2514" s="339">
        <v>14.89</v>
      </c>
    </row>
    <row r="2515" spans="1:4" ht="40.5">
      <c r="A2515" s="337">
        <v>93013</v>
      </c>
      <c r="B2515" s="338" t="s">
        <v>3061</v>
      </c>
      <c r="C2515" s="337" t="s">
        <v>474</v>
      </c>
      <c r="D2515" s="339">
        <v>9.73</v>
      </c>
    </row>
    <row r="2516" spans="1:4" ht="40.5">
      <c r="A2516" s="337">
        <v>93014</v>
      </c>
      <c r="B2516" s="338" t="s">
        <v>3062</v>
      </c>
      <c r="C2516" s="337" t="s">
        <v>474</v>
      </c>
      <c r="D2516" s="339">
        <v>11.96</v>
      </c>
    </row>
    <row r="2517" spans="1:4" ht="40.5">
      <c r="A2517" s="337">
        <v>93015</v>
      </c>
      <c r="B2517" s="338" t="s">
        <v>3063</v>
      </c>
      <c r="C2517" s="337" t="s">
        <v>474</v>
      </c>
      <c r="D2517" s="339">
        <v>17.98</v>
      </c>
    </row>
    <row r="2518" spans="1:4" ht="40.5">
      <c r="A2518" s="337">
        <v>93016</v>
      </c>
      <c r="B2518" s="338" t="s">
        <v>3064</v>
      </c>
      <c r="C2518" s="337" t="s">
        <v>474</v>
      </c>
      <c r="D2518" s="339">
        <v>21.83</v>
      </c>
    </row>
    <row r="2519" spans="1:4" ht="40.5">
      <c r="A2519" s="337">
        <v>93017</v>
      </c>
      <c r="B2519" s="338" t="s">
        <v>3065</v>
      </c>
      <c r="C2519" s="337" t="s">
        <v>474</v>
      </c>
      <c r="D2519" s="339">
        <v>32.68</v>
      </c>
    </row>
    <row r="2520" spans="1:4" ht="40.5">
      <c r="A2520" s="337">
        <v>93018</v>
      </c>
      <c r="B2520" s="338" t="s">
        <v>3066</v>
      </c>
      <c r="C2520" s="337" t="s">
        <v>474</v>
      </c>
      <c r="D2520" s="339">
        <v>14.86</v>
      </c>
    </row>
    <row r="2521" spans="1:4" ht="40.5">
      <c r="A2521" s="337">
        <v>93020</v>
      </c>
      <c r="B2521" s="338" t="s">
        <v>3067</v>
      </c>
      <c r="C2521" s="337" t="s">
        <v>474</v>
      </c>
      <c r="D2521" s="339">
        <v>19.010000000000002</v>
      </c>
    </row>
    <row r="2522" spans="1:4" ht="40.5">
      <c r="A2522" s="337">
        <v>93022</v>
      </c>
      <c r="B2522" s="338" t="s">
        <v>3068</v>
      </c>
      <c r="C2522" s="337" t="s">
        <v>474</v>
      </c>
      <c r="D2522" s="339">
        <v>31.51</v>
      </c>
    </row>
    <row r="2523" spans="1:4" ht="40.5">
      <c r="A2523" s="337">
        <v>93024</v>
      </c>
      <c r="B2523" s="338" t="s">
        <v>3069</v>
      </c>
      <c r="C2523" s="337" t="s">
        <v>474</v>
      </c>
      <c r="D2523" s="339">
        <v>33.15</v>
      </c>
    </row>
    <row r="2524" spans="1:4" ht="40.5">
      <c r="A2524" s="337">
        <v>93026</v>
      </c>
      <c r="B2524" s="338" t="s">
        <v>3070</v>
      </c>
      <c r="C2524" s="337" t="s">
        <v>474</v>
      </c>
      <c r="D2524" s="339">
        <v>53.93</v>
      </c>
    </row>
    <row r="2525" spans="1:4" ht="54">
      <c r="A2525" s="337">
        <v>95733</v>
      </c>
      <c r="B2525" s="338" t="s">
        <v>3071</v>
      </c>
      <c r="C2525" s="337" t="s">
        <v>474</v>
      </c>
      <c r="D2525" s="339">
        <v>3.88</v>
      </c>
    </row>
    <row r="2526" spans="1:4" ht="40.5">
      <c r="A2526" s="337">
        <v>95734</v>
      </c>
      <c r="B2526" s="338" t="s">
        <v>3072</v>
      </c>
      <c r="C2526" s="337" t="s">
        <v>474</v>
      </c>
      <c r="D2526" s="339">
        <v>5.17</v>
      </c>
    </row>
    <row r="2527" spans="1:4" ht="54">
      <c r="A2527" s="337">
        <v>95735</v>
      </c>
      <c r="B2527" s="338" t="s">
        <v>3073</v>
      </c>
      <c r="C2527" s="337" t="s">
        <v>474</v>
      </c>
      <c r="D2527" s="339">
        <v>4.41</v>
      </c>
    </row>
    <row r="2528" spans="1:4" ht="54">
      <c r="A2528" s="337">
        <v>95736</v>
      </c>
      <c r="B2528" s="338" t="s">
        <v>3074</v>
      </c>
      <c r="C2528" s="337" t="s">
        <v>474</v>
      </c>
      <c r="D2528" s="339">
        <v>5.16</v>
      </c>
    </row>
    <row r="2529" spans="1:4" ht="54">
      <c r="A2529" s="337">
        <v>95738</v>
      </c>
      <c r="B2529" s="338" t="s">
        <v>3075</v>
      </c>
      <c r="C2529" s="337" t="s">
        <v>474</v>
      </c>
      <c r="D2529" s="339">
        <v>6.2</v>
      </c>
    </row>
    <row r="2530" spans="1:4" ht="54">
      <c r="A2530" s="337">
        <v>95753</v>
      </c>
      <c r="B2530" s="338" t="s">
        <v>3076</v>
      </c>
      <c r="C2530" s="337" t="s">
        <v>474</v>
      </c>
      <c r="D2530" s="339">
        <v>5.42</v>
      </c>
    </row>
    <row r="2531" spans="1:4" ht="54">
      <c r="A2531" s="337">
        <v>95754</v>
      </c>
      <c r="B2531" s="338" t="s">
        <v>3077</v>
      </c>
      <c r="C2531" s="337" t="s">
        <v>474</v>
      </c>
      <c r="D2531" s="339">
        <v>6.72</v>
      </c>
    </row>
    <row r="2532" spans="1:4" ht="54">
      <c r="A2532" s="337">
        <v>95755</v>
      </c>
      <c r="B2532" s="338" t="s">
        <v>3078</v>
      </c>
      <c r="C2532" s="337" t="s">
        <v>474</v>
      </c>
      <c r="D2532" s="339">
        <v>9.89</v>
      </c>
    </row>
    <row r="2533" spans="1:4" ht="54">
      <c r="A2533" s="337">
        <v>95756</v>
      </c>
      <c r="B2533" s="338" t="s">
        <v>3079</v>
      </c>
      <c r="C2533" s="337" t="s">
        <v>474</v>
      </c>
      <c r="D2533" s="339">
        <v>13.29</v>
      </c>
    </row>
    <row r="2534" spans="1:4" ht="54">
      <c r="A2534" s="337">
        <v>95757</v>
      </c>
      <c r="B2534" s="338" t="s">
        <v>3080</v>
      </c>
      <c r="C2534" s="337" t="s">
        <v>474</v>
      </c>
      <c r="D2534" s="339">
        <v>7.92</v>
      </c>
    </row>
    <row r="2535" spans="1:4" ht="54">
      <c r="A2535" s="337">
        <v>95758</v>
      </c>
      <c r="B2535" s="338" t="s">
        <v>3081</v>
      </c>
      <c r="C2535" s="337" t="s">
        <v>474</v>
      </c>
      <c r="D2535" s="339">
        <v>8.92</v>
      </c>
    </row>
    <row r="2536" spans="1:4" ht="54">
      <c r="A2536" s="337">
        <v>95759</v>
      </c>
      <c r="B2536" s="338" t="s">
        <v>3082</v>
      </c>
      <c r="C2536" s="337" t="s">
        <v>474</v>
      </c>
      <c r="D2536" s="339">
        <v>11.68</v>
      </c>
    </row>
    <row r="2537" spans="1:4" ht="54">
      <c r="A2537" s="337">
        <v>95760</v>
      </c>
      <c r="B2537" s="338" t="s">
        <v>3083</v>
      </c>
      <c r="C2537" s="337" t="s">
        <v>474</v>
      </c>
      <c r="D2537" s="339">
        <v>14.61</v>
      </c>
    </row>
    <row r="2538" spans="1:4" ht="27">
      <c r="A2538" s="337">
        <v>72250</v>
      </c>
      <c r="B2538" s="338" t="s">
        <v>3084</v>
      </c>
      <c r="C2538" s="337" t="s">
        <v>172</v>
      </c>
      <c r="D2538" s="339">
        <v>8.4499999999999993</v>
      </c>
    </row>
    <row r="2539" spans="1:4" ht="27">
      <c r="A2539" s="337">
        <v>72251</v>
      </c>
      <c r="B2539" s="338" t="s">
        <v>3085</v>
      </c>
      <c r="C2539" s="337" t="s">
        <v>172</v>
      </c>
      <c r="D2539" s="339">
        <v>12.52</v>
      </c>
    </row>
    <row r="2540" spans="1:4" ht="27">
      <c r="A2540" s="337">
        <v>72252</v>
      </c>
      <c r="B2540" s="338" t="s">
        <v>3086</v>
      </c>
      <c r="C2540" s="337" t="s">
        <v>172</v>
      </c>
      <c r="D2540" s="339">
        <v>18.350000000000001</v>
      </c>
    </row>
    <row r="2541" spans="1:4" ht="27">
      <c r="A2541" s="337">
        <v>72253</v>
      </c>
      <c r="B2541" s="338" t="s">
        <v>3087</v>
      </c>
      <c r="C2541" s="337" t="s">
        <v>172</v>
      </c>
      <c r="D2541" s="339">
        <v>24.54</v>
      </c>
    </row>
    <row r="2542" spans="1:4" ht="27">
      <c r="A2542" s="337">
        <v>72254</v>
      </c>
      <c r="B2542" s="338" t="s">
        <v>3088</v>
      </c>
      <c r="C2542" s="337" t="s">
        <v>172</v>
      </c>
      <c r="D2542" s="339">
        <v>34.76</v>
      </c>
    </row>
    <row r="2543" spans="1:4" ht="27">
      <c r="A2543" s="337">
        <v>72255</v>
      </c>
      <c r="B2543" s="338" t="s">
        <v>3089</v>
      </c>
      <c r="C2543" s="337" t="s">
        <v>172</v>
      </c>
      <c r="D2543" s="339">
        <v>45.85</v>
      </c>
    </row>
    <row r="2544" spans="1:4" ht="27">
      <c r="A2544" s="337">
        <v>72256</v>
      </c>
      <c r="B2544" s="338" t="s">
        <v>3090</v>
      </c>
      <c r="C2544" s="337" t="s">
        <v>172</v>
      </c>
      <c r="D2544" s="339">
        <v>60.72</v>
      </c>
    </row>
    <row r="2545" spans="1:4" ht="27">
      <c r="A2545" s="337">
        <v>72257</v>
      </c>
      <c r="B2545" s="338" t="s">
        <v>3091</v>
      </c>
      <c r="C2545" s="337" t="s">
        <v>172</v>
      </c>
      <c r="D2545" s="339">
        <v>79.19</v>
      </c>
    </row>
    <row r="2546" spans="1:4" ht="54">
      <c r="A2546" s="337">
        <v>91924</v>
      </c>
      <c r="B2546" s="338" t="s">
        <v>3092</v>
      </c>
      <c r="C2546" s="337" t="s">
        <v>172</v>
      </c>
      <c r="D2546" s="339">
        <v>1.71</v>
      </c>
    </row>
    <row r="2547" spans="1:4" ht="54">
      <c r="A2547" s="337">
        <v>91925</v>
      </c>
      <c r="B2547" s="338" t="s">
        <v>3093</v>
      </c>
      <c r="C2547" s="337" t="s">
        <v>172</v>
      </c>
      <c r="D2547" s="339">
        <v>2.41</v>
      </c>
    </row>
    <row r="2548" spans="1:4" ht="54">
      <c r="A2548" s="337">
        <v>91926</v>
      </c>
      <c r="B2548" s="338" t="s">
        <v>3094</v>
      </c>
      <c r="C2548" s="337" t="s">
        <v>172</v>
      </c>
      <c r="D2548" s="339">
        <v>2.5</v>
      </c>
    </row>
    <row r="2549" spans="1:4" ht="54">
      <c r="A2549" s="337">
        <v>91927</v>
      </c>
      <c r="B2549" s="338" t="s">
        <v>3095</v>
      </c>
      <c r="C2549" s="337" t="s">
        <v>172</v>
      </c>
      <c r="D2549" s="339">
        <v>3.23</v>
      </c>
    </row>
    <row r="2550" spans="1:4" ht="54">
      <c r="A2550" s="337">
        <v>91928</v>
      </c>
      <c r="B2550" s="338" t="s">
        <v>3096</v>
      </c>
      <c r="C2550" s="337" t="s">
        <v>172</v>
      </c>
      <c r="D2550" s="339">
        <v>4.01</v>
      </c>
    </row>
    <row r="2551" spans="1:4" ht="54">
      <c r="A2551" s="337">
        <v>91929</v>
      </c>
      <c r="B2551" s="338" t="s">
        <v>3097</v>
      </c>
      <c r="C2551" s="337" t="s">
        <v>172</v>
      </c>
      <c r="D2551" s="339">
        <v>4.53</v>
      </c>
    </row>
    <row r="2552" spans="1:4" ht="54">
      <c r="A2552" s="337">
        <v>91930</v>
      </c>
      <c r="B2552" s="338" t="s">
        <v>3098</v>
      </c>
      <c r="C2552" s="337" t="s">
        <v>172</v>
      </c>
      <c r="D2552" s="339">
        <v>5.48</v>
      </c>
    </row>
    <row r="2553" spans="1:4" ht="54">
      <c r="A2553" s="337">
        <v>91931</v>
      </c>
      <c r="B2553" s="338" t="s">
        <v>3099</v>
      </c>
      <c r="C2553" s="337" t="s">
        <v>172</v>
      </c>
      <c r="D2553" s="339">
        <v>6.1</v>
      </c>
    </row>
    <row r="2554" spans="1:4" ht="54">
      <c r="A2554" s="337">
        <v>91932</v>
      </c>
      <c r="B2554" s="338" t="s">
        <v>3100</v>
      </c>
      <c r="C2554" s="337" t="s">
        <v>172</v>
      </c>
      <c r="D2554" s="339">
        <v>8.99</v>
      </c>
    </row>
    <row r="2555" spans="1:4" ht="54">
      <c r="A2555" s="337">
        <v>91933</v>
      </c>
      <c r="B2555" s="338" t="s">
        <v>3101</v>
      </c>
      <c r="C2555" s="337" t="s">
        <v>172</v>
      </c>
      <c r="D2555" s="339">
        <v>9.57</v>
      </c>
    </row>
    <row r="2556" spans="1:4" ht="54">
      <c r="A2556" s="337">
        <v>91934</v>
      </c>
      <c r="B2556" s="338" t="s">
        <v>3102</v>
      </c>
      <c r="C2556" s="337" t="s">
        <v>172</v>
      </c>
      <c r="D2556" s="339">
        <v>13.72</v>
      </c>
    </row>
    <row r="2557" spans="1:4" ht="54">
      <c r="A2557" s="337">
        <v>91935</v>
      </c>
      <c r="B2557" s="338" t="s">
        <v>3103</v>
      </c>
      <c r="C2557" s="337" t="s">
        <v>172</v>
      </c>
      <c r="D2557" s="339">
        <v>14.56</v>
      </c>
    </row>
    <row r="2558" spans="1:4" ht="40.5">
      <c r="A2558" s="337">
        <v>92979</v>
      </c>
      <c r="B2558" s="338" t="s">
        <v>3104</v>
      </c>
      <c r="C2558" s="337" t="s">
        <v>172</v>
      </c>
      <c r="D2558" s="339">
        <v>5.89</v>
      </c>
    </row>
    <row r="2559" spans="1:4" ht="54">
      <c r="A2559" s="337">
        <v>92980</v>
      </c>
      <c r="B2559" s="338" t="s">
        <v>3105</v>
      </c>
      <c r="C2559" s="337" t="s">
        <v>172</v>
      </c>
      <c r="D2559" s="339">
        <v>6.4</v>
      </c>
    </row>
    <row r="2560" spans="1:4" ht="40.5">
      <c r="A2560" s="337">
        <v>92981</v>
      </c>
      <c r="B2560" s="338" t="s">
        <v>3106</v>
      </c>
      <c r="C2560" s="337" t="s">
        <v>172</v>
      </c>
      <c r="D2560" s="339">
        <v>9.0399999999999991</v>
      </c>
    </row>
    <row r="2561" spans="1:4" ht="54">
      <c r="A2561" s="337">
        <v>92982</v>
      </c>
      <c r="B2561" s="338" t="s">
        <v>3107</v>
      </c>
      <c r="C2561" s="337" t="s">
        <v>172</v>
      </c>
      <c r="D2561" s="339">
        <v>9.77</v>
      </c>
    </row>
    <row r="2562" spans="1:4" ht="40.5">
      <c r="A2562" s="337">
        <v>92983</v>
      </c>
      <c r="B2562" s="338" t="s">
        <v>3108</v>
      </c>
      <c r="C2562" s="337" t="s">
        <v>172</v>
      </c>
      <c r="D2562" s="339">
        <v>15.73</v>
      </c>
    </row>
    <row r="2563" spans="1:4" ht="54">
      <c r="A2563" s="337">
        <v>92984</v>
      </c>
      <c r="B2563" s="338" t="s">
        <v>3109</v>
      </c>
      <c r="C2563" s="337" t="s">
        <v>172</v>
      </c>
      <c r="D2563" s="339">
        <v>16.13</v>
      </c>
    </row>
    <row r="2564" spans="1:4" ht="40.5">
      <c r="A2564" s="337">
        <v>92985</v>
      </c>
      <c r="B2564" s="338" t="s">
        <v>3110</v>
      </c>
      <c r="C2564" s="337" t="s">
        <v>172</v>
      </c>
      <c r="D2564" s="339">
        <v>21.14</v>
      </c>
    </row>
    <row r="2565" spans="1:4" ht="54">
      <c r="A2565" s="337">
        <v>92986</v>
      </c>
      <c r="B2565" s="338" t="s">
        <v>3111</v>
      </c>
      <c r="C2565" s="337" t="s">
        <v>172</v>
      </c>
      <c r="D2565" s="339">
        <v>21.75</v>
      </c>
    </row>
    <row r="2566" spans="1:4" ht="40.5">
      <c r="A2566" s="337">
        <v>92987</v>
      </c>
      <c r="B2566" s="338" t="s">
        <v>3112</v>
      </c>
      <c r="C2566" s="337" t="s">
        <v>172</v>
      </c>
      <c r="D2566" s="339">
        <v>30.36</v>
      </c>
    </row>
    <row r="2567" spans="1:4" ht="54">
      <c r="A2567" s="337">
        <v>92988</v>
      </c>
      <c r="B2567" s="338" t="s">
        <v>3113</v>
      </c>
      <c r="C2567" s="337" t="s">
        <v>172</v>
      </c>
      <c r="D2567" s="339">
        <v>30.44</v>
      </c>
    </row>
    <row r="2568" spans="1:4" ht="40.5">
      <c r="A2568" s="337">
        <v>92989</v>
      </c>
      <c r="B2568" s="338" t="s">
        <v>3114</v>
      </c>
      <c r="C2568" s="337" t="s">
        <v>172</v>
      </c>
      <c r="D2568" s="339">
        <v>42.14</v>
      </c>
    </row>
    <row r="2569" spans="1:4" ht="54">
      <c r="A2569" s="337">
        <v>92990</v>
      </c>
      <c r="B2569" s="338" t="s">
        <v>3115</v>
      </c>
      <c r="C2569" s="337" t="s">
        <v>172</v>
      </c>
      <c r="D2569" s="339">
        <v>41.66</v>
      </c>
    </row>
    <row r="2570" spans="1:4" ht="40.5">
      <c r="A2570" s="337">
        <v>92991</v>
      </c>
      <c r="B2570" s="338" t="s">
        <v>3116</v>
      </c>
      <c r="C2570" s="337" t="s">
        <v>172</v>
      </c>
      <c r="D2570" s="339">
        <v>54.93</v>
      </c>
    </row>
    <row r="2571" spans="1:4" ht="54">
      <c r="A2571" s="337">
        <v>92992</v>
      </c>
      <c r="B2571" s="338" t="s">
        <v>3117</v>
      </c>
      <c r="C2571" s="337" t="s">
        <v>172</v>
      </c>
      <c r="D2571" s="339">
        <v>54.97</v>
      </c>
    </row>
    <row r="2572" spans="1:4" ht="54">
      <c r="A2572" s="337">
        <v>92993</v>
      </c>
      <c r="B2572" s="338" t="s">
        <v>3118</v>
      </c>
      <c r="C2572" s="337" t="s">
        <v>172</v>
      </c>
      <c r="D2572" s="339">
        <v>70.37</v>
      </c>
    </row>
    <row r="2573" spans="1:4" ht="54">
      <c r="A2573" s="337">
        <v>92994</v>
      </c>
      <c r="B2573" s="338" t="s">
        <v>3119</v>
      </c>
      <c r="C2573" s="337" t="s">
        <v>172</v>
      </c>
      <c r="D2573" s="339">
        <v>71.06</v>
      </c>
    </row>
    <row r="2574" spans="1:4" ht="54">
      <c r="A2574" s="337">
        <v>92995</v>
      </c>
      <c r="B2574" s="338" t="s">
        <v>3120</v>
      </c>
      <c r="C2574" s="337" t="s">
        <v>172</v>
      </c>
      <c r="D2574" s="339">
        <v>87.52</v>
      </c>
    </row>
    <row r="2575" spans="1:4" ht="54">
      <c r="A2575" s="337">
        <v>92996</v>
      </c>
      <c r="B2575" s="338" t="s">
        <v>3121</v>
      </c>
      <c r="C2575" s="337" t="s">
        <v>172</v>
      </c>
      <c r="D2575" s="339">
        <v>87.77</v>
      </c>
    </row>
    <row r="2576" spans="1:4" ht="54">
      <c r="A2576" s="337">
        <v>92997</v>
      </c>
      <c r="B2576" s="338" t="s">
        <v>3122</v>
      </c>
      <c r="C2576" s="337" t="s">
        <v>172</v>
      </c>
      <c r="D2576" s="339">
        <v>106.31</v>
      </c>
    </row>
    <row r="2577" spans="1:4" ht="54">
      <c r="A2577" s="337">
        <v>92998</v>
      </c>
      <c r="B2577" s="338" t="s">
        <v>3123</v>
      </c>
      <c r="C2577" s="337" t="s">
        <v>172</v>
      </c>
      <c r="D2577" s="339">
        <v>107.33</v>
      </c>
    </row>
    <row r="2578" spans="1:4" ht="54">
      <c r="A2578" s="337">
        <v>92999</v>
      </c>
      <c r="B2578" s="338" t="s">
        <v>3124</v>
      </c>
      <c r="C2578" s="337" t="s">
        <v>172</v>
      </c>
      <c r="D2578" s="339">
        <v>139.96</v>
      </c>
    </row>
    <row r="2579" spans="1:4" ht="54">
      <c r="A2579" s="337">
        <v>93000</v>
      </c>
      <c r="B2579" s="338" t="s">
        <v>3125</v>
      </c>
      <c r="C2579" s="337" t="s">
        <v>172</v>
      </c>
      <c r="D2579" s="339">
        <v>140.81</v>
      </c>
    </row>
    <row r="2580" spans="1:4" ht="40.5">
      <c r="A2580" s="337">
        <v>93001</v>
      </c>
      <c r="B2580" s="338" t="s">
        <v>3126</v>
      </c>
      <c r="C2580" s="337" t="s">
        <v>172</v>
      </c>
      <c r="D2580" s="339">
        <v>170.89</v>
      </c>
    </row>
    <row r="2581" spans="1:4" ht="54">
      <c r="A2581" s="337">
        <v>93002</v>
      </c>
      <c r="B2581" s="338" t="s">
        <v>3127</v>
      </c>
      <c r="C2581" s="337" t="s">
        <v>172</v>
      </c>
      <c r="D2581" s="339">
        <v>175.61</v>
      </c>
    </row>
    <row r="2582" spans="1:4" ht="27">
      <c r="A2582" s="337">
        <v>83446</v>
      </c>
      <c r="B2582" s="338" t="s">
        <v>3128</v>
      </c>
      <c r="C2582" s="337" t="s">
        <v>474</v>
      </c>
      <c r="D2582" s="339">
        <v>142.61000000000001</v>
      </c>
    </row>
    <row r="2583" spans="1:4" ht="40.5">
      <c r="A2583" s="337">
        <v>91936</v>
      </c>
      <c r="B2583" s="338" t="s">
        <v>3129</v>
      </c>
      <c r="C2583" s="337" t="s">
        <v>474</v>
      </c>
      <c r="D2583" s="339">
        <v>8.91</v>
      </c>
    </row>
    <row r="2584" spans="1:4" ht="40.5">
      <c r="A2584" s="337">
        <v>91937</v>
      </c>
      <c r="B2584" s="338" t="s">
        <v>3130</v>
      </c>
      <c r="C2584" s="337" t="s">
        <v>474</v>
      </c>
      <c r="D2584" s="339">
        <v>7.59</v>
      </c>
    </row>
    <row r="2585" spans="1:4" ht="40.5">
      <c r="A2585" s="337">
        <v>91939</v>
      </c>
      <c r="B2585" s="338" t="s">
        <v>3131</v>
      </c>
      <c r="C2585" s="337" t="s">
        <v>474</v>
      </c>
      <c r="D2585" s="339">
        <v>18.84</v>
      </c>
    </row>
    <row r="2586" spans="1:4" ht="40.5">
      <c r="A2586" s="337">
        <v>91940</v>
      </c>
      <c r="B2586" s="338" t="s">
        <v>3132</v>
      </c>
      <c r="C2586" s="337" t="s">
        <v>474</v>
      </c>
      <c r="D2586" s="339">
        <v>10.029999999999999</v>
      </c>
    </row>
    <row r="2587" spans="1:4" ht="40.5">
      <c r="A2587" s="337">
        <v>91941</v>
      </c>
      <c r="B2587" s="338" t="s">
        <v>3133</v>
      </c>
      <c r="C2587" s="337" t="s">
        <v>474</v>
      </c>
      <c r="D2587" s="339">
        <v>6.72</v>
      </c>
    </row>
    <row r="2588" spans="1:4" ht="40.5">
      <c r="A2588" s="337">
        <v>91942</v>
      </c>
      <c r="B2588" s="338" t="s">
        <v>3134</v>
      </c>
      <c r="C2588" s="337" t="s">
        <v>474</v>
      </c>
      <c r="D2588" s="339">
        <v>23.1</v>
      </c>
    </row>
    <row r="2589" spans="1:4" ht="40.5">
      <c r="A2589" s="337">
        <v>91943</v>
      </c>
      <c r="B2589" s="338" t="s">
        <v>3135</v>
      </c>
      <c r="C2589" s="337" t="s">
        <v>474</v>
      </c>
      <c r="D2589" s="339">
        <v>12.96</v>
      </c>
    </row>
    <row r="2590" spans="1:4" ht="40.5">
      <c r="A2590" s="337">
        <v>91944</v>
      </c>
      <c r="B2590" s="338" t="s">
        <v>3136</v>
      </c>
      <c r="C2590" s="337" t="s">
        <v>474</v>
      </c>
      <c r="D2590" s="339">
        <v>9.17</v>
      </c>
    </row>
    <row r="2591" spans="1:4" ht="40.5">
      <c r="A2591" s="337">
        <v>92865</v>
      </c>
      <c r="B2591" s="338" t="s">
        <v>3137</v>
      </c>
      <c r="C2591" s="337" t="s">
        <v>474</v>
      </c>
      <c r="D2591" s="339">
        <v>7.5</v>
      </c>
    </row>
    <row r="2592" spans="1:4" ht="40.5">
      <c r="A2592" s="337">
        <v>92866</v>
      </c>
      <c r="B2592" s="338" t="s">
        <v>3138</v>
      </c>
      <c r="C2592" s="337" t="s">
        <v>474</v>
      </c>
      <c r="D2592" s="339">
        <v>6.1</v>
      </c>
    </row>
    <row r="2593" spans="1:4" ht="40.5">
      <c r="A2593" s="337">
        <v>92867</v>
      </c>
      <c r="B2593" s="338" t="s">
        <v>3139</v>
      </c>
      <c r="C2593" s="337" t="s">
        <v>474</v>
      </c>
      <c r="D2593" s="339">
        <v>18.55</v>
      </c>
    </row>
    <row r="2594" spans="1:4" ht="40.5">
      <c r="A2594" s="337">
        <v>92868</v>
      </c>
      <c r="B2594" s="338" t="s">
        <v>3140</v>
      </c>
      <c r="C2594" s="337" t="s">
        <v>474</v>
      </c>
      <c r="D2594" s="339">
        <v>9.74</v>
      </c>
    </row>
    <row r="2595" spans="1:4" ht="40.5">
      <c r="A2595" s="337">
        <v>92869</v>
      </c>
      <c r="B2595" s="338" t="s">
        <v>3141</v>
      </c>
      <c r="C2595" s="337" t="s">
        <v>474</v>
      </c>
      <c r="D2595" s="339">
        <v>6.43</v>
      </c>
    </row>
    <row r="2596" spans="1:4" ht="40.5">
      <c r="A2596" s="337">
        <v>92870</v>
      </c>
      <c r="B2596" s="338" t="s">
        <v>3142</v>
      </c>
      <c r="C2596" s="337" t="s">
        <v>474</v>
      </c>
      <c r="D2596" s="339">
        <v>22.69</v>
      </c>
    </row>
    <row r="2597" spans="1:4" ht="40.5">
      <c r="A2597" s="337">
        <v>92871</v>
      </c>
      <c r="B2597" s="338" t="s">
        <v>3143</v>
      </c>
      <c r="C2597" s="337" t="s">
        <v>474</v>
      </c>
      <c r="D2597" s="339">
        <v>12.55</v>
      </c>
    </row>
    <row r="2598" spans="1:4" ht="40.5">
      <c r="A2598" s="337">
        <v>92872</v>
      </c>
      <c r="B2598" s="338" t="s">
        <v>3144</v>
      </c>
      <c r="C2598" s="337" t="s">
        <v>474</v>
      </c>
      <c r="D2598" s="339">
        <v>8.76</v>
      </c>
    </row>
    <row r="2599" spans="1:4" ht="54">
      <c r="A2599" s="337">
        <v>95777</v>
      </c>
      <c r="B2599" s="338" t="s">
        <v>3145</v>
      </c>
      <c r="C2599" s="337" t="s">
        <v>474</v>
      </c>
      <c r="D2599" s="339">
        <v>18.239999999999998</v>
      </c>
    </row>
    <row r="2600" spans="1:4" ht="54">
      <c r="A2600" s="337">
        <v>95778</v>
      </c>
      <c r="B2600" s="338" t="s">
        <v>3146</v>
      </c>
      <c r="C2600" s="337" t="s">
        <v>474</v>
      </c>
      <c r="D2600" s="339">
        <v>18.649999999999999</v>
      </c>
    </row>
    <row r="2601" spans="1:4" ht="54">
      <c r="A2601" s="337">
        <v>95779</v>
      </c>
      <c r="B2601" s="338" t="s">
        <v>3147</v>
      </c>
      <c r="C2601" s="337" t="s">
        <v>474</v>
      </c>
      <c r="D2601" s="339">
        <v>17.29</v>
      </c>
    </row>
    <row r="2602" spans="1:4" ht="54">
      <c r="A2602" s="337">
        <v>95780</v>
      </c>
      <c r="B2602" s="338" t="s">
        <v>3148</v>
      </c>
      <c r="C2602" s="337" t="s">
        <v>474</v>
      </c>
      <c r="D2602" s="339">
        <v>20.57</v>
      </c>
    </row>
    <row r="2603" spans="1:4" ht="54">
      <c r="A2603" s="337">
        <v>95781</v>
      </c>
      <c r="B2603" s="338" t="s">
        <v>3149</v>
      </c>
      <c r="C2603" s="337" t="s">
        <v>474</v>
      </c>
      <c r="D2603" s="339">
        <v>20.87</v>
      </c>
    </row>
    <row r="2604" spans="1:4" ht="54">
      <c r="A2604" s="337">
        <v>95782</v>
      </c>
      <c r="B2604" s="338" t="s">
        <v>3150</v>
      </c>
      <c r="C2604" s="337" t="s">
        <v>474</v>
      </c>
      <c r="D2604" s="339">
        <v>21.66</v>
      </c>
    </row>
    <row r="2605" spans="1:4" ht="54">
      <c r="A2605" s="337">
        <v>95785</v>
      </c>
      <c r="B2605" s="338" t="s">
        <v>3151</v>
      </c>
      <c r="C2605" s="337" t="s">
        <v>474</v>
      </c>
      <c r="D2605" s="339">
        <v>24.47</v>
      </c>
    </row>
    <row r="2606" spans="1:4" ht="54">
      <c r="A2606" s="337">
        <v>95787</v>
      </c>
      <c r="B2606" s="338" t="s">
        <v>3152</v>
      </c>
      <c r="C2606" s="337" t="s">
        <v>474</v>
      </c>
      <c r="D2606" s="339">
        <v>18.559999999999999</v>
      </c>
    </row>
    <row r="2607" spans="1:4" ht="54">
      <c r="A2607" s="337">
        <v>95789</v>
      </c>
      <c r="B2607" s="338" t="s">
        <v>3153</v>
      </c>
      <c r="C2607" s="337" t="s">
        <v>474</v>
      </c>
      <c r="D2607" s="339">
        <v>22.66</v>
      </c>
    </row>
    <row r="2608" spans="1:4" ht="54">
      <c r="A2608" s="337">
        <v>95791</v>
      </c>
      <c r="B2608" s="338" t="s">
        <v>3154</v>
      </c>
      <c r="C2608" s="337" t="s">
        <v>474</v>
      </c>
      <c r="D2608" s="339">
        <v>28.76</v>
      </c>
    </row>
    <row r="2609" spans="1:4" ht="54">
      <c r="A2609" s="337">
        <v>95795</v>
      </c>
      <c r="B2609" s="338" t="s">
        <v>3155</v>
      </c>
      <c r="C2609" s="337" t="s">
        <v>474</v>
      </c>
      <c r="D2609" s="339">
        <v>21.42</v>
      </c>
    </row>
    <row r="2610" spans="1:4" ht="54">
      <c r="A2610" s="337">
        <v>95796</v>
      </c>
      <c r="B2610" s="338" t="s">
        <v>3156</v>
      </c>
      <c r="C2610" s="337" t="s">
        <v>474</v>
      </c>
      <c r="D2610" s="339">
        <v>26.65</v>
      </c>
    </row>
    <row r="2611" spans="1:4" ht="54">
      <c r="A2611" s="337">
        <v>95797</v>
      </c>
      <c r="B2611" s="338" t="s">
        <v>3157</v>
      </c>
      <c r="C2611" s="337" t="s">
        <v>474</v>
      </c>
      <c r="D2611" s="339">
        <v>33.450000000000003</v>
      </c>
    </row>
    <row r="2612" spans="1:4" ht="54">
      <c r="A2612" s="337">
        <v>95801</v>
      </c>
      <c r="B2612" s="338" t="s">
        <v>3158</v>
      </c>
      <c r="C2612" s="337" t="s">
        <v>474</v>
      </c>
      <c r="D2612" s="339">
        <v>25.56</v>
      </c>
    </row>
    <row r="2613" spans="1:4" ht="54">
      <c r="A2613" s="337">
        <v>95802</v>
      </c>
      <c r="B2613" s="338" t="s">
        <v>3159</v>
      </c>
      <c r="C2613" s="337" t="s">
        <v>474</v>
      </c>
      <c r="D2613" s="339">
        <v>28.45</v>
      </c>
    </row>
    <row r="2614" spans="1:4" ht="54">
      <c r="A2614" s="337">
        <v>95803</v>
      </c>
      <c r="B2614" s="338" t="s">
        <v>3160</v>
      </c>
      <c r="C2614" s="337" t="s">
        <v>474</v>
      </c>
      <c r="D2614" s="339">
        <v>37.15</v>
      </c>
    </row>
    <row r="2615" spans="1:4" ht="54">
      <c r="A2615" s="337">
        <v>95804</v>
      </c>
      <c r="B2615" s="338" t="s">
        <v>3161</v>
      </c>
      <c r="C2615" s="337" t="s">
        <v>474</v>
      </c>
      <c r="D2615" s="339">
        <v>16.579999999999998</v>
      </c>
    </row>
    <row r="2616" spans="1:4" ht="54">
      <c r="A2616" s="337">
        <v>95805</v>
      </c>
      <c r="B2616" s="338" t="s">
        <v>3162</v>
      </c>
      <c r="C2616" s="337" t="s">
        <v>474</v>
      </c>
      <c r="D2616" s="339">
        <v>16.73</v>
      </c>
    </row>
    <row r="2617" spans="1:4" ht="54">
      <c r="A2617" s="337">
        <v>95806</v>
      </c>
      <c r="B2617" s="338" t="s">
        <v>3163</v>
      </c>
      <c r="C2617" s="337" t="s">
        <v>474</v>
      </c>
      <c r="D2617" s="339">
        <v>17.27</v>
      </c>
    </row>
    <row r="2618" spans="1:4" ht="54">
      <c r="A2618" s="337">
        <v>95807</v>
      </c>
      <c r="B2618" s="338" t="s">
        <v>3164</v>
      </c>
      <c r="C2618" s="337" t="s">
        <v>474</v>
      </c>
      <c r="D2618" s="339">
        <v>19.04</v>
      </c>
    </row>
    <row r="2619" spans="1:4" ht="54">
      <c r="A2619" s="337">
        <v>95808</v>
      </c>
      <c r="B2619" s="338" t="s">
        <v>3165</v>
      </c>
      <c r="C2619" s="337" t="s">
        <v>474</v>
      </c>
      <c r="D2619" s="339">
        <v>19.489999999999998</v>
      </c>
    </row>
    <row r="2620" spans="1:4" ht="54">
      <c r="A2620" s="337">
        <v>95809</v>
      </c>
      <c r="B2620" s="338" t="s">
        <v>3166</v>
      </c>
      <c r="C2620" s="337" t="s">
        <v>474</v>
      </c>
      <c r="D2620" s="339">
        <v>21.41</v>
      </c>
    </row>
    <row r="2621" spans="1:4" ht="54">
      <c r="A2621" s="337">
        <v>95810</v>
      </c>
      <c r="B2621" s="338" t="s">
        <v>3167</v>
      </c>
      <c r="C2621" s="337" t="s">
        <v>474</v>
      </c>
      <c r="D2621" s="339">
        <v>10.31</v>
      </c>
    </row>
    <row r="2622" spans="1:4" ht="54">
      <c r="A2622" s="337">
        <v>95811</v>
      </c>
      <c r="B2622" s="338" t="s">
        <v>3168</v>
      </c>
      <c r="C2622" s="337" t="s">
        <v>474</v>
      </c>
      <c r="D2622" s="339">
        <v>10.77</v>
      </c>
    </row>
    <row r="2623" spans="1:4" ht="54">
      <c r="A2623" s="337">
        <v>95812</v>
      </c>
      <c r="B2623" s="338" t="s">
        <v>3169</v>
      </c>
      <c r="C2623" s="337" t="s">
        <v>474</v>
      </c>
      <c r="D2623" s="339">
        <v>12.67</v>
      </c>
    </row>
    <row r="2624" spans="1:4" ht="54">
      <c r="A2624" s="337">
        <v>95813</v>
      </c>
      <c r="B2624" s="338" t="s">
        <v>3170</v>
      </c>
      <c r="C2624" s="337" t="s">
        <v>474</v>
      </c>
      <c r="D2624" s="339">
        <v>12.41</v>
      </c>
    </row>
    <row r="2625" spans="1:4" ht="54">
      <c r="A2625" s="337">
        <v>95814</v>
      </c>
      <c r="B2625" s="338" t="s">
        <v>3171</v>
      </c>
      <c r="C2625" s="337" t="s">
        <v>474</v>
      </c>
      <c r="D2625" s="339">
        <v>13.1</v>
      </c>
    </row>
    <row r="2626" spans="1:4" ht="54">
      <c r="A2626" s="337">
        <v>95815</v>
      </c>
      <c r="B2626" s="338" t="s">
        <v>3172</v>
      </c>
      <c r="C2626" s="337" t="s">
        <v>474</v>
      </c>
      <c r="D2626" s="339">
        <v>16.77</v>
      </c>
    </row>
    <row r="2627" spans="1:4" ht="54">
      <c r="A2627" s="337">
        <v>95816</v>
      </c>
      <c r="B2627" s="338" t="s">
        <v>3173</v>
      </c>
      <c r="C2627" s="337" t="s">
        <v>474</v>
      </c>
      <c r="D2627" s="339">
        <v>23.42</v>
      </c>
    </row>
    <row r="2628" spans="1:4" ht="54">
      <c r="A2628" s="337">
        <v>95817</v>
      </c>
      <c r="B2628" s="338" t="s">
        <v>3174</v>
      </c>
      <c r="C2628" s="337" t="s">
        <v>474</v>
      </c>
      <c r="D2628" s="339">
        <v>24.03</v>
      </c>
    </row>
    <row r="2629" spans="1:4" ht="54">
      <c r="A2629" s="337">
        <v>95818</v>
      </c>
      <c r="B2629" s="338" t="s">
        <v>3175</v>
      </c>
      <c r="C2629" s="337" t="s">
        <v>474</v>
      </c>
      <c r="D2629" s="339">
        <v>28.96</v>
      </c>
    </row>
    <row r="2630" spans="1:4" ht="54">
      <c r="A2630" s="337">
        <v>97886</v>
      </c>
      <c r="B2630" s="338" t="s">
        <v>3176</v>
      </c>
      <c r="C2630" s="337" t="s">
        <v>474</v>
      </c>
      <c r="D2630" s="339">
        <v>115.14</v>
      </c>
    </row>
    <row r="2631" spans="1:4" ht="54">
      <c r="A2631" s="337">
        <v>97887</v>
      </c>
      <c r="B2631" s="338" t="s">
        <v>3177</v>
      </c>
      <c r="C2631" s="337" t="s">
        <v>474</v>
      </c>
      <c r="D2631" s="339">
        <v>181.78</v>
      </c>
    </row>
    <row r="2632" spans="1:4" ht="54">
      <c r="A2632" s="337">
        <v>97888</v>
      </c>
      <c r="B2632" s="338" t="s">
        <v>3178</v>
      </c>
      <c r="C2632" s="337" t="s">
        <v>474</v>
      </c>
      <c r="D2632" s="339">
        <v>350.97</v>
      </c>
    </row>
    <row r="2633" spans="1:4" ht="54">
      <c r="A2633" s="337">
        <v>97889</v>
      </c>
      <c r="B2633" s="338" t="s">
        <v>3179</v>
      </c>
      <c r="C2633" s="337" t="s">
        <v>474</v>
      </c>
      <c r="D2633" s="339">
        <v>470.5</v>
      </c>
    </row>
    <row r="2634" spans="1:4" ht="54">
      <c r="A2634" s="337">
        <v>97890</v>
      </c>
      <c r="B2634" s="338" t="s">
        <v>3180</v>
      </c>
      <c r="C2634" s="337" t="s">
        <v>474</v>
      </c>
      <c r="D2634" s="339">
        <v>541.70000000000005</v>
      </c>
    </row>
    <row r="2635" spans="1:4" ht="54">
      <c r="A2635" s="337">
        <v>97891</v>
      </c>
      <c r="B2635" s="338" t="s">
        <v>3181</v>
      </c>
      <c r="C2635" s="337" t="s">
        <v>474</v>
      </c>
      <c r="D2635" s="339">
        <v>139.74</v>
      </c>
    </row>
    <row r="2636" spans="1:4" ht="54">
      <c r="A2636" s="337">
        <v>97892</v>
      </c>
      <c r="B2636" s="338" t="s">
        <v>3182</v>
      </c>
      <c r="C2636" s="337" t="s">
        <v>474</v>
      </c>
      <c r="D2636" s="339">
        <v>262.07</v>
      </c>
    </row>
    <row r="2637" spans="1:4" ht="54">
      <c r="A2637" s="337">
        <v>97893</v>
      </c>
      <c r="B2637" s="338" t="s">
        <v>3183</v>
      </c>
      <c r="C2637" s="337" t="s">
        <v>474</v>
      </c>
      <c r="D2637" s="339">
        <v>357.13</v>
      </c>
    </row>
    <row r="2638" spans="1:4" ht="54">
      <c r="A2638" s="337">
        <v>97894</v>
      </c>
      <c r="B2638" s="338" t="s">
        <v>3184</v>
      </c>
      <c r="C2638" s="337" t="s">
        <v>474</v>
      </c>
      <c r="D2638" s="339">
        <v>404.32</v>
      </c>
    </row>
    <row r="2639" spans="1:4" ht="27">
      <c r="A2639" s="337">
        <v>68066</v>
      </c>
      <c r="B2639" s="338" t="s">
        <v>3185</v>
      </c>
      <c r="C2639" s="337" t="s">
        <v>474</v>
      </c>
      <c r="D2639" s="339">
        <v>130.52000000000001</v>
      </c>
    </row>
    <row r="2640" spans="1:4" ht="27">
      <c r="A2640" s="337">
        <v>72319</v>
      </c>
      <c r="B2640" s="338" t="s">
        <v>3186</v>
      </c>
      <c r="C2640" s="337" t="s">
        <v>474</v>
      </c>
      <c r="D2640" s="340">
        <v>3593.43</v>
      </c>
    </row>
    <row r="2641" spans="1:4" ht="40.5">
      <c r="A2641" s="337">
        <v>72341</v>
      </c>
      <c r="B2641" s="338" t="s">
        <v>3187</v>
      </c>
      <c r="C2641" s="337" t="s">
        <v>474</v>
      </c>
      <c r="D2641" s="339">
        <v>192</v>
      </c>
    </row>
    <row r="2642" spans="1:4" ht="40.5">
      <c r="A2642" s="337">
        <v>72343</v>
      </c>
      <c r="B2642" s="338" t="s">
        <v>3188</v>
      </c>
      <c r="C2642" s="337" t="s">
        <v>474</v>
      </c>
      <c r="D2642" s="339">
        <v>227.56</v>
      </c>
    </row>
    <row r="2643" spans="1:4" ht="40.5">
      <c r="A2643" s="337">
        <v>72344</v>
      </c>
      <c r="B2643" s="338" t="s">
        <v>3189</v>
      </c>
      <c r="C2643" s="337" t="s">
        <v>474</v>
      </c>
      <c r="D2643" s="339">
        <v>353.47</v>
      </c>
    </row>
    <row r="2644" spans="1:4" ht="40.5">
      <c r="A2644" s="337">
        <v>72345</v>
      </c>
      <c r="B2644" s="338" t="s">
        <v>3190</v>
      </c>
      <c r="C2644" s="337" t="s">
        <v>474</v>
      </c>
      <c r="D2644" s="339">
        <v>996.31</v>
      </c>
    </row>
    <row r="2645" spans="1:4" ht="40.5">
      <c r="A2645" s="337" t="s">
        <v>3191</v>
      </c>
      <c r="B2645" s="338" t="s">
        <v>3192</v>
      </c>
      <c r="C2645" s="337" t="s">
        <v>474</v>
      </c>
      <c r="D2645" s="339">
        <v>10.82</v>
      </c>
    </row>
    <row r="2646" spans="1:4" ht="40.5">
      <c r="A2646" s="337" t="s">
        <v>3193</v>
      </c>
      <c r="B2646" s="338" t="s">
        <v>3194</v>
      </c>
      <c r="C2646" s="337" t="s">
        <v>474</v>
      </c>
      <c r="D2646" s="339">
        <v>16.61</v>
      </c>
    </row>
    <row r="2647" spans="1:4" ht="40.5">
      <c r="A2647" s="337" t="s">
        <v>3195</v>
      </c>
      <c r="B2647" s="338" t="s">
        <v>3196</v>
      </c>
      <c r="C2647" s="337" t="s">
        <v>474</v>
      </c>
      <c r="D2647" s="339">
        <v>48.74</v>
      </c>
    </row>
    <row r="2648" spans="1:4" ht="40.5">
      <c r="A2648" s="337" t="s">
        <v>3197</v>
      </c>
      <c r="B2648" s="338" t="s">
        <v>3198</v>
      </c>
      <c r="C2648" s="337" t="s">
        <v>474</v>
      </c>
      <c r="D2648" s="339">
        <v>70.34</v>
      </c>
    </row>
    <row r="2649" spans="1:4" ht="40.5">
      <c r="A2649" s="337" t="s">
        <v>365</v>
      </c>
      <c r="B2649" s="338" t="s">
        <v>3199</v>
      </c>
      <c r="C2649" s="337" t="s">
        <v>474</v>
      </c>
      <c r="D2649" s="339">
        <v>93.81</v>
      </c>
    </row>
    <row r="2650" spans="1:4" ht="40.5">
      <c r="A2650" s="337" t="s">
        <v>364</v>
      </c>
      <c r="B2650" s="338" t="s">
        <v>3200</v>
      </c>
      <c r="C2650" s="337" t="s">
        <v>474</v>
      </c>
      <c r="D2650" s="339">
        <v>265.83999999999997</v>
      </c>
    </row>
    <row r="2651" spans="1:4" ht="40.5">
      <c r="A2651" s="337" t="s">
        <v>3201</v>
      </c>
      <c r="B2651" s="338" t="s">
        <v>3202</v>
      </c>
      <c r="C2651" s="337" t="s">
        <v>474</v>
      </c>
      <c r="D2651" s="339">
        <v>687.2</v>
      </c>
    </row>
    <row r="2652" spans="1:4" ht="40.5">
      <c r="A2652" s="337" t="s">
        <v>3203</v>
      </c>
      <c r="B2652" s="338" t="s">
        <v>3204</v>
      </c>
      <c r="C2652" s="337" t="s">
        <v>474</v>
      </c>
      <c r="D2652" s="339">
        <v>939.12</v>
      </c>
    </row>
    <row r="2653" spans="1:4" ht="40.5">
      <c r="A2653" s="337" t="s">
        <v>3205</v>
      </c>
      <c r="B2653" s="338" t="s">
        <v>3206</v>
      </c>
      <c r="C2653" s="337" t="s">
        <v>474</v>
      </c>
      <c r="D2653" s="340">
        <v>1538.35</v>
      </c>
    </row>
    <row r="2654" spans="1:4" ht="40.5">
      <c r="A2654" s="337" t="s">
        <v>3207</v>
      </c>
      <c r="B2654" s="338" t="s">
        <v>3208</v>
      </c>
      <c r="C2654" s="337" t="s">
        <v>474</v>
      </c>
      <c r="D2654" s="339">
        <v>415.57</v>
      </c>
    </row>
    <row r="2655" spans="1:4" ht="67.5">
      <c r="A2655" s="337" t="s">
        <v>3209</v>
      </c>
      <c r="B2655" s="338" t="s">
        <v>3210</v>
      </c>
      <c r="C2655" s="337" t="s">
        <v>474</v>
      </c>
      <c r="D2655" s="339">
        <v>58.86</v>
      </c>
    </row>
    <row r="2656" spans="1:4" ht="67.5">
      <c r="A2656" s="337" t="s">
        <v>3211</v>
      </c>
      <c r="B2656" s="338" t="s">
        <v>3212</v>
      </c>
      <c r="C2656" s="337" t="s">
        <v>474</v>
      </c>
      <c r="D2656" s="339">
        <v>417.25</v>
      </c>
    </row>
    <row r="2657" spans="1:4" ht="67.5">
      <c r="A2657" s="337" t="s">
        <v>383</v>
      </c>
      <c r="B2657" s="338" t="s">
        <v>3213</v>
      </c>
      <c r="C2657" s="337" t="s">
        <v>474</v>
      </c>
      <c r="D2657" s="339">
        <v>483.43</v>
      </c>
    </row>
    <row r="2658" spans="1:4" ht="67.5">
      <c r="A2658" s="337" t="s">
        <v>384</v>
      </c>
      <c r="B2658" s="338" t="s">
        <v>3214</v>
      </c>
      <c r="C2658" s="337" t="s">
        <v>474</v>
      </c>
      <c r="D2658" s="339">
        <v>958.33</v>
      </c>
    </row>
    <row r="2659" spans="1:4" ht="67.5">
      <c r="A2659" s="337" t="s">
        <v>3215</v>
      </c>
      <c r="B2659" s="338" t="s">
        <v>3216</v>
      </c>
      <c r="C2659" s="337" t="s">
        <v>474</v>
      </c>
      <c r="D2659" s="339">
        <v>788.02</v>
      </c>
    </row>
    <row r="2660" spans="1:4" ht="67.5">
      <c r="A2660" s="337" t="s">
        <v>3217</v>
      </c>
      <c r="B2660" s="338" t="s">
        <v>3218</v>
      </c>
      <c r="C2660" s="337" t="s">
        <v>474</v>
      </c>
      <c r="D2660" s="340">
        <v>1168.7</v>
      </c>
    </row>
    <row r="2661" spans="1:4" ht="67.5">
      <c r="A2661" s="337">
        <v>83463</v>
      </c>
      <c r="B2661" s="338" t="s">
        <v>3219</v>
      </c>
      <c r="C2661" s="337" t="s">
        <v>474</v>
      </c>
      <c r="D2661" s="339">
        <v>305.51</v>
      </c>
    </row>
    <row r="2662" spans="1:4" ht="54">
      <c r="A2662" s="337">
        <v>84402</v>
      </c>
      <c r="B2662" s="338" t="s">
        <v>3220</v>
      </c>
      <c r="C2662" s="337" t="s">
        <v>474</v>
      </c>
      <c r="D2662" s="339">
        <v>68.78</v>
      </c>
    </row>
    <row r="2663" spans="1:4" ht="40.5">
      <c r="A2663" s="337">
        <v>93653</v>
      </c>
      <c r="B2663" s="338" t="s">
        <v>3221</v>
      </c>
      <c r="C2663" s="337" t="s">
        <v>474</v>
      </c>
      <c r="D2663" s="339">
        <v>8.24</v>
      </c>
    </row>
    <row r="2664" spans="1:4" ht="40.5">
      <c r="A2664" s="337">
        <v>93654</v>
      </c>
      <c r="B2664" s="338" t="s">
        <v>3222</v>
      </c>
      <c r="C2664" s="337" t="s">
        <v>474</v>
      </c>
      <c r="D2664" s="339">
        <v>8.67</v>
      </c>
    </row>
    <row r="2665" spans="1:4" ht="40.5">
      <c r="A2665" s="337">
        <v>93655</v>
      </c>
      <c r="B2665" s="338" t="s">
        <v>3223</v>
      </c>
      <c r="C2665" s="337" t="s">
        <v>474</v>
      </c>
      <c r="D2665" s="339">
        <v>9.4</v>
      </c>
    </row>
    <row r="2666" spans="1:4" ht="40.5">
      <c r="A2666" s="337">
        <v>93656</v>
      </c>
      <c r="B2666" s="338" t="s">
        <v>3224</v>
      </c>
      <c r="C2666" s="337" t="s">
        <v>474</v>
      </c>
      <c r="D2666" s="339">
        <v>9.4</v>
      </c>
    </row>
    <row r="2667" spans="1:4" ht="40.5">
      <c r="A2667" s="337">
        <v>93657</v>
      </c>
      <c r="B2667" s="338" t="s">
        <v>3225</v>
      </c>
      <c r="C2667" s="337" t="s">
        <v>474</v>
      </c>
      <c r="D2667" s="339">
        <v>10.34</v>
      </c>
    </row>
    <row r="2668" spans="1:4" ht="40.5">
      <c r="A2668" s="337">
        <v>93658</v>
      </c>
      <c r="B2668" s="338" t="s">
        <v>3226</v>
      </c>
      <c r="C2668" s="337" t="s">
        <v>474</v>
      </c>
      <c r="D2668" s="339">
        <v>15.02</v>
      </c>
    </row>
    <row r="2669" spans="1:4" ht="40.5">
      <c r="A2669" s="337">
        <v>93659</v>
      </c>
      <c r="B2669" s="338" t="s">
        <v>3227</v>
      </c>
      <c r="C2669" s="337" t="s">
        <v>474</v>
      </c>
      <c r="D2669" s="339">
        <v>16.940000000000001</v>
      </c>
    </row>
    <row r="2670" spans="1:4" ht="40.5">
      <c r="A2670" s="337">
        <v>93660</v>
      </c>
      <c r="B2670" s="338" t="s">
        <v>3228</v>
      </c>
      <c r="C2670" s="337" t="s">
        <v>474</v>
      </c>
      <c r="D2670" s="339">
        <v>41.14</v>
      </c>
    </row>
    <row r="2671" spans="1:4" ht="40.5">
      <c r="A2671" s="337">
        <v>93661</v>
      </c>
      <c r="B2671" s="338" t="s">
        <v>3229</v>
      </c>
      <c r="C2671" s="337" t="s">
        <v>474</v>
      </c>
      <c r="D2671" s="339">
        <v>41.95</v>
      </c>
    </row>
    <row r="2672" spans="1:4" ht="40.5">
      <c r="A2672" s="337">
        <v>93662</v>
      </c>
      <c r="B2672" s="338" t="s">
        <v>3230</v>
      </c>
      <c r="C2672" s="337" t="s">
        <v>474</v>
      </c>
      <c r="D2672" s="339">
        <v>43.48</v>
      </c>
    </row>
    <row r="2673" spans="1:4" ht="40.5">
      <c r="A2673" s="337">
        <v>93663</v>
      </c>
      <c r="B2673" s="338" t="s">
        <v>3231</v>
      </c>
      <c r="C2673" s="337" t="s">
        <v>474</v>
      </c>
      <c r="D2673" s="339">
        <v>43.48</v>
      </c>
    </row>
    <row r="2674" spans="1:4" ht="40.5">
      <c r="A2674" s="337">
        <v>93664</v>
      </c>
      <c r="B2674" s="338" t="s">
        <v>3232</v>
      </c>
      <c r="C2674" s="337" t="s">
        <v>474</v>
      </c>
      <c r="D2674" s="339">
        <v>45.33</v>
      </c>
    </row>
    <row r="2675" spans="1:4" ht="40.5">
      <c r="A2675" s="337">
        <v>93665</v>
      </c>
      <c r="B2675" s="338" t="s">
        <v>3233</v>
      </c>
      <c r="C2675" s="337" t="s">
        <v>474</v>
      </c>
      <c r="D2675" s="339">
        <v>47.74</v>
      </c>
    </row>
    <row r="2676" spans="1:4" ht="40.5">
      <c r="A2676" s="337">
        <v>93666</v>
      </c>
      <c r="B2676" s="338" t="s">
        <v>3234</v>
      </c>
      <c r="C2676" s="337" t="s">
        <v>474</v>
      </c>
      <c r="D2676" s="339">
        <v>51.56</v>
      </c>
    </row>
    <row r="2677" spans="1:4" ht="40.5">
      <c r="A2677" s="337">
        <v>93667</v>
      </c>
      <c r="B2677" s="338" t="s">
        <v>3235</v>
      </c>
      <c r="C2677" s="337" t="s">
        <v>474</v>
      </c>
      <c r="D2677" s="339">
        <v>51.31</v>
      </c>
    </row>
    <row r="2678" spans="1:4" ht="40.5">
      <c r="A2678" s="337">
        <v>93668</v>
      </c>
      <c r="B2678" s="338" t="s">
        <v>3236</v>
      </c>
      <c r="C2678" s="337" t="s">
        <v>474</v>
      </c>
      <c r="D2678" s="339">
        <v>52.54</v>
      </c>
    </row>
    <row r="2679" spans="1:4" ht="40.5">
      <c r="A2679" s="337">
        <v>93669</v>
      </c>
      <c r="B2679" s="338" t="s">
        <v>3237</v>
      </c>
      <c r="C2679" s="337" t="s">
        <v>474</v>
      </c>
      <c r="D2679" s="339">
        <v>54.81</v>
      </c>
    </row>
    <row r="2680" spans="1:4" ht="40.5">
      <c r="A2680" s="337">
        <v>93670</v>
      </c>
      <c r="B2680" s="338" t="s">
        <v>3238</v>
      </c>
      <c r="C2680" s="337" t="s">
        <v>474</v>
      </c>
      <c r="D2680" s="339">
        <v>54.81</v>
      </c>
    </row>
    <row r="2681" spans="1:4" ht="40.5">
      <c r="A2681" s="337">
        <v>93671</v>
      </c>
      <c r="B2681" s="338" t="s">
        <v>3239</v>
      </c>
      <c r="C2681" s="337" t="s">
        <v>474</v>
      </c>
      <c r="D2681" s="339">
        <v>57.6</v>
      </c>
    </row>
    <row r="2682" spans="1:4" ht="40.5">
      <c r="A2682" s="337">
        <v>93672</v>
      </c>
      <c r="B2682" s="338" t="s">
        <v>3240</v>
      </c>
      <c r="C2682" s="337" t="s">
        <v>474</v>
      </c>
      <c r="D2682" s="339">
        <v>62.12</v>
      </c>
    </row>
    <row r="2683" spans="1:4" ht="40.5">
      <c r="A2683" s="337">
        <v>93673</v>
      </c>
      <c r="B2683" s="338" t="s">
        <v>3241</v>
      </c>
      <c r="C2683" s="337" t="s">
        <v>474</v>
      </c>
      <c r="D2683" s="339">
        <v>67.84</v>
      </c>
    </row>
    <row r="2684" spans="1:4" ht="27">
      <c r="A2684" s="337">
        <v>72339</v>
      </c>
      <c r="B2684" s="338" t="s">
        <v>3242</v>
      </c>
      <c r="C2684" s="337" t="s">
        <v>474</v>
      </c>
      <c r="D2684" s="339">
        <v>39.159999999999997</v>
      </c>
    </row>
    <row r="2685" spans="1:4" ht="40.5">
      <c r="A2685" s="337">
        <v>83403</v>
      </c>
      <c r="B2685" s="338" t="s">
        <v>3243</v>
      </c>
      <c r="C2685" s="337" t="s">
        <v>474</v>
      </c>
      <c r="D2685" s="339">
        <v>13.64</v>
      </c>
    </row>
    <row r="2686" spans="1:4" ht="27">
      <c r="A2686" s="337">
        <v>83465</v>
      </c>
      <c r="B2686" s="338" t="s">
        <v>3244</v>
      </c>
      <c r="C2686" s="337" t="s">
        <v>474</v>
      </c>
      <c r="D2686" s="339">
        <v>33.46</v>
      </c>
    </row>
    <row r="2687" spans="1:4" ht="54">
      <c r="A2687" s="337">
        <v>91945</v>
      </c>
      <c r="B2687" s="338" t="s">
        <v>3245</v>
      </c>
      <c r="C2687" s="337" t="s">
        <v>474</v>
      </c>
      <c r="D2687" s="339">
        <v>5.86</v>
      </c>
    </row>
    <row r="2688" spans="1:4" ht="54">
      <c r="A2688" s="337">
        <v>91946</v>
      </c>
      <c r="B2688" s="338" t="s">
        <v>3246</v>
      </c>
      <c r="C2688" s="337" t="s">
        <v>474</v>
      </c>
      <c r="D2688" s="339">
        <v>4.8</v>
      </c>
    </row>
    <row r="2689" spans="1:4" ht="54">
      <c r="A2689" s="337">
        <v>91947</v>
      </c>
      <c r="B2689" s="338" t="s">
        <v>3247</v>
      </c>
      <c r="C2689" s="337" t="s">
        <v>474</v>
      </c>
      <c r="D2689" s="339">
        <v>4.1500000000000004</v>
      </c>
    </row>
    <row r="2690" spans="1:4" ht="54">
      <c r="A2690" s="337">
        <v>91949</v>
      </c>
      <c r="B2690" s="338" t="s">
        <v>3248</v>
      </c>
      <c r="C2690" s="337" t="s">
        <v>474</v>
      </c>
      <c r="D2690" s="339">
        <v>8.76</v>
      </c>
    </row>
    <row r="2691" spans="1:4" ht="54">
      <c r="A2691" s="337">
        <v>91950</v>
      </c>
      <c r="B2691" s="338" t="s">
        <v>3249</v>
      </c>
      <c r="C2691" s="337" t="s">
        <v>474</v>
      </c>
      <c r="D2691" s="339">
        <v>7.49</v>
      </c>
    </row>
    <row r="2692" spans="1:4" ht="54">
      <c r="A2692" s="337">
        <v>91951</v>
      </c>
      <c r="B2692" s="338" t="s">
        <v>3250</v>
      </c>
      <c r="C2692" s="337" t="s">
        <v>474</v>
      </c>
      <c r="D2692" s="339">
        <v>6.72</v>
      </c>
    </row>
    <row r="2693" spans="1:4" ht="40.5">
      <c r="A2693" s="337">
        <v>91952</v>
      </c>
      <c r="B2693" s="338" t="s">
        <v>3251</v>
      </c>
      <c r="C2693" s="337" t="s">
        <v>474</v>
      </c>
      <c r="D2693" s="339">
        <v>11.24</v>
      </c>
    </row>
    <row r="2694" spans="1:4" ht="40.5">
      <c r="A2694" s="337">
        <v>91953</v>
      </c>
      <c r="B2694" s="338" t="s">
        <v>3252</v>
      </c>
      <c r="C2694" s="337" t="s">
        <v>474</v>
      </c>
      <c r="D2694" s="339">
        <v>16.04</v>
      </c>
    </row>
    <row r="2695" spans="1:4" ht="40.5">
      <c r="A2695" s="337">
        <v>91954</v>
      </c>
      <c r="B2695" s="338" t="s">
        <v>3253</v>
      </c>
      <c r="C2695" s="337" t="s">
        <v>474</v>
      </c>
      <c r="D2695" s="339">
        <v>15.14</v>
      </c>
    </row>
    <row r="2696" spans="1:4" ht="40.5">
      <c r="A2696" s="337">
        <v>91955</v>
      </c>
      <c r="B2696" s="338" t="s">
        <v>3254</v>
      </c>
      <c r="C2696" s="337" t="s">
        <v>474</v>
      </c>
      <c r="D2696" s="339">
        <v>19.940000000000001</v>
      </c>
    </row>
    <row r="2697" spans="1:4" ht="54">
      <c r="A2697" s="337">
        <v>91956</v>
      </c>
      <c r="B2697" s="338" t="s">
        <v>3255</v>
      </c>
      <c r="C2697" s="337" t="s">
        <v>474</v>
      </c>
      <c r="D2697" s="339">
        <v>24.4</v>
      </c>
    </row>
    <row r="2698" spans="1:4" ht="54">
      <c r="A2698" s="337">
        <v>91957</v>
      </c>
      <c r="B2698" s="338" t="s">
        <v>3256</v>
      </c>
      <c r="C2698" s="337" t="s">
        <v>474</v>
      </c>
      <c r="D2698" s="339">
        <v>29.2</v>
      </c>
    </row>
    <row r="2699" spans="1:4" ht="40.5">
      <c r="A2699" s="337">
        <v>91958</v>
      </c>
      <c r="B2699" s="338" t="s">
        <v>3257</v>
      </c>
      <c r="C2699" s="337" t="s">
        <v>474</v>
      </c>
      <c r="D2699" s="339">
        <v>20.55</v>
      </c>
    </row>
    <row r="2700" spans="1:4" ht="40.5">
      <c r="A2700" s="337">
        <v>91959</v>
      </c>
      <c r="B2700" s="338" t="s">
        <v>3258</v>
      </c>
      <c r="C2700" s="337" t="s">
        <v>474</v>
      </c>
      <c r="D2700" s="339">
        <v>25.35</v>
      </c>
    </row>
    <row r="2701" spans="1:4" ht="40.5">
      <c r="A2701" s="337">
        <v>91960</v>
      </c>
      <c r="B2701" s="338" t="s">
        <v>3259</v>
      </c>
      <c r="C2701" s="337" t="s">
        <v>474</v>
      </c>
      <c r="D2701" s="339">
        <v>28.3</v>
      </c>
    </row>
    <row r="2702" spans="1:4" ht="40.5">
      <c r="A2702" s="337">
        <v>91961</v>
      </c>
      <c r="B2702" s="338" t="s">
        <v>3260</v>
      </c>
      <c r="C2702" s="337" t="s">
        <v>474</v>
      </c>
      <c r="D2702" s="339">
        <v>33.1</v>
      </c>
    </row>
    <row r="2703" spans="1:4" ht="54">
      <c r="A2703" s="337">
        <v>91962</v>
      </c>
      <c r="B2703" s="338" t="s">
        <v>3261</v>
      </c>
      <c r="C2703" s="337" t="s">
        <v>474</v>
      </c>
      <c r="D2703" s="339">
        <v>37.6</v>
      </c>
    </row>
    <row r="2704" spans="1:4" ht="54">
      <c r="A2704" s="337">
        <v>91963</v>
      </c>
      <c r="B2704" s="338" t="s">
        <v>3262</v>
      </c>
      <c r="C2704" s="337" t="s">
        <v>474</v>
      </c>
      <c r="D2704" s="339">
        <v>42.4</v>
      </c>
    </row>
    <row r="2705" spans="1:4" ht="54">
      <c r="A2705" s="337">
        <v>91964</v>
      </c>
      <c r="B2705" s="338" t="s">
        <v>3263</v>
      </c>
      <c r="C2705" s="337" t="s">
        <v>474</v>
      </c>
      <c r="D2705" s="339">
        <v>33.71</v>
      </c>
    </row>
    <row r="2706" spans="1:4" ht="54">
      <c r="A2706" s="337">
        <v>91965</v>
      </c>
      <c r="B2706" s="338" t="s">
        <v>3264</v>
      </c>
      <c r="C2706" s="337" t="s">
        <v>474</v>
      </c>
      <c r="D2706" s="339">
        <v>38.51</v>
      </c>
    </row>
    <row r="2707" spans="1:4" ht="40.5">
      <c r="A2707" s="337">
        <v>91966</v>
      </c>
      <c r="B2707" s="338" t="s">
        <v>3265</v>
      </c>
      <c r="C2707" s="337" t="s">
        <v>474</v>
      </c>
      <c r="D2707" s="339">
        <v>29.86</v>
      </c>
    </row>
    <row r="2708" spans="1:4" ht="40.5">
      <c r="A2708" s="337">
        <v>91967</v>
      </c>
      <c r="B2708" s="338" t="s">
        <v>3266</v>
      </c>
      <c r="C2708" s="337" t="s">
        <v>474</v>
      </c>
      <c r="D2708" s="339">
        <v>34.659999999999997</v>
      </c>
    </row>
    <row r="2709" spans="1:4" ht="40.5">
      <c r="A2709" s="337">
        <v>91968</v>
      </c>
      <c r="B2709" s="338" t="s">
        <v>3267</v>
      </c>
      <c r="C2709" s="337" t="s">
        <v>474</v>
      </c>
      <c r="D2709" s="339">
        <v>41.47</v>
      </c>
    </row>
    <row r="2710" spans="1:4" ht="40.5">
      <c r="A2710" s="337">
        <v>91969</v>
      </c>
      <c r="B2710" s="338" t="s">
        <v>3268</v>
      </c>
      <c r="C2710" s="337" t="s">
        <v>474</v>
      </c>
      <c r="D2710" s="339">
        <v>46.27</v>
      </c>
    </row>
    <row r="2711" spans="1:4" ht="54">
      <c r="A2711" s="337">
        <v>91970</v>
      </c>
      <c r="B2711" s="338" t="s">
        <v>3269</v>
      </c>
      <c r="C2711" s="337" t="s">
        <v>474</v>
      </c>
      <c r="D2711" s="339">
        <v>43.24</v>
      </c>
    </row>
    <row r="2712" spans="1:4" ht="54">
      <c r="A2712" s="337">
        <v>91971</v>
      </c>
      <c r="B2712" s="338" t="s">
        <v>3270</v>
      </c>
      <c r="C2712" s="337" t="s">
        <v>474</v>
      </c>
      <c r="D2712" s="339">
        <v>50.73</v>
      </c>
    </row>
    <row r="2713" spans="1:4" ht="54">
      <c r="A2713" s="337">
        <v>91972</v>
      </c>
      <c r="B2713" s="338" t="s">
        <v>3271</v>
      </c>
      <c r="C2713" s="337" t="s">
        <v>474</v>
      </c>
      <c r="D2713" s="339">
        <v>47.14</v>
      </c>
    </row>
    <row r="2714" spans="1:4" ht="54">
      <c r="A2714" s="337">
        <v>91973</v>
      </c>
      <c r="B2714" s="338" t="s">
        <v>3272</v>
      </c>
      <c r="C2714" s="337" t="s">
        <v>474</v>
      </c>
      <c r="D2714" s="339">
        <v>54.63</v>
      </c>
    </row>
    <row r="2715" spans="1:4" ht="40.5">
      <c r="A2715" s="337">
        <v>91974</v>
      </c>
      <c r="B2715" s="338" t="s">
        <v>3273</v>
      </c>
      <c r="C2715" s="337" t="s">
        <v>474</v>
      </c>
      <c r="D2715" s="339">
        <v>39.36</v>
      </c>
    </row>
    <row r="2716" spans="1:4" ht="40.5">
      <c r="A2716" s="337">
        <v>91975</v>
      </c>
      <c r="B2716" s="338" t="s">
        <v>3274</v>
      </c>
      <c r="C2716" s="337" t="s">
        <v>474</v>
      </c>
      <c r="D2716" s="339">
        <v>46.85</v>
      </c>
    </row>
    <row r="2717" spans="1:4" ht="40.5">
      <c r="A2717" s="337">
        <v>91976</v>
      </c>
      <c r="B2717" s="338" t="s">
        <v>3275</v>
      </c>
      <c r="C2717" s="337" t="s">
        <v>474</v>
      </c>
      <c r="D2717" s="339">
        <v>58.04</v>
      </c>
    </row>
    <row r="2718" spans="1:4" ht="40.5">
      <c r="A2718" s="337">
        <v>91977</v>
      </c>
      <c r="B2718" s="338" t="s">
        <v>3276</v>
      </c>
      <c r="C2718" s="337" t="s">
        <v>474</v>
      </c>
      <c r="D2718" s="339">
        <v>65.53</v>
      </c>
    </row>
    <row r="2719" spans="1:4" ht="40.5">
      <c r="A2719" s="337">
        <v>91978</v>
      </c>
      <c r="B2719" s="338" t="s">
        <v>3277</v>
      </c>
      <c r="C2719" s="337" t="s">
        <v>474</v>
      </c>
      <c r="D2719" s="339">
        <v>23.59</v>
      </c>
    </row>
    <row r="2720" spans="1:4" ht="40.5">
      <c r="A2720" s="337">
        <v>91979</v>
      </c>
      <c r="B2720" s="338" t="s">
        <v>3278</v>
      </c>
      <c r="C2720" s="337" t="s">
        <v>474</v>
      </c>
      <c r="D2720" s="339">
        <v>28.39</v>
      </c>
    </row>
    <row r="2721" spans="1:4" ht="40.5">
      <c r="A2721" s="337">
        <v>91980</v>
      </c>
      <c r="B2721" s="338" t="s">
        <v>3279</v>
      </c>
      <c r="C2721" s="337" t="s">
        <v>474</v>
      </c>
      <c r="D2721" s="339">
        <v>22.9</v>
      </c>
    </row>
    <row r="2722" spans="1:4" ht="40.5">
      <c r="A2722" s="337">
        <v>91981</v>
      </c>
      <c r="B2722" s="338" t="s">
        <v>3280</v>
      </c>
      <c r="C2722" s="337" t="s">
        <v>474</v>
      </c>
      <c r="D2722" s="339">
        <v>27.7</v>
      </c>
    </row>
    <row r="2723" spans="1:4" ht="40.5">
      <c r="A2723" s="337">
        <v>91982</v>
      </c>
      <c r="B2723" s="338" t="s">
        <v>3281</v>
      </c>
      <c r="C2723" s="337" t="s">
        <v>474</v>
      </c>
      <c r="D2723" s="339">
        <v>51.39</v>
      </c>
    </row>
    <row r="2724" spans="1:4" ht="40.5">
      <c r="A2724" s="337">
        <v>91983</v>
      </c>
      <c r="B2724" s="338" t="s">
        <v>3282</v>
      </c>
      <c r="C2724" s="337" t="s">
        <v>474</v>
      </c>
      <c r="D2724" s="339">
        <v>56.19</v>
      </c>
    </row>
    <row r="2725" spans="1:4" ht="54">
      <c r="A2725" s="337">
        <v>91984</v>
      </c>
      <c r="B2725" s="338" t="s">
        <v>3283</v>
      </c>
      <c r="C2725" s="337" t="s">
        <v>474</v>
      </c>
      <c r="D2725" s="339">
        <v>10.6</v>
      </c>
    </row>
    <row r="2726" spans="1:4" ht="54">
      <c r="A2726" s="337">
        <v>91985</v>
      </c>
      <c r="B2726" s="338" t="s">
        <v>3284</v>
      </c>
      <c r="C2726" s="337" t="s">
        <v>474</v>
      </c>
      <c r="D2726" s="339">
        <v>15.4</v>
      </c>
    </row>
    <row r="2727" spans="1:4" ht="40.5">
      <c r="A2727" s="337">
        <v>91986</v>
      </c>
      <c r="B2727" s="338" t="s">
        <v>3285</v>
      </c>
      <c r="C2727" s="337" t="s">
        <v>474</v>
      </c>
      <c r="D2727" s="339">
        <v>21.99</v>
      </c>
    </row>
    <row r="2728" spans="1:4" ht="40.5">
      <c r="A2728" s="337">
        <v>91987</v>
      </c>
      <c r="B2728" s="338" t="s">
        <v>3286</v>
      </c>
      <c r="C2728" s="337" t="s">
        <v>474</v>
      </c>
      <c r="D2728" s="339">
        <v>26.79</v>
      </c>
    </row>
    <row r="2729" spans="1:4" ht="54">
      <c r="A2729" s="337">
        <v>91988</v>
      </c>
      <c r="B2729" s="338" t="s">
        <v>3287</v>
      </c>
      <c r="C2729" s="337" t="s">
        <v>474</v>
      </c>
      <c r="D2729" s="339">
        <v>12.93</v>
      </c>
    </row>
    <row r="2730" spans="1:4" ht="54">
      <c r="A2730" s="337">
        <v>91989</v>
      </c>
      <c r="B2730" s="338" t="s">
        <v>3288</v>
      </c>
      <c r="C2730" s="337" t="s">
        <v>474</v>
      </c>
      <c r="D2730" s="339">
        <v>17.73</v>
      </c>
    </row>
    <row r="2731" spans="1:4" ht="40.5">
      <c r="A2731" s="337">
        <v>91990</v>
      </c>
      <c r="B2731" s="338" t="s">
        <v>3289</v>
      </c>
      <c r="C2731" s="337" t="s">
        <v>474</v>
      </c>
      <c r="D2731" s="339">
        <v>20.57</v>
      </c>
    </row>
    <row r="2732" spans="1:4" ht="40.5">
      <c r="A2732" s="337">
        <v>91991</v>
      </c>
      <c r="B2732" s="338" t="s">
        <v>3290</v>
      </c>
      <c r="C2732" s="337" t="s">
        <v>474</v>
      </c>
      <c r="D2732" s="339">
        <v>21.83</v>
      </c>
    </row>
    <row r="2733" spans="1:4" ht="40.5">
      <c r="A2733" s="337">
        <v>91992</v>
      </c>
      <c r="B2733" s="338" t="s">
        <v>3291</v>
      </c>
      <c r="C2733" s="337" t="s">
        <v>474</v>
      </c>
      <c r="D2733" s="339">
        <v>25.37</v>
      </c>
    </row>
    <row r="2734" spans="1:4" ht="40.5">
      <c r="A2734" s="337">
        <v>91993</v>
      </c>
      <c r="B2734" s="338" t="s">
        <v>3292</v>
      </c>
      <c r="C2734" s="337" t="s">
        <v>474</v>
      </c>
      <c r="D2734" s="339">
        <v>26.63</v>
      </c>
    </row>
    <row r="2735" spans="1:4" ht="40.5">
      <c r="A2735" s="337">
        <v>91994</v>
      </c>
      <c r="B2735" s="338" t="s">
        <v>3293</v>
      </c>
      <c r="C2735" s="337" t="s">
        <v>474</v>
      </c>
      <c r="D2735" s="339">
        <v>14.49</v>
      </c>
    </row>
    <row r="2736" spans="1:4" ht="40.5">
      <c r="A2736" s="337">
        <v>91995</v>
      </c>
      <c r="B2736" s="338" t="s">
        <v>3294</v>
      </c>
      <c r="C2736" s="337" t="s">
        <v>474</v>
      </c>
      <c r="D2736" s="339">
        <v>15.75</v>
      </c>
    </row>
    <row r="2737" spans="1:4" ht="40.5">
      <c r="A2737" s="337">
        <v>91996</v>
      </c>
      <c r="B2737" s="338" t="s">
        <v>3295</v>
      </c>
      <c r="C2737" s="337" t="s">
        <v>474</v>
      </c>
      <c r="D2737" s="339">
        <v>19.29</v>
      </c>
    </row>
    <row r="2738" spans="1:4" ht="40.5">
      <c r="A2738" s="337">
        <v>91997</v>
      </c>
      <c r="B2738" s="338" t="s">
        <v>3296</v>
      </c>
      <c r="C2738" s="337" t="s">
        <v>474</v>
      </c>
      <c r="D2738" s="339">
        <v>20.55</v>
      </c>
    </row>
    <row r="2739" spans="1:4" ht="40.5">
      <c r="A2739" s="337">
        <v>91998</v>
      </c>
      <c r="B2739" s="338" t="s">
        <v>3297</v>
      </c>
      <c r="C2739" s="337" t="s">
        <v>474</v>
      </c>
      <c r="D2739" s="339">
        <v>12.12</v>
      </c>
    </row>
    <row r="2740" spans="1:4" ht="40.5">
      <c r="A2740" s="337">
        <v>91999</v>
      </c>
      <c r="B2740" s="338" t="s">
        <v>3298</v>
      </c>
      <c r="C2740" s="337" t="s">
        <v>474</v>
      </c>
      <c r="D2740" s="339">
        <v>13.38</v>
      </c>
    </row>
    <row r="2741" spans="1:4" ht="40.5">
      <c r="A2741" s="337">
        <v>92000</v>
      </c>
      <c r="B2741" s="338" t="s">
        <v>3299</v>
      </c>
      <c r="C2741" s="337" t="s">
        <v>474</v>
      </c>
      <c r="D2741" s="339">
        <v>16.920000000000002</v>
      </c>
    </row>
    <row r="2742" spans="1:4" ht="40.5">
      <c r="A2742" s="337">
        <v>92001</v>
      </c>
      <c r="B2742" s="338" t="s">
        <v>3300</v>
      </c>
      <c r="C2742" s="337" t="s">
        <v>474</v>
      </c>
      <c r="D2742" s="339">
        <v>18.18</v>
      </c>
    </row>
    <row r="2743" spans="1:4" ht="40.5">
      <c r="A2743" s="337">
        <v>92002</v>
      </c>
      <c r="B2743" s="338" t="s">
        <v>3301</v>
      </c>
      <c r="C2743" s="337" t="s">
        <v>474</v>
      </c>
      <c r="D2743" s="339">
        <v>27</v>
      </c>
    </row>
    <row r="2744" spans="1:4" ht="40.5">
      <c r="A2744" s="337">
        <v>92003</v>
      </c>
      <c r="B2744" s="338" t="s">
        <v>3302</v>
      </c>
      <c r="C2744" s="337" t="s">
        <v>474</v>
      </c>
      <c r="D2744" s="339">
        <v>29.52</v>
      </c>
    </row>
    <row r="2745" spans="1:4" ht="40.5">
      <c r="A2745" s="337">
        <v>92004</v>
      </c>
      <c r="B2745" s="338" t="s">
        <v>3303</v>
      </c>
      <c r="C2745" s="337" t="s">
        <v>474</v>
      </c>
      <c r="D2745" s="339">
        <v>31.8</v>
      </c>
    </row>
    <row r="2746" spans="1:4" ht="40.5">
      <c r="A2746" s="337">
        <v>92005</v>
      </c>
      <c r="B2746" s="338" t="s">
        <v>3304</v>
      </c>
      <c r="C2746" s="337" t="s">
        <v>474</v>
      </c>
      <c r="D2746" s="339">
        <v>34.32</v>
      </c>
    </row>
    <row r="2747" spans="1:4" ht="40.5">
      <c r="A2747" s="337">
        <v>92006</v>
      </c>
      <c r="B2747" s="338" t="s">
        <v>3305</v>
      </c>
      <c r="C2747" s="337" t="s">
        <v>474</v>
      </c>
      <c r="D2747" s="339">
        <v>22.27</v>
      </c>
    </row>
    <row r="2748" spans="1:4" ht="40.5">
      <c r="A2748" s="337">
        <v>92007</v>
      </c>
      <c r="B2748" s="338" t="s">
        <v>3306</v>
      </c>
      <c r="C2748" s="337" t="s">
        <v>474</v>
      </c>
      <c r="D2748" s="339">
        <v>24.79</v>
      </c>
    </row>
    <row r="2749" spans="1:4" ht="40.5">
      <c r="A2749" s="337">
        <v>92008</v>
      </c>
      <c r="B2749" s="338" t="s">
        <v>3307</v>
      </c>
      <c r="C2749" s="337" t="s">
        <v>474</v>
      </c>
      <c r="D2749" s="339">
        <v>27.07</v>
      </c>
    </row>
    <row r="2750" spans="1:4" ht="40.5">
      <c r="A2750" s="337">
        <v>92009</v>
      </c>
      <c r="B2750" s="338" t="s">
        <v>3308</v>
      </c>
      <c r="C2750" s="337" t="s">
        <v>474</v>
      </c>
      <c r="D2750" s="339">
        <v>29.59</v>
      </c>
    </row>
    <row r="2751" spans="1:4" ht="40.5">
      <c r="A2751" s="337">
        <v>92010</v>
      </c>
      <c r="B2751" s="338" t="s">
        <v>3309</v>
      </c>
      <c r="C2751" s="337" t="s">
        <v>474</v>
      </c>
      <c r="D2751" s="339">
        <v>39.520000000000003</v>
      </c>
    </row>
    <row r="2752" spans="1:4" ht="40.5">
      <c r="A2752" s="337">
        <v>92011</v>
      </c>
      <c r="B2752" s="338" t="s">
        <v>3310</v>
      </c>
      <c r="C2752" s="337" t="s">
        <v>474</v>
      </c>
      <c r="D2752" s="339">
        <v>43.3</v>
      </c>
    </row>
    <row r="2753" spans="1:4" ht="40.5">
      <c r="A2753" s="337">
        <v>92012</v>
      </c>
      <c r="B2753" s="338" t="s">
        <v>3311</v>
      </c>
      <c r="C2753" s="337" t="s">
        <v>474</v>
      </c>
      <c r="D2753" s="339">
        <v>44.32</v>
      </c>
    </row>
    <row r="2754" spans="1:4" ht="40.5">
      <c r="A2754" s="337">
        <v>92013</v>
      </c>
      <c r="B2754" s="338" t="s">
        <v>3312</v>
      </c>
      <c r="C2754" s="337" t="s">
        <v>474</v>
      </c>
      <c r="D2754" s="339">
        <v>48.1</v>
      </c>
    </row>
    <row r="2755" spans="1:4" ht="40.5">
      <c r="A2755" s="337">
        <v>92014</v>
      </c>
      <c r="B2755" s="338" t="s">
        <v>3313</v>
      </c>
      <c r="C2755" s="337" t="s">
        <v>474</v>
      </c>
      <c r="D2755" s="339">
        <v>32.42</v>
      </c>
    </row>
    <row r="2756" spans="1:4" ht="40.5">
      <c r="A2756" s="337">
        <v>92015</v>
      </c>
      <c r="B2756" s="338" t="s">
        <v>3314</v>
      </c>
      <c r="C2756" s="337" t="s">
        <v>474</v>
      </c>
      <c r="D2756" s="339">
        <v>36.200000000000003</v>
      </c>
    </row>
    <row r="2757" spans="1:4" ht="40.5">
      <c r="A2757" s="337">
        <v>92016</v>
      </c>
      <c r="B2757" s="338" t="s">
        <v>3315</v>
      </c>
      <c r="C2757" s="337" t="s">
        <v>474</v>
      </c>
      <c r="D2757" s="339">
        <v>37.22</v>
      </c>
    </row>
    <row r="2758" spans="1:4" ht="40.5">
      <c r="A2758" s="337">
        <v>92017</v>
      </c>
      <c r="B2758" s="338" t="s">
        <v>3316</v>
      </c>
      <c r="C2758" s="337" t="s">
        <v>474</v>
      </c>
      <c r="D2758" s="339">
        <v>41</v>
      </c>
    </row>
    <row r="2759" spans="1:4" ht="40.5">
      <c r="A2759" s="337">
        <v>92018</v>
      </c>
      <c r="B2759" s="338" t="s">
        <v>3317</v>
      </c>
      <c r="C2759" s="337" t="s">
        <v>474</v>
      </c>
      <c r="D2759" s="339">
        <v>42.89</v>
      </c>
    </row>
    <row r="2760" spans="1:4" ht="40.5">
      <c r="A2760" s="337">
        <v>92019</v>
      </c>
      <c r="B2760" s="338" t="s">
        <v>3318</v>
      </c>
      <c r="C2760" s="337" t="s">
        <v>474</v>
      </c>
      <c r="D2760" s="339">
        <v>50.38</v>
      </c>
    </row>
    <row r="2761" spans="1:4" ht="40.5">
      <c r="A2761" s="337">
        <v>92020</v>
      </c>
      <c r="B2761" s="338" t="s">
        <v>3319</v>
      </c>
      <c r="C2761" s="337" t="s">
        <v>474</v>
      </c>
      <c r="D2761" s="339">
        <v>63.35</v>
      </c>
    </row>
    <row r="2762" spans="1:4" ht="40.5">
      <c r="A2762" s="337">
        <v>92021</v>
      </c>
      <c r="B2762" s="338" t="s">
        <v>3320</v>
      </c>
      <c r="C2762" s="337" t="s">
        <v>474</v>
      </c>
      <c r="D2762" s="339">
        <v>70.84</v>
      </c>
    </row>
    <row r="2763" spans="1:4" ht="54">
      <c r="A2763" s="337">
        <v>92022</v>
      </c>
      <c r="B2763" s="338" t="s">
        <v>3321</v>
      </c>
      <c r="C2763" s="337" t="s">
        <v>474</v>
      </c>
      <c r="D2763" s="339">
        <v>23.75</v>
      </c>
    </row>
    <row r="2764" spans="1:4" ht="54">
      <c r="A2764" s="337">
        <v>92023</v>
      </c>
      <c r="B2764" s="338" t="s">
        <v>3322</v>
      </c>
      <c r="C2764" s="337" t="s">
        <v>474</v>
      </c>
      <c r="D2764" s="339">
        <v>28.55</v>
      </c>
    </row>
    <row r="2765" spans="1:4" ht="54">
      <c r="A2765" s="337">
        <v>92024</v>
      </c>
      <c r="B2765" s="338" t="s">
        <v>3323</v>
      </c>
      <c r="C2765" s="337" t="s">
        <v>474</v>
      </c>
      <c r="D2765" s="339">
        <v>36.299999999999997</v>
      </c>
    </row>
    <row r="2766" spans="1:4" ht="54">
      <c r="A2766" s="337">
        <v>92025</v>
      </c>
      <c r="B2766" s="338" t="s">
        <v>3324</v>
      </c>
      <c r="C2766" s="337" t="s">
        <v>474</v>
      </c>
      <c r="D2766" s="339">
        <v>41.1</v>
      </c>
    </row>
    <row r="2767" spans="1:4" ht="54">
      <c r="A2767" s="337">
        <v>92026</v>
      </c>
      <c r="B2767" s="338" t="s">
        <v>3325</v>
      </c>
      <c r="C2767" s="337" t="s">
        <v>474</v>
      </c>
      <c r="D2767" s="339">
        <v>33.06</v>
      </c>
    </row>
    <row r="2768" spans="1:4" ht="54">
      <c r="A2768" s="337">
        <v>92027</v>
      </c>
      <c r="B2768" s="338" t="s">
        <v>3326</v>
      </c>
      <c r="C2768" s="337" t="s">
        <v>474</v>
      </c>
      <c r="D2768" s="339">
        <v>37.86</v>
      </c>
    </row>
    <row r="2769" spans="1:4" ht="54">
      <c r="A2769" s="337">
        <v>92028</v>
      </c>
      <c r="B2769" s="338" t="s">
        <v>3327</v>
      </c>
      <c r="C2769" s="337" t="s">
        <v>474</v>
      </c>
      <c r="D2769" s="339">
        <v>27.65</v>
      </c>
    </row>
    <row r="2770" spans="1:4" ht="54">
      <c r="A2770" s="337">
        <v>92029</v>
      </c>
      <c r="B2770" s="338" t="s">
        <v>3328</v>
      </c>
      <c r="C2770" s="337" t="s">
        <v>474</v>
      </c>
      <c r="D2770" s="339">
        <v>32.450000000000003</v>
      </c>
    </row>
    <row r="2771" spans="1:4" ht="54">
      <c r="A2771" s="337">
        <v>92030</v>
      </c>
      <c r="B2771" s="338" t="s">
        <v>3329</v>
      </c>
      <c r="C2771" s="337" t="s">
        <v>474</v>
      </c>
      <c r="D2771" s="339">
        <v>40.17</v>
      </c>
    </row>
    <row r="2772" spans="1:4" ht="54">
      <c r="A2772" s="337">
        <v>92031</v>
      </c>
      <c r="B2772" s="338" t="s">
        <v>3330</v>
      </c>
      <c r="C2772" s="337" t="s">
        <v>474</v>
      </c>
      <c r="D2772" s="339">
        <v>44.97</v>
      </c>
    </row>
    <row r="2773" spans="1:4" ht="54">
      <c r="A2773" s="337">
        <v>92032</v>
      </c>
      <c r="B2773" s="338" t="s">
        <v>3331</v>
      </c>
      <c r="C2773" s="337" t="s">
        <v>474</v>
      </c>
      <c r="D2773" s="339">
        <v>40.82</v>
      </c>
    </row>
    <row r="2774" spans="1:4" ht="54">
      <c r="A2774" s="337">
        <v>92033</v>
      </c>
      <c r="B2774" s="338" t="s">
        <v>3332</v>
      </c>
      <c r="C2774" s="337" t="s">
        <v>474</v>
      </c>
      <c r="D2774" s="339">
        <v>45.62</v>
      </c>
    </row>
    <row r="2775" spans="1:4" ht="67.5">
      <c r="A2775" s="337">
        <v>92034</v>
      </c>
      <c r="B2775" s="338" t="s">
        <v>3333</v>
      </c>
      <c r="C2775" s="337" t="s">
        <v>474</v>
      </c>
      <c r="D2775" s="339">
        <v>36.950000000000003</v>
      </c>
    </row>
    <row r="2776" spans="1:4" ht="67.5">
      <c r="A2776" s="337">
        <v>92035</v>
      </c>
      <c r="B2776" s="338" t="s">
        <v>3334</v>
      </c>
      <c r="C2776" s="337" t="s">
        <v>474</v>
      </c>
      <c r="D2776" s="339">
        <v>41.75</v>
      </c>
    </row>
    <row r="2777" spans="1:4" ht="27">
      <c r="A2777" s="337">
        <v>72278</v>
      </c>
      <c r="B2777" s="338" t="s">
        <v>3335</v>
      </c>
      <c r="C2777" s="337" t="s">
        <v>474</v>
      </c>
      <c r="D2777" s="339">
        <v>60.2</v>
      </c>
    </row>
    <row r="2778" spans="1:4" ht="27">
      <c r="A2778" s="337">
        <v>72280</v>
      </c>
      <c r="B2778" s="338" t="s">
        <v>3336</v>
      </c>
      <c r="C2778" s="337" t="s">
        <v>474</v>
      </c>
      <c r="D2778" s="339">
        <v>39.479999999999997</v>
      </c>
    </row>
    <row r="2779" spans="1:4" ht="54">
      <c r="A2779" s="337" t="s">
        <v>3337</v>
      </c>
      <c r="B2779" s="338" t="s">
        <v>3338</v>
      </c>
      <c r="C2779" s="337" t="s">
        <v>474</v>
      </c>
      <c r="D2779" s="339">
        <v>119.51</v>
      </c>
    </row>
    <row r="2780" spans="1:4" ht="54">
      <c r="A2780" s="337" t="s">
        <v>3339</v>
      </c>
      <c r="B2780" s="338" t="s">
        <v>3340</v>
      </c>
      <c r="C2780" s="337" t="s">
        <v>474</v>
      </c>
      <c r="D2780" s="339">
        <v>157.72</v>
      </c>
    </row>
    <row r="2781" spans="1:4" ht="54">
      <c r="A2781" s="337" t="s">
        <v>3341</v>
      </c>
      <c r="B2781" s="338" t="s">
        <v>3342</v>
      </c>
      <c r="C2781" s="337" t="s">
        <v>474</v>
      </c>
      <c r="D2781" s="339">
        <v>45.29</v>
      </c>
    </row>
    <row r="2782" spans="1:4" ht="40.5">
      <c r="A2782" s="337">
        <v>83391</v>
      </c>
      <c r="B2782" s="338" t="s">
        <v>3343</v>
      </c>
      <c r="C2782" s="337" t="s">
        <v>474</v>
      </c>
      <c r="D2782" s="339">
        <v>24.4</v>
      </c>
    </row>
    <row r="2783" spans="1:4" ht="40.5">
      <c r="A2783" s="337">
        <v>83392</v>
      </c>
      <c r="B2783" s="338" t="s">
        <v>3344</v>
      </c>
      <c r="C2783" s="337" t="s">
        <v>474</v>
      </c>
      <c r="D2783" s="339">
        <v>17.95</v>
      </c>
    </row>
    <row r="2784" spans="1:4" ht="40.5">
      <c r="A2784" s="337">
        <v>83393</v>
      </c>
      <c r="B2784" s="338" t="s">
        <v>3345</v>
      </c>
      <c r="C2784" s="337" t="s">
        <v>474</v>
      </c>
      <c r="D2784" s="339">
        <v>23.11</v>
      </c>
    </row>
    <row r="2785" spans="1:4" ht="27">
      <c r="A2785" s="337">
        <v>83470</v>
      </c>
      <c r="B2785" s="338" t="s">
        <v>3346</v>
      </c>
      <c r="C2785" s="337" t="s">
        <v>474</v>
      </c>
      <c r="D2785" s="339">
        <v>56.33</v>
      </c>
    </row>
    <row r="2786" spans="1:4" ht="27">
      <c r="A2786" s="337">
        <v>93040</v>
      </c>
      <c r="B2786" s="338" t="s">
        <v>3347</v>
      </c>
      <c r="C2786" s="337" t="s">
        <v>474</v>
      </c>
      <c r="D2786" s="339">
        <v>9.23</v>
      </c>
    </row>
    <row r="2787" spans="1:4" ht="27">
      <c r="A2787" s="337">
        <v>93041</v>
      </c>
      <c r="B2787" s="338" t="s">
        <v>3348</v>
      </c>
      <c r="C2787" s="337" t="s">
        <v>474</v>
      </c>
      <c r="D2787" s="339">
        <v>55.92</v>
      </c>
    </row>
    <row r="2788" spans="1:4" ht="40.5">
      <c r="A2788" s="337">
        <v>93042</v>
      </c>
      <c r="B2788" s="338" t="s">
        <v>3349</v>
      </c>
      <c r="C2788" s="337" t="s">
        <v>474</v>
      </c>
      <c r="D2788" s="339">
        <v>18.350000000000001</v>
      </c>
    </row>
    <row r="2789" spans="1:4" ht="40.5">
      <c r="A2789" s="337">
        <v>93043</v>
      </c>
      <c r="B2789" s="338" t="s">
        <v>3350</v>
      </c>
      <c r="C2789" s="337" t="s">
        <v>474</v>
      </c>
      <c r="D2789" s="339">
        <v>24.31</v>
      </c>
    </row>
    <row r="2790" spans="1:4" ht="40.5">
      <c r="A2790" s="337">
        <v>93044</v>
      </c>
      <c r="B2790" s="338" t="s">
        <v>3351</v>
      </c>
      <c r="C2790" s="337" t="s">
        <v>474</v>
      </c>
      <c r="D2790" s="339">
        <v>10.33</v>
      </c>
    </row>
    <row r="2791" spans="1:4" ht="27">
      <c r="A2791" s="337">
        <v>93045</v>
      </c>
      <c r="B2791" s="338" t="s">
        <v>3352</v>
      </c>
      <c r="C2791" s="337" t="s">
        <v>474</v>
      </c>
      <c r="D2791" s="339">
        <v>31.53</v>
      </c>
    </row>
    <row r="2792" spans="1:4" ht="40.5">
      <c r="A2792" s="337">
        <v>97583</v>
      </c>
      <c r="B2792" s="338" t="s">
        <v>3353</v>
      </c>
      <c r="C2792" s="337" t="s">
        <v>474</v>
      </c>
      <c r="D2792" s="339">
        <v>37.82</v>
      </c>
    </row>
    <row r="2793" spans="1:4" ht="40.5">
      <c r="A2793" s="337">
        <v>97584</v>
      </c>
      <c r="B2793" s="338" t="s">
        <v>3354</v>
      </c>
      <c r="C2793" s="337" t="s">
        <v>474</v>
      </c>
      <c r="D2793" s="339">
        <v>51.63</v>
      </c>
    </row>
    <row r="2794" spans="1:4" ht="40.5">
      <c r="A2794" s="337">
        <v>97585</v>
      </c>
      <c r="B2794" s="338" t="s">
        <v>3355</v>
      </c>
      <c r="C2794" s="337" t="s">
        <v>474</v>
      </c>
      <c r="D2794" s="339">
        <v>51.6</v>
      </c>
    </row>
    <row r="2795" spans="1:4" ht="40.5">
      <c r="A2795" s="337">
        <v>97586</v>
      </c>
      <c r="B2795" s="338" t="s">
        <v>3356</v>
      </c>
      <c r="C2795" s="337" t="s">
        <v>474</v>
      </c>
      <c r="D2795" s="339">
        <v>68.27</v>
      </c>
    </row>
    <row r="2796" spans="1:4" ht="40.5">
      <c r="A2796" s="337">
        <v>97587</v>
      </c>
      <c r="B2796" s="338" t="s">
        <v>3357</v>
      </c>
      <c r="C2796" s="337" t="s">
        <v>474</v>
      </c>
      <c r="D2796" s="339">
        <v>117.42</v>
      </c>
    </row>
    <row r="2797" spans="1:4" ht="40.5">
      <c r="A2797" s="337">
        <v>97589</v>
      </c>
      <c r="B2797" s="338" t="s">
        <v>3358</v>
      </c>
      <c r="C2797" s="337" t="s">
        <v>474</v>
      </c>
      <c r="D2797" s="339">
        <v>23.46</v>
      </c>
    </row>
    <row r="2798" spans="1:4" ht="54">
      <c r="A2798" s="337">
        <v>97590</v>
      </c>
      <c r="B2798" s="338" t="s">
        <v>3359</v>
      </c>
      <c r="C2798" s="337" t="s">
        <v>474</v>
      </c>
      <c r="D2798" s="339">
        <v>46.49</v>
      </c>
    </row>
    <row r="2799" spans="1:4" ht="54">
      <c r="A2799" s="337">
        <v>97591</v>
      </c>
      <c r="B2799" s="338" t="s">
        <v>3360</v>
      </c>
      <c r="C2799" s="337" t="s">
        <v>474</v>
      </c>
      <c r="D2799" s="339">
        <v>62.16</v>
      </c>
    </row>
    <row r="2800" spans="1:4" ht="40.5">
      <c r="A2800" s="337">
        <v>97592</v>
      </c>
      <c r="B2800" s="338" t="s">
        <v>3361</v>
      </c>
      <c r="C2800" s="337" t="s">
        <v>474</v>
      </c>
      <c r="D2800" s="339">
        <v>83.9</v>
      </c>
    </row>
    <row r="2801" spans="1:4" ht="40.5">
      <c r="A2801" s="337">
        <v>97593</v>
      </c>
      <c r="B2801" s="338" t="s">
        <v>3362</v>
      </c>
      <c r="C2801" s="337" t="s">
        <v>474</v>
      </c>
      <c r="D2801" s="339">
        <v>63.39</v>
      </c>
    </row>
    <row r="2802" spans="1:4" ht="40.5">
      <c r="A2802" s="337">
        <v>97594</v>
      </c>
      <c r="B2802" s="338" t="s">
        <v>3363</v>
      </c>
      <c r="C2802" s="337" t="s">
        <v>474</v>
      </c>
      <c r="D2802" s="339">
        <v>61.44</v>
      </c>
    </row>
    <row r="2803" spans="1:4" ht="40.5">
      <c r="A2803" s="337">
        <v>97595</v>
      </c>
      <c r="B2803" s="338" t="s">
        <v>3364</v>
      </c>
      <c r="C2803" s="337" t="s">
        <v>474</v>
      </c>
      <c r="D2803" s="339">
        <v>41.67</v>
      </c>
    </row>
    <row r="2804" spans="1:4" ht="40.5">
      <c r="A2804" s="337">
        <v>97596</v>
      </c>
      <c r="B2804" s="338" t="s">
        <v>3365</v>
      </c>
      <c r="C2804" s="337" t="s">
        <v>474</v>
      </c>
      <c r="D2804" s="339">
        <v>29.22</v>
      </c>
    </row>
    <row r="2805" spans="1:4" ht="40.5">
      <c r="A2805" s="337">
        <v>97597</v>
      </c>
      <c r="B2805" s="338" t="s">
        <v>3366</v>
      </c>
      <c r="C2805" s="337" t="s">
        <v>474</v>
      </c>
      <c r="D2805" s="339">
        <v>36.31</v>
      </c>
    </row>
    <row r="2806" spans="1:4" ht="40.5">
      <c r="A2806" s="337">
        <v>97598</v>
      </c>
      <c r="B2806" s="338" t="s">
        <v>3367</v>
      </c>
      <c r="C2806" s="337" t="s">
        <v>474</v>
      </c>
      <c r="D2806" s="339">
        <v>34.72</v>
      </c>
    </row>
    <row r="2807" spans="1:4" ht="27">
      <c r="A2807" s="337">
        <v>97599</v>
      </c>
      <c r="B2807" s="338" t="s">
        <v>3368</v>
      </c>
      <c r="C2807" s="337" t="s">
        <v>474</v>
      </c>
      <c r="D2807" s="339">
        <v>31.87</v>
      </c>
    </row>
    <row r="2808" spans="1:4" ht="27">
      <c r="A2808" s="337">
        <v>97609</v>
      </c>
      <c r="B2808" s="338" t="s">
        <v>3369</v>
      </c>
      <c r="C2808" s="337" t="s">
        <v>474</v>
      </c>
      <c r="D2808" s="339">
        <v>23.51</v>
      </c>
    </row>
    <row r="2809" spans="1:4" ht="27">
      <c r="A2809" s="337">
        <v>97610</v>
      </c>
      <c r="B2809" s="338" t="s">
        <v>3370</v>
      </c>
      <c r="C2809" s="337" t="s">
        <v>474</v>
      </c>
      <c r="D2809" s="339">
        <v>29.47</v>
      </c>
    </row>
    <row r="2810" spans="1:4" ht="40.5">
      <c r="A2810" s="337">
        <v>97611</v>
      </c>
      <c r="B2810" s="338" t="s">
        <v>3371</v>
      </c>
      <c r="C2810" s="337" t="s">
        <v>474</v>
      </c>
      <c r="D2810" s="339">
        <v>14.39</v>
      </c>
    </row>
    <row r="2811" spans="1:4" ht="40.5">
      <c r="A2811" s="337">
        <v>97612</v>
      </c>
      <c r="B2811" s="338" t="s">
        <v>3372</v>
      </c>
      <c r="C2811" s="337" t="s">
        <v>474</v>
      </c>
      <c r="D2811" s="339">
        <v>15.49</v>
      </c>
    </row>
    <row r="2812" spans="1:4" ht="40.5">
      <c r="A2812" s="337">
        <v>97613</v>
      </c>
      <c r="B2812" s="338" t="s">
        <v>3373</v>
      </c>
      <c r="C2812" s="337" t="s">
        <v>474</v>
      </c>
      <c r="D2812" s="339">
        <v>19.149999999999999</v>
      </c>
    </row>
    <row r="2813" spans="1:4" ht="40.5">
      <c r="A2813" s="337">
        <v>97614</v>
      </c>
      <c r="B2813" s="338" t="s">
        <v>3374</v>
      </c>
      <c r="C2813" s="337" t="s">
        <v>474</v>
      </c>
      <c r="D2813" s="339">
        <v>32.369999999999997</v>
      </c>
    </row>
    <row r="2814" spans="1:4" ht="40.5">
      <c r="A2814" s="337">
        <v>97615</v>
      </c>
      <c r="B2814" s="338" t="s">
        <v>3375</v>
      </c>
      <c r="C2814" s="337" t="s">
        <v>474</v>
      </c>
      <c r="D2814" s="339">
        <v>27.75</v>
      </c>
    </row>
    <row r="2815" spans="1:4" ht="40.5">
      <c r="A2815" s="337">
        <v>97616</v>
      </c>
      <c r="B2815" s="338" t="s">
        <v>3376</v>
      </c>
      <c r="C2815" s="337" t="s">
        <v>474</v>
      </c>
      <c r="D2815" s="339">
        <v>31.01</v>
      </c>
    </row>
    <row r="2816" spans="1:4" ht="40.5">
      <c r="A2816" s="337">
        <v>97617</v>
      </c>
      <c r="B2816" s="338" t="s">
        <v>3377</v>
      </c>
      <c r="C2816" s="337" t="s">
        <v>474</v>
      </c>
      <c r="D2816" s="339">
        <v>30.84</v>
      </c>
    </row>
    <row r="2817" spans="1:4" ht="40.5">
      <c r="A2817" s="337">
        <v>97618</v>
      </c>
      <c r="B2817" s="338" t="s">
        <v>3378</v>
      </c>
      <c r="C2817" s="337" t="s">
        <v>474</v>
      </c>
      <c r="D2817" s="339">
        <v>29.3</v>
      </c>
    </row>
    <row r="2818" spans="1:4" ht="54">
      <c r="A2818" s="337">
        <v>9540</v>
      </c>
      <c r="B2818" s="338" t="s">
        <v>3379</v>
      </c>
      <c r="C2818" s="337" t="s">
        <v>474</v>
      </c>
      <c r="D2818" s="339">
        <v>947.36</v>
      </c>
    </row>
    <row r="2819" spans="1:4" ht="27">
      <c r="A2819" s="337">
        <v>41598</v>
      </c>
      <c r="B2819" s="338" t="s">
        <v>3380</v>
      </c>
      <c r="C2819" s="337" t="s">
        <v>474</v>
      </c>
      <c r="D2819" s="340">
        <v>1328.41</v>
      </c>
    </row>
    <row r="2820" spans="1:4" ht="40.5">
      <c r="A2820" s="337">
        <v>72941</v>
      </c>
      <c r="B2820" s="338" t="s">
        <v>3381</v>
      </c>
      <c r="C2820" s="337" t="s">
        <v>474</v>
      </c>
      <c r="D2820" s="339">
        <v>152.84</v>
      </c>
    </row>
    <row r="2821" spans="1:4" ht="27">
      <c r="A2821" s="337">
        <v>73624</v>
      </c>
      <c r="B2821" s="338" t="s">
        <v>3382</v>
      </c>
      <c r="C2821" s="337" t="s">
        <v>474</v>
      </c>
      <c r="D2821" s="339">
        <v>71.72</v>
      </c>
    </row>
    <row r="2822" spans="1:4" ht="54">
      <c r="A2822" s="337" t="s">
        <v>3383</v>
      </c>
      <c r="B2822" s="338" t="s">
        <v>3384</v>
      </c>
      <c r="C2822" s="337" t="s">
        <v>474</v>
      </c>
      <c r="D2822" s="339">
        <v>9.08</v>
      </c>
    </row>
    <row r="2823" spans="1:4" ht="40.5">
      <c r="A2823" s="337" t="s">
        <v>3385</v>
      </c>
      <c r="B2823" s="338" t="s">
        <v>3386</v>
      </c>
      <c r="C2823" s="337" t="s">
        <v>474</v>
      </c>
      <c r="D2823" s="339">
        <v>9.3800000000000008</v>
      </c>
    </row>
    <row r="2824" spans="1:4" ht="54">
      <c r="A2824" s="337" t="s">
        <v>3387</v>
      </c>
      <c r="B2824" s="338" t="s">
        <v>3388</v>
      </c>
      <c r="C2824" s="337" t="s">
        <v>474</v>
      </c>
      <c r="D2824" s="339">
        <v>6.67</v>
      </c>
    </row>
    <row r="2825" spans="1:4" ht="54">
      <c r="A2825" s="337" t="s">
        <v>3389</v>
      </c>
      <c r="B2825" s="338" t="s">
        <v>3390</v>
      </c>
      <c r="C2825" s="337" t="s">
        <v>474</v>
      </c>
      <c r="D2825" s="339">
        <v>4.2</v>
      </c>
    </row>
    <row r="2826" spans="1:4" ht="54">
      <c r="A2826" s="337" t="s">
        <v>3391</v>
      </c>
      <c r="B2826" s="338" t="s">
        <v>3392</v>
      </c>
      <c r="C2826" s="337" t="s">
        <v>474</v>
      </c>
      <c r="D2826" s="339">
        <v>3.81</v>
      </c>
    </row>
    <row r="2827" spans="1:4" ht="54">
      <c r="A2827" s="337" t="s">
        <v>3393</v>
      </c>
      <c r="B2827" s="338" t="s">
        <v>3394</v>
      </c>
      <c r="C2827" s="337" t="s">
        <v>474</v>
      </c>
      <c r="D2827" s="339">
        <v>337.08</v>
      </c>
    </row>
    <row r="2828" spans="1:4" ht="27">
      <c r="A2828" s="337" t="s">
        <v>3395</v>
      </c>
      <c r="B2828" s="338" t="s">
        <v>3396</v>
      </c>
      <c r="C2828" s="337" t="s">
        <v>474</v>
      </c>
      <c r="D2828" s="339">
        <v>27.08</v>
      </c>
    </row>
    <row r="2829" spans="1:4" ht="40.5">
      <c r="A2829" s="337" t="s">
        <v>3397</v>
      </c>
      <c r="B2829" s="338" t="s">
        <v>3398</v>
      </c>
      <c r="C2829" s="337" t="s">
        <v>474</v>
      </c>
      <c r="D2829" s="339">
        <v>83.49</v>
      </c>
    </row>
    <row r="2830" spans="1:4" ht="27">
      <c r="A2830" s="337">
        <v>88543</v>
      </c>
      <c r="B2830" s="338" t="s">
        <v>3399</v>
      </c>
      <c r="C2830" s="337" t="s">
        <v>474</v>
      </c>
      <c r="D2830" s="339">
        <v>132.27000000000001</v>
      </c>
    </row>
    <row r="2831" spans="1:4" ht="27">
      <c r="A2831" s="337">
        <v>88544</v>
      </c>
      <c r="B2831" s="338" t="s">
        <v>3400</v>
      </c>
      <c r="C2831" s="337" t="s">
        <v>474</v>
      </c>
      <c r="D2831" s="339">
        <v>82.07</v>
      </c>
    </row>
    <row r="2832" spans="1:4" ht="40.5">
      <c r="A2832" s="337">
        <v>88545</v>
      </c>
      <c r="B2832" s="338" t="s">
        <v>3401</v>
      </c>
      <c r="C2832" s="337" t="s">
        <v>474</v>
      </c>
      <c r="D2832" s="339">
        <v>153.21</v>
      </c>
    </row>
    <row r="2833" spans="1:4" ht="54">
      <c r="A2833" s="337" t="s">
        <v>3402</v>
      </c>
      <c r="B2833" s="338" t="s">
        <v>3403</v>
      </c>
      <c r="C2833" s="337" t="s">
        <v>474</v>
      </c>
      <c r="D2833" s="339">
        <v>537.71</v>
      </c>
    </row>
    <row r="2834" spans="1:4" ht="54">
      <c r="A2834" s="337" t="s">
        <v>3404</v>
      </c>
      <c r="B2834" s="338" t="s">
        <v>3405</v>
      </c>
      <c r="C2834" s="337" t="s">
        <v>474</v>
      </c>
      <c r="D2834" s="339">
        <v>492.8</v>
      </c>
    </row>
    <row r="2835" spans="1:4" ht="54">
      <c r="A2835" s="337" t="s">
        <v>3406</v>
      </c>
      <c r="B2835" s="338" t="s">
        <v>3407</v>
      </c>
      <c r="C2835" s="337" t="s">
        <v>474</v>
      </c>
      <c r="D2835" s="339">
        <v>545.78</v>
      </c>
    </row>
    <row r="2836" spans="1:4" ht="54">
      <c r="A2836" s="337" t="s">
        <v>3408</v>
      </c>
      <c r="B2836" s="338" t="s">
        <v>3409</v>
      </c>
      <c r="C2836" s="337" t="s">
        <v>474</v>
      </c>
      <c r="D2836" s="339">
        <v>634.76</v>
      </c>
    </row>
    <row r="2837" spans="1:4" ht="54">
      <c r="A2837" s="337" t="s">
        <v>3410</v>
      </c>
      <c r="B2837" s="338" t="s">
        <v>3411</v>
      </c>
      <c r="C2837" s="337" t="s">
        <v>474</v>
      </c>
      <c r="D2837" s="340">
        <v>1104.73</v>
      </c>
    </row>
    <row r="2838" spans="1:4" ht="54">
      <c r="A2838" s="337" t="s">
        <v>3412</v>
      </c>
      <c r="B2838" s="338" t="s">
        <v>3413</v>
      </c>
      <c r="C2838" s="337" t="s">
        <v>474</v>
      </c>
      <c r="D2838" s="340">
        <v>1107.03</v>
      </c>
    </row>
    <row r="2839" spans="1:4" ht="54">
      <c r="A2839" s="337" t="s">
        <v>3414</v>
      </c>
      <c r="B2839" s="338" t="s">
        <v>3415</v>
      </c>
      <c r="C2839" s="337" t="s">
        <v>474</v>
      </c>
      <c r="D2839" s="340">
        <v>1312.65</v>
      </c>
    </row>
    <row r="2840" spans="1:4" ht="54">
      <c r="A2840" s="337" t="s">
        <v>388</v>
      </c>
      <c r="B2840" s="338" t="s">
        <v>3416</v>
      </c>
      <c r="C2840" s="337" t="s">
        <v>474</v>
      </c>
      <c r="D2840" s="340">
        <v>1997.59</v>
      </c>
    </row>
    <row r="2841" spans="1:4" ht="54">
      <c r="A2841" s="337" t="s">
        <v>3417</v>
      </c>
      <c r="B2841" s="338" t="s">
        <v>3418</v>
      </c>
      <c r="C2841" s="337" t="s">
        <v>474</v>
      </c>
      <c r="D2841" s="339">
        <v>730.89</v>
      </c>
    </row>
    <row r="2842" spans="1:4" ht="54">
      <c r="A2842" s="337" t="s">
        <v>3419</v>
      </c>
      <c r="B2842" s="338" t="s">
        <v>3420</v>
      </c>
      <c r="C2842" s="337" t="s">
        <v>474</v>
      </c>
      <c r="D2842" s="339">
        <v>828.14</v>
      </c>
    </row>
    <row r="2843" spans="1:4" ht="54">
      <c r="A2843" s="337" t="s">
        <v>3421</v>
      </c>
      <c r="B2843" s="338" t="s">
        <v>3422</v>
      </c>
      <c r="C2843" s="337" t="s">
        <v>474</v>
      </c>
      <c r="D2843" s="339">
        <v>888.27</v>
      </c>
    </row>
    <row r="2844" spans="1:4" ht="54">
      <c r="A2844" s="337" t="s">
        <v>3423</v>
      </c>
      <c r="B2844" s="338" t="s">
        <v>3424</v>
      </c>
      <c r="C2844" s="337" t="s">
        <v>474</v>
      </c>
      <c r="D2844" s="340">
        <v>1051.93</v>
      </c>
    </row>
    <row r="2845" spans="1:4" ht="54">
      <c r="A2845" s="337" t="s">
        <v>3425</v>
      </c>
      <c r="B2845" s="338" t="s">
        <v>3426</v>
      </c>
      <c r="C2845" s="337" t="s">
        <v>474</v>
      </c>
      <c r="D2845" s="340">
        <v>1388.7</v>
      </c>
    </row>
    <row r="2846" spans="1:4" ht="54">
      <c r="A2846" s="337">
        <v>83394</v>
      </c>
      <c r="B2846" s="338" t="s">
        <v>3427</v>
      </c>
      <c r="C2846" s="337" t="s">
        <v>474</v>
      </c>
      <c r="D2846" s="339">
        <v>928.26</v>
      </c>
    </row>
    <row r="2847" spans="1:4" ht="54">
      <c r="A2847" s="337">
        <v>83396</v>
      </c>
      <c r="B2847" s="338" t="s">
        <v>3428</v>
      </c>
      <c r="C2847" s="337" t="s">
        <v>474</v>
      </c>
      <c r="D2847" s="339">
        <v>837.08</v>
      </c>
    </row>
    <row r="2848" spans="1:4" ht="54">
      <c r="A2848" s="337">
        <v>83397</v>
      </c>
      <c r="B2848" s="338" t="s">
        <v>3429</v>
      </c>
      <c r="C2848" s="337" t="s">
        <v>474</v>
      </c>
      <c r="D2848" s="340">
        <v>1106.1500000000001</v>
      </c>
    </row>
    <row r="2849" spans="1:4" ht="54">
      <c r="A2849" s="337">
        <v>83398</v>
      </c>
      <c r="B2849" s="338" t="s">
        <v>3430</v>
      </c>
      <c r="C2849" s="337" t="s">
        <v>474</v>
      </c>
      <c r="D2849" s="339">
        <v>972.5</v>
      </c>
    </row>
    <row r="2850" spans="1:4" ht="40.5">
      <c r="A2850" s="337" t="s">
        <v>3431</v>
      </c>
      <c r="B2850" s="338" t="s">
        <v>3432</v>
      </c>
      <c r="C2850" s="337" t="s">
        <v>474</v>
      </c>
      <c r="D2850" s="340">
        <v>1074.8900000000001</v>
      </c>
    </row>
    <row r="2851" spans="1:4" ht="54">
      <c r="A2851" s="337" t="s">
        <v>3433</v>
      </c>
      <c r="B2851" s="338" t="s">
        <v>3434</v>
      </c>
      <c r="C2851" s="337" t="s">
        <v>474</v>
      </c>
      <c r="D2851" s="340">
        <v>1076.27</v>
      </c>
    </row>
    <row r="2852" spans="1:4" ht="54">
      <c r="A2852" s="337" t="s">
        <v>3435</v>
      </c>
      <c r="B2852" s="338" t="s">
        <v>3436</v>
      </c>
      <c r="C2852" s="337" t="s">
        <v>474</v>
      </c>
      <c r="D2852" s="340">
        <v>1109.02</v>
      </c>
    </row>
    <row r="2853" spans="1:4" ht="40.5">
      <c r="A2853" s="337" t="s">
        <v>3437</v>
      </c>
      <c r="B2853" s="338" t="s">
        <v>3438</v>
      </c>
      <c r="C2853" s="337" t="s">
        <v>474</v>
      </c>
      <c r="D2853" s="340">
        <v>1119.23</v>
      </c>
    </row>
    <row r="2854" spans="1:4" ht="40.5">
      <c r="A2854" s="337" t="s">
        <v>3439</v>
      </c>
      <c r="B2854" s="338" t="s">
        <v>3440</v>
      </c>
      <c r="C2854" s="337" t="s">
        <v>474</v>
      </c>
      <c r="D2854" s="339">
        <v>701.64</v>
      </c>
    </row>
    <row r="2855" spans="1:4" ht="27">
      <c r="A2855" s="337">
        <v>72281</v>
      </c>
      <c r="B2855" s="338" t="s">
        <v>3441</v>
      </c>
      <c r="C2855" s="337" t="s">
        <v>474</v>
      </c>
      <c r="D2855" s="339">
        <v>90.09</v>
      </c>
    </row>
    <row r="2856" spans="1:4" ht="27">
      <c r="A2856" s="337">
        <v>72282</v>
      </c>
      <c r="B2856" s="338" t="s">
        <v>3442</v>
      </c>
      <c r="C2856" s="337" t="s">
        <v>474</v>
      </c>
      <c r="D2856" s="339">
        <v>121.35</v>
      </c>
    </row>
    <row r="2857" spans="1:4" ht="27">
      <c r="A2857" s="337" t="s">
        <v>3443</v>
      </c>
      <c r="B2857" s="338" t="s">
        <v>3444</v>
      </c>
      <c r="C2857" s="337" t="s">
        <v>474</v>
      </c>
      <c r="D2857" s="339">
        <v>26.07</v>
      </c>
    </row>
    <row r="2858" spans="1:4" ht="27">
      <c r="A2858" s="337" t="s">
        <v>3445</v>
      </c>
      <c r="B2858" s="338" t="s">
        <v>3446</v>
      </c>
      <c r="C2858" s="337" t="s">
        <v>474</v>
      </c>
      <c r="D2858" s="339">
        <v>34.25</v>
      </c>
    </row>
    <row r="2859" spans="1:4" ht="27">
      <c r="A2859" s="337" t="s">
        <v>3447</v>
      </c>
      <c r="B2859" s="338" t="s">
        <v>3448</v>
      </c>
      <c r="C2859" s="337" t="s">
        <v>474</v>
      </c>
      <c r="D2859" s="339">
        <v>16.84</v>
      </c>
    </row>
    <row r="2860" spans="1:4" ht="27">
      <c r="A2860" s="337" t="s">
        <v>3449</v>
      </c>
      <c r="B2860" s="338" t="s">
        <v>3450</v>
      </c>
      <c r="C2860" s="337" t="s">
        <v>474</v>
      </c>
      <c r="D2860" s="339">
        <v>21.7</v>
      </c>
    </row>
    <row r="2861" spans="1:4" ht="27">
      <c r="A2861" s="337" t="s">
        <v>3451</v>
      </c>
      <c r="B2861" s="338" t="s">
        <v>3452</v>
      </c>
      <c r="C2861" s="337" t="s">
        <v>474</v>
      </c>
      <c r="D2861" s="339">
        <v>38.18</v>
      </c>
    </row>
    <row r="2862" spans="1:4" ht="27">
      <c r="A2862" s="337" t="s">
        <v>3453</v>
      </c>
      <c r="B2862" s="338" t="s">
        <v>3454</v>
      </c>
      <c r="C2862" s="337" t="s">
        <v>474</v>
      </c>
      <c r="D2862" s="339">
        <v>30.9</v>
      </c>
    </row>
    <row r="2863" spans="1:4" ht="27">
      <c r="A2863" s="337" t="s">
        <v>3455</v>
      </c>
      <c r="B2863" s="338" t="s">
        <v>3456</v>
      </c>
      <c r="C2863" s="337" t="s">
        <v>474</v>
      </c>
      <c r="D2863" s="339">
        <v>35.159999999999997</v>
      </c>
    </row>
    <row r="2864" spans="1:4" ht="27">
      <c r="A2864" s="337" t="s">
        <v>3457</v>
      </c>
      <c r="B2864" s="338" t="s">
        <v>3458</v>
      </c>
      <c r="C2864" s="337" t="s">
        <v>474</v>
      </c>
      <c r="D2864" s="339">
        <v>40.39</v>
      </c>
    </row>
    <row r="2865" spans="1:4" ht="81">
      <c r="A2865" s="337" t="s">
        <v>3459</v>
      </c>
      <c r="B2865" s="338" t="s">
        <v>3460</v>
      </c>
      <c r="C2865" s="337" t="s">
        <v>474</v>
      </c>
      <c r="D2865" s="339">
        <v>116.08</v>
      </c>
    </row>
    <row r="2866" spans="1:4" ht="27">
      <c r="A2866" s="337" t="s">
        <v>3461</v>
      </c>
      <c r="B2866" s="338" t="s">
        <v>3462</v>
      </c>
      <c r="C2866" s="337" t="s">
        <v>474</v>
      </c>
      <c r="D2866" s="339">
        <v>224.44</v>
      </c>
    </row>
    <row r="2867" spans="1:4" ht="40.5">
      <c r="A2867" s="337">
        <v>83399</v>
      </c>
      <c r="B2867" s="338" t="s">
        <v>3463</v>
      </c>
      <c r="C2867" s="337" t="s">
        <v>474</v>
      </c>
      <c r="D2867" s="339">
        <v>26.13</v>
      </c>
    </row>
    <row r="2868" spans="1:4" ht="67.5">
      <c r="A2868" s="337">
        <v>83400</v>
      </c>
      <c r="B2868" s="338" t="s">
        <v>3464</v>
      </c>
      <c r="C2868" s="337" t="s">
        <v>474</v>
      </c>
      <c r="D2868" s="339">
        <v>85.33</v>
      </c>
    </row>
    <row r="2869" spans="1:4" ht="54">
      <c r="A2869" s="337">
        <v>83401</v>
      </c>
      <c r="B2869" s="338" t="s">
        <v>3465</v>
      </c>
      <c r="C2869" s="337" t="s">
        <v>474</v>
      </c>
      <c r="D2869" s="339">
        <v>85.33</v>
      </c>
    </row>
    <row r="2870" spans="1:4" ht="40.5">
      <c r="A2870" s="337">
        <v>83402</v>
      </c>
      <c r="B2870" s="338" t="s">
        <v>3466</v>
      </c>
      <c r="C2870" s="337" t="s">
        <v>474</v>
      </c>
      <c r="D2870" s="339">
        <v>46.71</v>
      </c>
    </row>
    <row r="2871" spans="1:4" ht="54">
      <c r="A2871" s="337">
        <v>83475</v>
      </c>
      <c r="B2871" s="338" t="s">
        <v>3467</v>
      </c>
      <c r="C2871" s="337" t="s">
        <v>474</v>
      </c>
      <c r="D2871" s="339">
        <v>322.89</v>
      </c>
    </row>
    <row r="2872" spans="1:4" ht="54">
      <c r="A2872" s="337">
        <v>83478</v>
      </c>
      <c r="B2872" s="338" t="s">
        <v>3468</v>
      </c>
      <c r="C2872" s="337" t="s">
        <v>474</v>
      </c>
      <c r="D2872" s="339">
        <v>232.3</v>
      </c>
    </row>
    <row r="2873" spans="1:4" ht="40.5">
      <c r="A2873" s="337">
        <v>83479</v>
      </c>
      <c r="B2873" s="338" t="s">
        <v>3469</v>
      </c>
      <c r="C2873" s="337" t="s">
        <v>474</v>
      </c>
      <c r="D2873" s="339">
        <v>92.01</v>
      </c>
    </row>
    <row r="2874" spans="1:4" ht="27">
      <c r="A2874" s="337">
        <v>83480</v>
      </c>
      <c r="B2874" s="338" t="s">
        <v>3470</v>
      </c>
      <c r="C2874" s="337" t="s">
        <v>474</v>
      </c>
      <c r="D2874" s="339">
        <v>72.63</v>
      </c>
    </row>
    <row r="2875" spans="1:4" ht="27">
      <c r="A2875" s="337">
        <v>83481</v>
      </c>
      <c r="B2875" s="338" t="s">
        <v>3471</v>
      </c>
      <c r="C2875" s="337" t="s">
        <v>474</v>
      </c>
      <c r="D2875" s="339">
        <v>81.62</v>
      </c>
    </row>
    <row r="2876" spans="1:4" ht="40.5">
      <c r="A2876" s="337">
        <v>97600</v>
      </c>
      <c r="B2876" s="338" t="s">
        <v>3472</v>
      </c>
      <c r="C2876" s="337" t="s">
        <v>474</v>
      </c>
      <c r="D2876" s="339">
        <v>174.07</v>
      </c>
    </row>
    <row r="2877" spans="1:4" ht="40.5">
      <c r="A2877" s="337">
        <v>97601</v>
      </c>
      <c r="B2877" s="338" t="s">
        <v>3473</v>
      </c>
      <c r="C2877" s="337" t="s">
        <v>474</v>
      </c>
      <c r="D2877" s="339">
        <v>183.92</v>
      </c>
    </row>
    <row r="2878" spans="1:4" ht="40.5">
      <c r="A2878" s="337">
        <v>97605</v>
      </c>
      <c r="B2878" s="338" t="s">
        <v>3474</v>
      </c>
      <c r="C2878" s="337" t="s">
        <v>474</v>
      </c>
      <c r="D2878" s="339">
        <v>55.52</v>
      </c>
    </row>
    <row r="2879" spans="1:4" ht="40.5">
      <c r="A2879" s="337">
        <v>97606</v>
      </c>
      <c r="B2879" s="338" t="s">
        <v>3475</v>
      </c>
      <c r="C2879" s="337" t="s">
        <v>474</v>
      </c>
      <c r="D2879" s="339">
        <v>46.4</v>
      </c>
    </row>
    <row r="2880" spans="1:4" ht="40.5">
      <c r="A2880" s="337">
        <v>97607</v>
      </c>
      <c r="B2880" s="338" t="s">
        <v>3476</v>
      </c>
      <c r="C2880" s="337" t="s">
        <v>474</v>
      </c>
      <c r="D2880" s="339">
        <v>80.819999999999993</v>
      </c>
    </row>
    <row r="2881" spans="1:4" ht="40.5">
      <c r="A2881" s="337">
        <v>97608</v>
      </c>
      <c r="B2881" s="338" t="s">
        <v>3477</v>
      </c>
      <c r="C2881" s="337" t="s">
        <v>474</v>
      </c>
      <c r="D2881" s="339">
        <v>62.58</v>
      </c>
    </row>
    <row r="2882" spans="1:4" ht="40.5">
      <c r="A2882" s="337" t="s">
        <v>3478</v>
      </c>
      <c r="B2882" s="338" t="s">
        <v>3479</v>
      </c>
      <c r="C2882" s="337" t="s">
        <v>474</v>
      </c>
      <c r="D2882" s="340">
        <v>6465.32</v>
      </c>
    </row>
    <row r="2883" spans="1:4" ht="40.5">
      <c r="A2883" s="337" t="s">
        <v>3480</v>
      </c>
      <c r="B2883" s="338" t="s">
        <v>3481</v>
      </c>
      <c r="C2883" s="337" t="s">
        <v>474</v>
      </c>
      <c r="D2883" s="340">
        <v>7989.65</v>
      </c>
    </row>
    <row r="2884" spans="1:4" ht="40.5">
      <c r="A2884" s="337" t="s">
        <v>3482</v>
      </c>
      <c r="B2884" s="338" t="s">
        <v>3483</v>
      </c>
      <c r="C2884" s="337" t="s">
        <v>474</v>
      </c>
      <c r="D2884" s="340">
        <v>10071.879999999999</v>
      </c>
    </row>
    <row r="2885" spans="1:4" ht="40.5">
      <c r="A2885" s="337" t="s">
        <v>3484</v>
      </c>
      <c r="B2885" s="338" t="s">
        <v>3485</v>
      </c>
      <c r="C2885" s="337" t="s">
        <v>474</v>
      </c>
      <c r="D2885" s="340">
        <v>14106.32</v>
      </c>
    </row>
    <row r="2886" spans="1:4" ht="40.5">
      <c r="A2886" s="337" t="s">
        <v>3486</v>
      </c>
      <c r="B2886" s="338" t="s">
        <v>3487</v>
      </c>
      <c r="C2886" s="337" t="s">
        <v>474</v>
      </c>
      <c r="D2886" s="340">
        <v>16454.66</v>
      </c>
    </row>
    <row r="2887" spans="1:4" ht="40.5">
      <c r="A2887" s="337" t="s">
        <v>3488</v>
      </c>
      <c r="B2887" s="338" t="s">
        <v>3489</v>
      </c>
      <c r="C2887" s="337" t="s">
        <v>474</v>
      </c>
      <c r="D2887" s="340">
        <v>26785.45</v>
      </c>
    </row>
    <row r="2888" spans="1:4" ht="40.5">
      <c r="A2888" s="337" t="s">
        <v>3490</v>
      </c>
      <c r="B2888" s="338" t="s">
        <v>3491</v>
      </c>
      <c r="C2888" s="337" t="s">
        <v>474</v>
      </c>
      <c r="D2888" s="340">
        <v>4463.47</v>
      </c>
    </row>
    <row r="2889" spans="1:4" ht="40.5">
      <c r="A2889" s="337" t="s">
        <v>3492</v>
      </c>
      <c r="B2889" s="338" t="s">
        <v>3493</v>
      </c>
      <c r="C2889" s="337" t="s">
        <v>474</v>
      </c>
      <c r="D2889" s="340">
        <v>4997.97</v>
      </c>
    </row>
    <row r="2890" spans="1:4" ht="40.5">
      <c r="A2890" s="337" t="s">
        <v>3494</v>
      </c>
      <c r="B2890" s="338" t="s">
        <v>3495</v>
      </c>
      <c r="C2890" s="337" t="s">
        <v>474</v>
      </c>
      <c r="D2890" s="340">
        <v>36702.69</v>
      </c>
    </row>
    <row r="2891" spans="1:4" ht="40.5">
      <c r="A2891" s="337" t="s">
        <v>3496</v>
      </c>
      <c r="B2891" s="338" t="s">
        <v>3497</v>
      </c>
      <c r="C2891" s="337" t="s">
        <v>474</v>
      </c>
      <c r="D2891" s="340">
        <v>51339.53</v>
      </c>
    </row>
    <row r="2892" spans="1:4" ht="67.5">
      <c r="A2892" s="337">
        <v>93128</v>
      </c>
      <c r="B2892" s="338" t="s">
        <v>3498</v>
      </c>
      <c r="C2892" s="337" t="s">
        <v>474</v>
      </c>
      <c r="D2892" s="339">
        <v>94.1</v>
      </c>
    </row>
    <row r="2893" spans="1:4" ht="81">
      <c r="A2893" s="337">
        <v>93137</v>
      </c>
      <c r="B2893" s="338" t="s">
        <v>3499</v>
      </c>
      <c r="C2893" s="337" t="s">
        <v>474</v>
      </c>
      <c r="D2893" s="339">
        <v>110.59</v>
      </c>
    </row>
    <row r="2894" spans="1:4" ht="67.5">
      <c r="A2894" s="337">
        <v>93138</v>
      </c>
      <c r="B2894" s="338" t="s">
        <v>3500</v>
      </c>
      <c r="C2894" s="337" t="s">
        <v>474</v>
      </c>
      <c r="D2894" s="339">
        <v>105.18</v>
      </c>
    </row>
    <row r="2895" spans="1:4" ht="81">
      <c r="A2895" s="337">
        <v>93139</v>
      </c>
      <c r="B2895" s="338" t="s">
        <v>3501</v>
      </c>
      <c r="C2895" s="337" t="s">
        <v>474</v>
      </c>
      <c r="D2895" s="339">
        <v>132.71</v>
      </c>
    </row>
    <row r="2896" spans="1:4" ht="81">
      <c r="A2896" s="337">
        <v>93140</v>
      </c>
      <c r="B2896" s="338" t="s">
        <v>3502</v>
      </c>
      <c r="C2896" s="337" t="s">
        <v>474</v>
      </c>
      <c r="D2896" s="339">
        <v>125.21</v>
      </c>
    </row>
    <row r="2897" spans="1:4" ht="54">
      <c r="A2897" s="337">
        <v>93141</v>
      </c>
      <c r="B2897" s="338" t="s">
        <v>3503</v>
      </c>
      <c r="C2897" s="337" t="s">
        <v>474</v>
      </c>
      <c r="D2897" s="339">
        <v>114.49</v>
      </c>
    </row>
    <row r="2898" spans="1:4" ht="54">
      <c r="A2898" s="337">
        <v>93142</v>
      </c>
      <c r="B2898" s="338" t="s">
        <v>3504</v>
      </c>
      <c r="C2898" s="337" t="s">
        <v>474</v>
      </c>
      <c r="D2898" s="339">
        <v>127</v>
      </c>
    </row>
    <row r="2899" spans="1:4" ht="54">
      <c r="A2899" s="337">
        <v>93143</v>
      </c>
      <c r="B2899" s="338" t="s">
        <v>3505</v>
      </c>
      <c r="C2899" s="337" t="s">
        <v>474</v>
      </c>
      <c r="D2899" s="339">
        <v>115.75</v>
      </c>
    </row>
    <row r="2900" spans="1:4" ht="67.5">
      <c r="A2900" s="337">
        <v>93144</v>
      </c>
      <c r="B2900" s="338" t="s">
        <v>3506</v>
      </c>
      <c r="C2900" s="337" t="s">
        <v>474</v>
      </c>
      <c r="D2900" s="339">
        <v>148.62</v>
      </c>
    </row>
    <row r="2901" spans="1:4" ht="81">
      <c r="A2901" s="337">
        <v>93145</v>
      </c>
      <c r="B2901" s="338" t="s">
        <v>3507</v>
      </c>
      <c r="C2901" s="337" t="s">
        <v>474</v>
      </c>
      <c r="D2901" s="339">
        <v>138.11000000000001</v>
      </c>
    </row>
    <row r="2902" spans="1:4" ht="81">
      <c r="A2902" s="337">
        <v>93146</v>
      </c>
      <c r="B2902" s="338" t="s">
        <v>3508</v>
      </c>
      <c r="C2902" s="337" t="s">
        <v>474</v>
      </c>
      <c r="D2902" s="339">
        <v>149.19</v>
      </c>
    </row>
    <row r="2903" spans="1:4" ht="94.5">
      <c r="A2903" s="337">
        <v>93147</v>
      </c>
      <c r="B2903" s="338" t="s">
        <v>3509</v>
      </c>
      <c r="C2903" s="337" t="s">
        <v>474</v>
      </c>
      <c r="D2903" s="339">
        <v>169.26</v>
      </c>
    </row>
    <row r="2904" spans="1:4" ht="13.5">
      <c r="A2904" s="337">
        <v>8260</v>
      </c>
      <c r="B2904" s="338" t="s">
        <v>3510</v>
      </c>
      <c r="C2904" s="337" t="s">
        <v>474</v>
      </c>
      <c r="D2904" s="340">
        <v>2741.01</v>
      </c>
    </row>
    <row r="2905" spans="1:4" ht="27">
      <c r="A2905" s="337">
        <v>72315</v>
      </c>
      <c r="B2905" s="338" t="s">
        <v>3511</v>
      </c>
      <c r="C2905" s="337" t="s">
        <v>474</v>
      </c>
      <c r="D2905" s="339">
        <v>24.7</v>
      </c>
    </row>
    <row r="2906" spans="1:4" ht="40.5">
      <c r="A2906" s="337">
        <v>96971</v>
      </c>
      <c r="B2906" s="338" t="s">
        <v>3512</v>
      </c>
      <c r="C2906" s="337" t="s">
        <v>172</v>
      </c>
      <c r="D2906" s="339">
        <v>20.38</v>
      </c>
    </row>
    <row r="2907" spans="1:4" ht="40.5">
      <c r="A2907" s="337">
        <v>96972</v>
      </c>
      <c r="B2907" s="338" t="s">
        <v>3513</v>
      </c>
      <c r="C2907" s="337" t="s">
        <v>172</v>
      </c>
      <c r="D2907" s="339">
        <v>27.96</v>
      </c>
    </row>
    <row r="2908" spans="1:4" ht="40.5">
      <c r="A2908" s="337">
        <v>96973</v>
      </c>
      <c r="B2908" s="338" t="s">
        <v>3514</v>
      </c>
      <c r="C2908" s="337" t="s">
        <v>172</v>
      </c>
      <c r="D2908" s="339">
        <v>35.21</v>
      </c>
    </row>
    <row r="2909" spans="1:4" ht="40.5">
      <c r="A2909" s="337">
        <v>96974</v>
      </c>
      <c r="B2909" s="338" t="s">
        <v>3515</v>
      </c>
      <c r="C2909" s="337" t="s">
        <v>172</v>
      </c>
      <c r="D2909" s="339">
        <v>44.72</v>
      </c>
    </row>
    <row r="2910" spans="1:4" ht="40.5">
      <c r="A2910" s="337">
        <v>96975</v>
      </c>
      <c r="B2910" s="338" t="s">
        <v>3516</v>
      </c>
      <c r="C2910" s="337" t="s">
        <v>172</v>
      </c>
      <c r="D2910" s="339">
        <v>57.31</v>
      </c>
    </row>
    <row r="2911" spans="1:4" ht="40.5">
      <c r="A2911" s="337">
        <v>96976</v>
      </c>
      <c r="B2911" s="338" t="s">
        <v>3517</v>
      </c>
      <c r="C2911" s="337" t="s">
        <v>172</v>
      </c>
      <c r="D2911" s="339">
        <v>73.95</v>
      </c>
    </row>
    <row r="2912" spans="1:4" ht="40.5">
      <c r="A2912" s="337">
        <v>96977</v>
      </c>
      <c r="B2912" s="338" t="s">
        <v>3518</v>
      </c>
      <c r="C2912" s="337" t="s">
        <v>172</v>
      </c>
      <c r="D2912" s="339">
        <v>27.75</v>
      </c>
    </row>
    <row r="2913" spans="1:4" ht="40.5">
      <c r="A2913" s="337">
        <v>96978</v>
      </c>
      <c r="B2913" s="338" t="s">
        <v>3519</v>
      </c>
      <c r="C2913" s="337" t="s">
        <v>172</v>
      </c>
      <c r="D2913" s="339">
        <v>38.880000000000003</v>
      </c>
    </row>
    <row r="2914" spans="1:4" ht="40.5">
      <c r="A2914" s="337">
        <v>96979</v>
      </c>
      <c r="B2914" s="338" t="s">
        <v>3520</v>
      </c>
      <c r="C2914" s="337" t="s">
        <v>172</v>
      </c>
      <c r="D2914" s="339">
        <v>54.43</v>
      </c>
    </row>
    <row r="2915" spans="1:4" ht="27">
      <c r="A2915" s="337">
        <v>96984</v>
      </c>
      <c r="B2915" s="338" t="s">
        <v>3521</v>
      </c>
      <c r="C2915" s="337" t="s">
        <v>474</v>
      </c>
      <c r="D2915" s="339">
        <v>35.61</v>
      </c>
    </row>
    <row r="2916" spans="1:4" ht="27">
      <c r="A2916" s="337">
        <v>96985</v>
      </c>
      <c r="B2916" s="338" t="s">
        <v>3522</v>
      </c>
      <c r="C2916" s="337" t="s">
        <v>474</v>
      </c>
      <c r="D2916" s="339">
        <v>41.75</v>
      </c>
    </row>
    <row r="2917" spans="1:4" ht="27">
      <c r="A2917" s="337">
        <v>96986</v>
      </c>
      <c r="B2917" s="338" t="s">
        <v>3523</v>
      </c>
      <c r="C2917" s="337" t="s">
        <v>474</v>
      </c>
      <c r="D2917" s="339">
        <v>62.45</v>
      </c>
    </row>
    <row r="2918" spans="1:4" ht="40.5">
      <c r="A2918" s="337">
        <v>96987</v>
      </c>
      <c r="B2918" s="338" t="s">
        <v>3524</v>
      </c>
      <c r="C2918" s="337" t="s">
        <v>474</v>
      </c>
      <c r="D2918" s="339">
        <v>90.64</v>
      </c>
    </row>
    <row r="2919" spans="1:4" ht="27">
      <c r="A2919" s="337">
        <v>96988</v>
      </c>
      <c r="B2919" s="338" t="s">
        <v>3525</v>
      </c>
      <c r="C2919" s="337" t="s">
        <v>474</v>
      </c>
      <c r="D2919" s="339">
        <v>128.72999999999999</v>
      </c>
    </row>
    <row r="2920" spans="1:4" ht="27">
      <c r="A2920" s="337">
        <v>96989</v>
      </c>
      <c r="B2920" s="338" t="s">
        <v>3526</v>
      </c>
      <c r="C2920" s="337" t="s">
        <v>474</v>
      </c>
      <c r="D2920" s="339">
        <v>84.78</v>
      </c>
    </row>
    <row r="2921" spans="1:4" ht="40.5">
      <c r="A2921" s="337">
        <v>98463</v>
      </c>
      <c r="B2921" s="338" t="s">
        <v>3527</v>
      </c>
      <c r="C2921" s="337" t="s">
        <v>474</v>
      </c>
      <c r="D2921" s="339">
        <v>17.47</v>
      </c>
    </row>
    <row r="2922" spans="1:4" ht="27">
      <c r="A2922" s="337">
        <v>9535</v>
      </c>
      <c r="B2922" s="338" t="s">
        <v>3528</v>
      </c>
      <c r="C2922" s="337" t="s">
        <v>474</v>
      </c>
      <c r="D2922" s="339">
        <v>64.69</v>
      </c>
    </row>
    <row r="2923" spans="1:4" ht="40.5">
      <c r="A2923" s="337">
        <v>72322</v>
      </c>
      <c r="B2923" s="338" t="s">
        <v>3529</v>
      </c>
      <c r="C2923" s="337" t="s">
        <v>474</v>
      </c>
      <c r="D2923" s="339">
        <v>379.83</v>
      </c>
    </row>
    <row r="2924" spans="1:4" ht="27">
      <c r="A2924" s="337">
        <v>72326</v>
      </c>
      <c r="B2924" s="338" t="s">
        <v>3530</v>
      </c>
      <c r="C2924" s="337" t="s">
        <v>474</v>
      </c>
      <c r="D2924" s="339">
        <v>526.58000000000004</v>
      </c>
    </row>
    <row r="2925" spans="1:4" ht="40.5">
      <c r="A2925" s="337">
        <v>72327</v>
      </c>
      <c r="B2925" s="338" t="s">
        <v>3531</v>
      </c>
      <c r="C2925" s="337" t="s">
        <v>474</v>
      </c>
      <c r="D2925" s="339">
        <v>5.1100000000000003</v>
      </c>
    </row>
    <row r="2926" spans="1:4" ht="40.5">
      <c r="A2926" s="337">
        <v>72328</v>
      </c>
      <c r="B2926" s="338" t="s">
        <v>3532</v>
      </c>
      <c r="C2926" s="337" t="s">
        <v>474</v>
      </c>
      <c r="D2926" s="339">
        <v>5.92</v>
      </c>
    </row>
    <row r="2927" spans="1:4" ht="27">
      <c r="A2927" s="337">
        <v>72330</v>
      </c>
      <c r="B2927" s="338" t="s">
        <v>3533</v>
      </c>
      <c r="C2927" s="337" t="s">
        <v>474</v>
      </c>
      <c r="D2927" s="339">
        <v>23.56</v>
      </c>
    </row>
    <row r="2928" spans="1:4" ht="54">
      <c r="A2928" s="337" t="s">
        <v>3534</v>
      </c>
      <c r="B2928" s="338" t="s">
        <v>3535</v>
      </c>
      <c r="C2928" s="337" t="s">
        <v>474</v>
      </c>
      <c r="D2928" s="339">
        <v>299.87</v>
      </c>
    </row>
    <row r="2929" spans="1:4" ht="27">
      <c r="A2929" s="337" t="s">
        <v>3536</v>
      </c>
      <c r="B2929" s="338" t="s">
        <v>3537</v>
      </c>
      <c r="C2929" s="337" t="s">
        <v>474</v>
      </c>
      <c r="D2929" s="339">
        <v>202.81</v>
      </c>
    </row>
    <row r="2930" spans="1:4" ht="27">
      <c r="A2930" s="337" t="s">
        <v>3538</v>
      </c>
      <c r="B2930" s="338" t="s">
        <v>3539</v>
      </c>
      <c r="C2930" s="337" t="s">
        <v>474</v>
      </c>
      <c r="D2930" s="339">
        <v>311.31</v>
      </c>
    </row>
    <row r="2931" spans="1:4" ht="27">
      <c r="A2931" s="337" t="s">
        <v>3540</v>
      </c>
      <c r="B2931" s="338" t="s">
        <v>3541</v>
      </c>
      <c r="C2931" s="337" t="s">
        <v>474</v>
      </c>
      <c r="D2931" s="339">
        <v>574.29</v>
      </c>
    </row>
    <row r="2932" spans="1:4" ht="27">
      <c r="A2932" s="337">
        <v>83482</v>
      </c>
      <c r="B2932" s="338" t="s">
        <v>3542</v>
      </c>
      <c r="C2932" s="337" t="s">
        <v>474</v>
      </c>
      <c r="D2932" s="339">
        <v>23.56</v>
      </c>
    </row>
    <row r="2933" spans="1:4" ht="27">
      <c r="A2933" s="337">
        <v>83487</v>
      </c>
      <c r="B2933" s="338" t="s">
        <v>3543</v>
      </c>
      <c r="C2933" s="337" t="s">
        <v>474</v>
      </c>
      <c r="D2933" s="339">
        <v>95.61</v>
      </c>
    </row>
    <row r="2934" spans="1:4" ht="27">
      <c r="A2934" s="337">
        <v>83490</v>
      </c>
      <c r="B2934" s="338" t="s">
        <v>3544</v>
      </c>
      <c r="C2934" s="337" t="s">
        <v>474</v>
      </c>
      <c r="D2934" s="339">
        <v>199.52</v>
      </c>
    </row>
    <row r="2935" spans="1:4" ht="40.5">
      <c r="A2935" s="337">
        <v>83491</v>
      </c>
      <c r="B2935" s="338" t="s">
        <v>3545</v>
      </c>
      <c r="C2935" s="337" t="s">
        <v>474</v>
      </c>
      <c r="D2935" s="339">
        <v>281.16000000000003</v>
      </c>
    </row>
    <row r="2936" spans="1:4" ht="40.5">
      <c r="A2936" s="337">
        <v>83492</v>
      </c>
      <c r="B2936" s="338" t="s">
        <v>3546</v>
      </c>
      <c r="C2936" s="337" t="s">
        <v>474</v>
      </c>
      <c r="D2936" s="339">
        <v>424.8</v>
      </c>
    </row>
    <row r="2937" spans="1:4" ht="27">
      <c r="A2937" s="337">
        <v>83493</v>
      </c>
      <c r="B2937" s="338" t="s">
        <v>3547</v>
      </c>
      <c r="C2937" s="337" t="s">
        <v>474</v>
      </c>
      <c r="D2937" s="339">
        <v>23.56</v>
      </c>
    </row>
    <row r="2938" spans="1:4" ht="13.5">
      <c r="A2938" s="337">
        <v>85195</v>
      </c>
      <c r="B2938" s="338" t="s">
        <v>3548</v>
      </c>
      <c r="C2938" s="337" t="s">
        <v>474</v>
      </c>
      <c r="D2938" s="339">
        <v>60.38</v>
      </c>
    </row>
    <row r="2939" spans="1:4" ht="27">
      <c r="A2939" s="337">
        <v>88547</v>
      </c>
      <c r="B2939" s="338" t="s">
        <v>3549</v>
      </c>
      <c r="C2939" s="337" t="s">
        <v>474</v>
      </c>
      <c r="D2939" s="339">
        <v>66.42</v>
      </c>
    </row>
    <row r="2940" spans="1:4" ht="81">
      <c r="A2940" s="337">
        <v>72283</v>
      </c>
      <c r="B2940" s="338" t="s">
        <v>3550</v>
      </c>
      <c r="C2940" s="337" t="s">
        <v>474</v>
      </c>
      <c r="D2940" s="339">
        <v>964.45</v>
      </c>
    </row>
    <row r="2941" spans="1:4" ht="27">
      <c r="A2941" s="337">
        <v>72287</v>
      </c>
      <c r="B2941" s="338" t="s">
        <v>3551</v>
      </c>
      <c r="C2941" s="337" t="s">
        <v>474</v>
      </c>
      <c r="D2941" s="339">
        <v>238.51</v>
      </c>
    </row>
    <row r="2942" spans="1:4" ht="27">
      <c r="A2942" s="337">
        <v>72288</v>
      </c>
      <c r="B2942" s="338" t="s">
        <v>3552</v>
      </c>
      <c r="C2942" s="337" t="s">
        <v>474</v>
      </c>
      <c r="D2942" s="339">
        <v>297.36</v>
      </c>
    </row>
    <row r="2943" spans="1:4" ht="27">
      <c r="A2943" s="337">
        <v>72553</v>
      </c>
      <c r="B2943" s="338" t="s">
        <v>3553</v>
      </c>
      <c r="C2943" s="337" t="s">
        <v>474</v>
      </c>
      <c r="D2943" s="339">
        <v>141.91</v>
      </c>
    </row>
    <row r="2944" spans="1:4" ht="27">
      <c r="A2944" s="337">
        <v>72554</v>
      </c>
      <c r="B2944" s="338" t="s">
        <v>3554</v>
      </c>
      <c r="C2944" s="337" t="s">
        <v>474</v>
      </c>
      <c r="D2944" s="339">
        <v>477.64</v>
      </c>
    </row>
    <row r="2945" spans="1:4" ht="27">
      <c r="A2945" s="337" t="s">
        <v>3555</v>
      </c>
      <c r="B2945" s="338" t="s">
        <v>3556</v>
      </c>
      <c r="C2945" s="337" t="s">
        <v>474</v>
      </c>
      <c r="D2945" s="339">
        <v>147.83000000000001</v>
      </c>
    </row>
    <row r="2946" spans="1:4" ht="40.5">
      <c r="A2946" s="337" t="s">
        <v>52</v>
      </c>
      <c r="B2946" s="338" t="s">
        <v>3557</v>
      </c>
      <c r="C2946" s="337" t="s">
        <v>474</v>
      </c>
      <c r="D2946" s="339">
        <v>152.33000000000001</v>
      </c>
    </row>
    <row r="2947" spans="1:4" ht="27">
      <c r="A2947" s="337">
        <v>83633</v>
      </c>
      <c r="B2947" s="338" t="s">
        <v>3558</v>
      </c>
      <c r="C2947" s="337" t="s">
        <v>474</v>
      </c>
      <c r="D2947" s="340">
        <v>1627.24</v>
      </c>
    </row>
    <row r="2948" spans="1:4" ht="27">
      <c r="A2948" s="337">
        <v>83634</v>
      </c>
      <c r="B2948" s="338" t="s">
        <v>3559</v>
      </c>
      <c r="C2948" s="337" t="s">
        <v>474</v>
      </c>
      <c r="D2948" s="339">
        <v>447.58</v>
      </c>
    </row>
    <row r="2949" spans="1:4" ht="27">
      <c r="A2949" s="337">
        <v>83635</v>
      </c>
      <c r="B2949" s="338" t="s">
        <v>3560</v>
      </c>
      <c r="C2949" s="337" t="s">
        <v>474</v>
      </c>
      <c r="D2949" s="339">
        <v>171.82</v>
      </c>
    </row>
    <row r="2950" spans="1:4" ht="81">
      <c r="A2950" s="337">
        <v>96765</v>
      </c>
      <c r="B2950" s="338" t="s">
        <v>3561</v>
      </c>
      <c r="C2950" s="337" t="s">
        <v>474</v>
      </c>
      <c r="D2950" s="340">
        <v>1139.3499999999999</v>
      </c>
    </row>
    <row r="2951" spans="1:4" ht="27">
      <c r="A2951" s="337">
        <v>72337</v>
      </c>
      <c r="B2951" s="338" t="s">
        <v>3562</v>
      </c>
      <c r="C2951" s="337" t="s">
        <v>474</v>
      </c>
      <c r="D2951" s="339">
        <v>17.57</v>
      </c>
    </row>
    <row r="2952" spans="1:4" ht="40.5">
      <c r="A2952" s="337" t="s">
        <v>3563</v>
      </c>
      <c r="B2952" s="338" t="s">
        <v>3564</v>
      </c>
      <c r="C2952" s="337" t="s">
        <v>474</v>
      </c>
      <c r="D2952" s="339">
        <v>168.22</v>
      </c>
    </row>
    <row r="2953" spans="1:4" ht="40.5">
      <c r="A2953" s="337" t="s">
        <v>3565</v>
      </c>
      <c r="B2953" s="338" t="s">
        <v>3566</v>
      </c>
      <c r="C2953" s="337" t="s">
        <v>474</v>
      </c>
      <c r="D2953" s="339">
        <v>306.43</v>
      </c>
    </row>
    <row r="2954" spans="1:4" ht="40.5">
      <c r="A2954" s="337" t="s">
        <v>3567</v>
      </c>
      <c r="B2954" s="338" t="s">
        <v>3568</v>
      </c>
      <c r="C2954" s="337" t="s">
        <v>474</v>
      </c>
      <c r="D2954" s="340">
        <v>1003.64</v>
      </c>
    </row>
    <row r="2955" spans="1:4" ht="40.5">
      <c r="A2955" s="337" t="s">
        <v>3569</v>
      </c>
      <c r="B2955" s="338" t="s">
        <v>3570</v>
      </c>
      <c r="C2955" s="337" t="s">
        <v>172</v>
      </c>
      <c r="D2955" s="339">
        <v>2.12</v>
      </c>
    </row>
    <row r="2956" spans="1:4" ht="40.5">
      <c r="A2956" s="337">
        <v>83366</v>
      </c>
      <c r="B2956" s="338" t="s">
        <v>3571</v>
      </c>
      <c r="C2956" s="337" t="s">
        <v>474</v>
      </c>
      <c r="D2956" s="339">
        <v>56.47</v>
      </c>
    </row>
    <row r="2957" spans="1:4" ht="40.5">
      <c r="A2957" s="337">
        <v>83367</v>
      </c>
      <c r="B2957" s="338" t="s">
        <v>3572</v>
      </c>
      <c r="C2957" s="337" t="s">
        <v>474</v>
      </c>
      <c r="D2957" s="339">
        <v>437.87</v>
      </c>
    </row>
    <row r="2958" spans="1:4" ht="40.5">
      <c r="A2958" s="337">
        <v>83368</v>
      </c>
      <c r="B2958" s="338" t="s">
        <v>3573</v>
      </c>
      <c r="C2958" s="337" t="s">
        <v>474</v>
      </c>
      <c r="D2958" s="340">
        <v>1186.8</v>
      </c>
    </row>
    <row r="2959" spans="1:4" ht="54">
      <c r="A2959" s="337">
        <v>83369</v>
      </c>
      <c r="B2959" s="338" t="s">
        <v>3574</v>
      </c>
      <c r="C2959" s="337" t="s">
        <v>474</v>
      </c>
      <c r="D2959" s="339">
        <v>278.52999999999997</v>
      </c>
    </row>
    <row r="2960" spans="1:4" ht="54">
      <c r="A2960" s="337">
        <v>83370</v>
      </c>
      <c r="B2960" s="338" t="s">
        <v>3575</v>
      </c>
      <c r="C2960" s="337" t="s">
        <v>474</v>
      </c>
      <c r="D2960" s="339">
        <v>170.66</v>
      </c>
    </row>
    <row r="2961" spans="1:4" ht="54">
      <c r="A2961" s="337">
        <v>83371</v>
      </c>
      <c r="B2961" s="338" t="s">
        <v>3576</v>
      </c>
      <c r="C2961" s="337" t="s">
        <v>474</v>
      </c>
      <c r="D2961" s="339">
        <v>100.96</v>
      </c>
    </row>
    <row r="2962" spans="1:4" ht="40.5">
      <c r="A2962" s="337">
        <v>83639</v>
      </c>
      <c r="B2962" s="338" t="s">
        <v>3577</v>
      </c>
      <c r="C2962" s="337" t="s">
        <v>172</v>
      </c>
      <c r="D2962" s="339">
        <v>84.05</v>
      </c>
    </row>
    <row r="2963" spans="1:4" ht="54">
      <c r="A2963" s="337">
        <v>84676</v>
      </c>
      <c r="B2963" s="338" t="s">
        <v>3578</v>
      </c>
      <c r="C2963" s="337" t="s">
        <v>474</v>
      </c>
      <c r="D2963" s="339">
        <v>401.45</v>
      </c>
    </row>
    <row r="2964" spans="1:4" ht="27">
      <c r="A2964" s="337">
        <v>84796</v>
      </c>
      <c r="B2964" s="338" t="s">
        <v>3579</v>
      </c>
      <c r="C2964" s="337" t="s">
        <v>474</v>
      </c>
      <c r="D2964" s="339">
        <v>572.35</v>
      </c>
    </row>
    <row r="2965" spans="1:4" ht="27">
      <c r="A2965" s="337">
        <v>84798</v>
      </c>
      <c r="B2965" s="338" t="s">
        <v>3580</v>
      </c>
      <c r="C2965" s="337" t="s">
        <v>474</v>
      </c>
      <c r="D2965" s="339">
        <v>252.56</v>
      </c>
    </row>
    <row r="2966" spans="1:4" ht="40.5">
      <c r="A2966" s="337">
        <v>98261</v>
      </c>
      <c r="B2966" s="338" t="s">
        <v>3581</v>
      </c>
      <c r="C2966" s="337" t="s">
        <v>172</v>
      </c>
      <c r="D2966" s="339">
        <v>2.82</v>
      </c>
    </row>
    <row r="2967" spans="1:4" ht="54">
      <c r="A2967" s="337">
        <v>98262</v>
      </c>
      <c r="B2967" s="338" t="s">
        <v>3582</v>
      </c>
      <c r="C2967" s="337" t="s">
        <v>172</v>
      </c>
      <c r="D2967" s="339">
        <v>3.54</v>
      </c>
    </row>
    <row r="2968" spans="1:4" ht="54">
      <c r="A2968" s="337">
        <v>98263</v>
      </c>
      <c r="B2968" s="338" t="s">
        <v>3583</v>
      </c>
      <c r="C2968" s="337" t="s">
        <v>172</v>
      </c>
      <c r="D2968" s="339">
        <v>4.43</v>
      </c>
    </row>
    <row r="2969" spans="1:4" ht="54">
      <c r="A2969" s="337">
        <v>98264</v>
      </c>
      <c r="B2969" s="338" t="s">
        <v>3584</v>
      </c>
      <c r="C2969" s="337" t="s">
        <v>172</v>
      </c>
      <c r="D2969" s="339">
        <v>5.1100000000000003</v>
      </c>
    </row>
    <row r="2970" spans="1:4" ht="54">
      <c r="A2970" s="337">
        <v>98265</v>
      </c>
      <c r="B2970" s="338" t="s">
        <v>3585</v>
      </c>
      <c r="C2970" s="337" t="s">
        <v>172</v>
      </c>
      <c r="D2970" s="339">
        <v>6.18</v>
      </c>
    </row>
    <row r="2971" spans="1:4" ht="54">
      <c r="A2971" s="337">
        <v>98266</v>
      </c>
      <c r="B2971" s="338" t="s">
        <v>3586</v>
      </c>
      <c r="C2971" s="337" t="s">
        <v>172</v>
      </c>
      <c r="D2971" s="339">
        <v>6.8</v>
      </c>
    </row>
    <row r="2972" spans="1:4" ht="40.5">
      <c r="A2972" s="337">
        <v>98267</v>
      </c>
      <c r="B2972" s="338" t="s">
        <v>3587</v>
      </c>
      <c r="C2972" s="337" t="s">
        <v>172</v>
      </c>
      <c r="D2972" s="339">
        <v>11.82</v>
      </c>
    </row>
    <row r="2973" spans="1:4" ht="40.5">
      <c r="A2973" s="337">
        <v>98268</v>
      </c>
      <c r="B2973" s="338" t="s">
        <v>3588</v>
      </c>
      <c r="C2973" s="337" t="s">
        <v>172</v>
      </c>
      <c r="D2973" s="339">
        <v>20.51</v>
      </c>
    </row>
    <row r="2974" spans="1:4" ht="40.5">
      <c r="A2974" s="337">
        <v>98269</v>
      </c>
      <c r="B2974" s="338" t="s">
        <v>3589</v>
      </c>
      <c r="C2974" s="337" t="s">
        <v>172</v>
      </c>
      <c r="D2974" s="339">
        <v>27.06</v>
      </c>
    </row>
    <row r="2975" spans="1:4" ht="40.5">
      <c r="A2975" s="337">
        <v>98270</v>
      </c>
      <c r="B2975" s="338" t="s">
        <v>3590</v>
      </c>
      <c r="C2975" s="337" t="s">
        <v>172</v>
      </c>
      <c r="D2975" s="339">
        <v>45.57</v>
      </c>
    </row>
    <row r="2976" spans="1:4" ht="40.5">
      <c r="A2976" s="337">
        <v>98271</v>
      </c>
      <c r="B2976" s="338" t="s">
        <v>3591</v>
      </c>
      <c r="C2976" s="337" t="s">
        <v>172</v>
      </c>
      <c r="D2976" s="339">
        <v>72.23</v>
      </c>
    </row>
    <row r="2977" spans="1:4" ht="40.5">
      <c r="A2977" s="337">
        <v>98272</v>
      </c>
      <c r="B2977" s="338" t="s">
        <v>3592</v>
      </c>
      <c r="C2977" s="337" t="s">
        <v>172</v>
      </c>
      <c r="D2977" s="339">
        <v>173.04</v>
      </c>
    </row>
    <row r="2978" spans="1:4" ht="40.5">
      <c r="A2978" s="337">
        <v>98273</v>
      </c>
      <c r="B2978" s="338" t="s">
        <v>3593</v>
      </c>
      <c r="C2978" s="337" t="s">
        <v>172</v>
      </c>
      <c r="D2978" s="339">
        <v>3.16</v>
      </c>
    </row>
    <row r="2979" spans="1:4" ht="40.5">
      <c r="A2979" s="337">
        <v>98274</v>
      </c>
      <c r="B2979" s="338" t="s">
        <v>3594</v>
      </c>
      <c r="C2979" s="337" t="s">
        <v>172</v>
      </c>
      <c r="D2979" s="339">
        <v>4.2300000000000004</v>
      </c>
    </row>
    <row r="2980" spans="1:4" ht="40.5">
      <c r="A2980" s="337">
        <v>98275</v>
      </c>
      <c r="B2980" s="338" t="s">
        <v>3595</v>
      </c>
      <c r="C2980" s="337" t="s">
        <v>172</v>
      </c>
      <c r="D2980" s="339">
        <v>4.8499999999999996</v>
      </c>
    </row>
    <row r="2981" spans="1:4" ht="40.5">
      <c r="A2981" s="337">
        <v>98276</v>
      </c>
      <c r="B2981" s="338" t="s">
        <v>3596</v>
      </c>
      <c r="C2981" s="337" t="s">
        <v>172</v>
      </c>
      <c r="D2981" s="339">
        <v>9.86</v>
      </c>
    </row>
    <row r="2982" spans="1:4" ht="40.5">
      <c r="A2982" s="337">
        <v>98277</v>
      </c>
      <c r="B2982" s="338" t="s">
        <v>3597</v>
      </c>
      <c r="C2982" s="337" t="s">
        <v>172</v>
      </c>
      <c r="D2982" s="339">
        <v>18.559999999999999</v>
      </c>
    </row>
    <row r="2983" spans="1:4" ht="40.5">
      <c r="A2983" s="337">
        <v>98278</v>
      </c>
      <c r="B2983" s="338" t="s">
        <v>3598</v>
      </c>
      <c r="C2983" s="337" t="s">
        <v>172</v>
      </c>
      <c r="D2983" s="339">
        <v>25.1</v>
      </c>
    </row>
    <row r="2984" spans="1:4" ht="40.5">
      <c r="A2984" s="337">
        <v>98279</v>
      </c>
      <c r="B2984" s="338" t="s">
        <v>3599</v>
      </c>
      <c r="C2984" s="337" t="s">
        <v>172</v>
      </c>
      <c r="D2984" s="339">
        <v>43.62</v>
      </c>
    </row>
    <row r="2985" spans="1:4" ht="54">
      <c r="A2985" s="337">
        <v>98280</v>
      </c>
      <c r="B2985" s="338" t="s">
        <v>3600</v>
      </c>
      <c r="C2985" s="337" t="s">
        <v>172</v>
      </c>
      <c r="D2985" s="339">
        <v>5.33</v>
      </c>
    </row>
    <row r="2986" spans="1:4" ht="54">
      <c r="A2986" s="337">
        <v>98281</v>
      </c>
      <c r="B2986" s="338" t="s">
        <v>3601</v>
      </c>
      <c r="C2986" s="337" t="s">
        <v>172</v>
      </c>
      <c r="D2986" s="339">
        <v>6.05</v>
      </c>
    </row>
    <row r="2987" spans="1:4" ht="54">
      <c r="A2987" s="337">
        <v>98282</v>
      </c>
      <c r="B2987" s="338" t="s">
        <v>3602</v>
      </c>
      <c r="C2987" s="337" t="s">
        <v>172</v>
      </c>
      <c r="D2987" s="339">
        <v>6.94</v>
      </c>
    </row>
    <row r="2988" spans="1:4" ht="54">
      <c r="A2988" s="337">
        <v>98283</v>
      </c>
      <c r="B2988" s="338" t="s">
        <v>3603</v>
      </c>
      <c r="C2988" s="337" t="s">
        <v>172</v>
      </c>
      <c r="D2988" s="339">
        <v>7.63</v>
      </c>
    </row>
    <row r="2989" spans="1:4" ht="54">
      <c r="A2989" s="337">
        <v>98284</v>
      </c>
      <c r="B2989" s="338" t="s">
        <v>3604</v>
      </c>
      <c r="C2989" s="337" t="s">
        <v>172</v>
      </c>
      <c r="D2989" s="339">
        <v>8.69</v>
      </c>
    </row>
    <row r="2990" spans="1:4" ht="54">
      <c r="A2990" s="337">
        <v>98285</v>
      </c>
      <c r="B2990" s="338" t="s">
        <v>3605</v>
      </c>
      <c r="C2990" s="337" t="s">
        <v>172</v>
      </c>
      <c r="D2990" s="339">
        <v>9.31</v>
      </c>
    </row>
    <row r="2991" spans="1:4" ht="54">
      <c r="A2991" s="337">
        <v>98286</v>
      </c>
      <c r="B2991" s="338" t="s">
        <v>3606</v>
      </c>
      <c r="C2991" s="337" t="s">
        <v>172</v>
      </c>
      <c r="D2991" s="339">
        <v>14.33</v>
      </c>
    </row>
    <row r="2992" spans="1:4" ht="54">
      <c r="A2992" s="337">
        <v>98287</v>
      </c>
      <c r="B2992" s="338" t="s">
        <v>3607</v>
      </c>
      <c r="C2992" s="337" t="s">
        <v>172</v>
      </c>
      <c r="D2992" s="339">
        <v>1.32</v>
      </c>
    </row>
    <row r="2993" spans="1:4" ht="54">
      <c r="A2993" s="337">
        <v>98288</v>
      </c>
      <c r="B2993" s="338" t="s">
        <v>3608</v>
      </c>
      <c r="C2993" s="337" t="s">
        <v>172</v>
      </c>
      <c r="D2993" s="339">
        <v>2.04</v>
      </c>
    </row>
    <row r="2994" spans="1:4" ht="54">
      <c r="A2994" s="337">
        <v>98289</v>
      </c>
      <c r="B2994" s="338" t="s">
        <v>3609</v>
      </c>
      <c r="C2994" s="337" t="s">
        <v>172</v>
      </c>
      <c r="D2994" s="339">
        <v>2.92</v>
      </c>
    </row>
    <row r="2995" spans="1:4" ht="54">
      <c r="A2995" s="337">
        <v>98290</v>
      </c>
      <c r="B2995" s="338" t="s">
        <v>3610</v>
      </c>
      <c r="C2995" s="337" t="s">
        <v>172</v>
      </c>
      <c r="D2995" s="339">
        <v>3.61</v>
      </c>
    </row>
    <row r="2996" spans="1:4" ht="54">
      <c r="A2996" s="337">
        <v>98291</v>
      </c>
      <c r="B2996" s="338" t="s">
        <v>3611</v>
      </c>
      <c r="C2996" s="337" t="s">
        <v>172</v>
      </c>
      <c r="D2996" s="339">
        <v>4.67</v>
      </c>
    </row>
    <row r="2997" spans="1:4" ht="54">
      <c r="A2997" s="337">
        <v>98292</v>
      </c>
      <c r="B2997" s="338" t="s">
        <v>3612</v>
      </c>
      <c r="C2997" s="337" t="s">
        <v>172</v>
      </c>
      <c r="D2997" s="339">
        <v>5.29</v>
      </c>
    </row>
    <row r="2998" spans="1:4" ht="54">
      <c r="A2998" s="337">
        <v>98293</v>
      </c>
      <c r="B2998" s="338" t="s">
        <v>3613</v>
      </c>
      <c r="C2998" s="337" t="s">
        <v>172</v>
      </c>
      <c r="D2998" s="339">
        <v>10.31</v>
      </c>
    </row>
    <row r="2999" spans="1:4" ht="40.5">
      <c r="A2999" s="337">
        <v>98400</v>
      </c>
      <c r="B2999" s="338" t="s">
        <v>3614</v>
      </c>
      <c r="C2999" s="337" t="s">
        <v>172</v>
      </c>
      <c r="D2999" s="339">
        <v>14.46</v>
      </c>
    </row>
    <row r="3000" spans="1:4" ht="40.5">
      <c r="A3000" s="337">
        <v>98401</v>
      </c>
      <c r="B3000" s="338" t="s">
        <v>3615</v>
      </c>
      <c r="C3000" s="337" t="s">
        <v>172</v>
      </c>
      <c r="D3000" s="339">
        <v>23.37</v>
      </c>
    </row>
    <row r="3001" spans="1:4" ht="40.5">
      <c r="A3001" s="337">
        <v>98402</v>
      </c>
      <c r="B3001" s="338" t="s">
        <v>3616</v>
      </c>
      <c r="C3001" s="337" t="s">
        <v>172</v>
      </c>
      <c r="D3001" s="339">
        <v>30.84</v>
      </c>
    </row>
    <row r="3002" spans="1:4" ht="27">
      <c r="A3002" s="337">
        <v>98397</v>
      </c>
      <c r="B3002" s="338" t="s">
        <v>3617</v>
      </c>
      <c r="C3002" s="337" t="s">
        <v>145</v>
      </c>
      <c r="D3002" s="339">
        <v>7.45</v>
      </c>
    </row>
    <row r="3003" spans="1:4" ht="40.5">
      <c r="A3003" s="337" t="s">
        <v>3618</v>
      </c>
      <c r="B3003" s="338" t="s">
        <v>3619</v>
      </c>
      <c r="C3003" s="337" t="s">
        <v>474</v>
      </c>
      <c r="D3003" s="340">
        <v>4649.33</v>
      </c>
    </row>
    <row r="3004" spans="1:4" ht="27">
      <c r="A3004" s="337">
        <v>85120</v>
      </c>
      <c r="B3004" s="338" t="s">
        <v>3620</v>
      </c>
      <c r="C3004" s="337" t="s">
        <v>474</v>
      </c>
      <c r="D3004" s="339">
        <v>111.91</v>
      </c>
    </row>
    <row r="3005" spans="1:4" ht="27">
      <c r="A3005" s="337">
        <v>83486</v>
      </c>
      <c r="B3005" s="338" t="s">
        <v>3621</v>
      </c>
      <c r="C3005" s="337" t="s">
        <v>474</v>
      </c>
      <c r="D3005" s="340">
        <v>1116.42</v>
      </c>
    </row>
    <row r="3006" spans="1:4" ht="67.5">
      <c r="A3006" s="337">
        <v>83643</v>
      </c>
      <c r="B3006" s="338" t="s">
        <v>3622</v>
      </c>
      <c r="C3006" s="337" t="s">
        <v>474</v>
      </c>
      <c r="D3006" s="340">
        <v>3318.35</v>
      </c>
    </row>
    <row r="3007" spans="1:4" ht="13.5">
      <c r="A3007" s="337">
        <v>83644</v>
      </c>
      <c r="B3007" s="338" t="s">
        <v>3623</v>
      </c>
      <c r="C3007" s="337" t="s">
        <v>474</v>
      </c>
      <c r="D3007" s="340">
        <v>4755.03</v>
      </c>
    </row>
    <row r="3008" spans="1:4" ht="13.5">
      <c r="A3008" s="337">
        <v>83645</v>
      </c>
      <c r="B3008" s="338" t="s">
        <v>3624</v>
      </c>
      <c r="C3008" s="337" t="s">
        <v>474</v>
      </c>
      <c r="D3008" s="340">
        <v>1507.22</v>
      </c>
    </row>
    <row r="3009" spans="1:4" ht="27">
      <c r="A3009" s="337">
        <v>83646</v>
      </c>
      <c r="B3009" s="338" t="s">
        <v>3625</v>
      </c>
      <c r="C3009" s="337" t="s">
        <v>474</v>
      </c>
      <c r="D3009" s="340">
        <v>1750.55</v>
      </c>
    </row>
    <row r="3010" spans="1:4" ht="13.5">
      <c r="A3010" s="337">
        <v>83647</v>
      </c>
      <c r="B3010" s="338" t="s">
        <v>3626</v>
      </c>
      <c r="C3010" s="337" t="s">
        <v>474</v>
      </c>
      <c r="D3010" s="340">
        <v>1143.07</v>
      </c>
    </row>
    <row r="3011" spans="1:4" ht="13.5">
      <c r="A3011" s="337">
        <v>83648</v>
      </c>
      <c r="B3011" s="338" t="s">
        <v>3627</v>
      </c>
      <c r="C3011" s="337" t="s">
        <v>474</v>
      </c>
      <c r="D3011" s="339">
        <v>731.67</v>
      </c>
    </row>
    <row r="3012" spans="1:4" ht="27">
      <c r="A3012" s="337">
        <v>83649</v>
      </c>
      <c r="B3012" s="338" t="s">
        <v>3628</v>
      </c>
      <c r="C3012" s="337" t="s">
        <v>474</v>
      </c>
      <c r="D3012" s="340">
        <v>4480.3999999999996</v>
      </c>
    </row>
    <row r="3013" spans="1:4" ht="27">
      <c r="A3013" s="337">
        <v>83650</v>
      </c>
      <c r="B3013" s="338" t="s">
        <v>3629</v>
      </c>
      <c r="C3013" s="337" t="s">
        <v>474</v>
      </c>
      <c r="D3013" s="340">
        <v>3752.1</v>
      </c>
    </row>
    <row r="3014" spans="1:4" ht="40.5">
      <c r="A3014" s="337">
        <v>98294</v>
      </c>
      <c r="B3014" s="338" t="s">
        <v>3630</v>
      </c>
      <c r="C3014" s="337" t="s">
        <v>172</v>
      </c>
      <c r="D3014" s="339">
        <v>1.7</v>
      </c>
    </row>
    <row r="3015" spans="1:4" ht="40.5">
      <c r="A3015" s="337">
        <v>98295</v>
      </c>
      <c r="B3015" s="338" t="s">
        <v>3631</v>
      </c>
      <c r="C3015" s="337" t="s">
        <v>172</v>
      </c>
      <c r="D3015" s="339">
        <v>1.25</v>
      </c>
    </row>
    <row r="3016" spans="1:4" ht="40.5">
      <c r="A3016" s="337">
        <v>98296</v>
      </c>
      <c r="B3016" s="338" t="s">
        <v>3632</v>
      </c>
      <c r="C3016" s="337" t="s">
        <v>172</v>
      </c>
      <c r="D3016" s="339">
        <v>2.64</v>
      </c>
    </row>
    <row r="3017" spans="1:4" ht="40.5">
      <c r="A3017" s="337">
        <v>98297</v>
      </c>
      <c r="B3017" s="338" t="s">
        <v>3633</v>
      </c>
      <c r="C3017" s="337" t="s">
        <v>172</v>
      </c>
      <c r="D3017" s="339">
        <v>1.91</v>
      </c>
    </row>
    <row r="3018" spans="1:4" ht="27">
      <c r="A3018" s="337">
        <v>98301</v>
      </c>
      <c r="B3018" s="338" t="s">
        <v>3634</v>
      </c>
      <c r="C3018" s="337" t="s">
        <v>474</v>
      </c>
      <c r="D3018" s="339">
        <v>381.9</v>
      </c>
    </row>
    <row r="3019" spans="1:4" ht="27">
      <c r="A3019" s="337">
        <v>98302</v>
      </c>
      <c r="B3019" s="338" t="s">
        <v>3635</v>
      </c>
      <c r="C3019" s="337" t="s">
        <v>474</v>
      </c>
      <c r="D3019" s="339">
        <v>516.34</v>
      </c>
    </row>
    <row r="3020" spans="1:4" ht="27">
      <c r="A3020" s="337">
        <v>98304</v>
      </c>
      <c r="B3020" s="338" t="s">
        <v>3636</v>
      </c>
      <c r="C3020" s="337" t="s">
        <v>474</v>
      </c>
      <c r="D3020" s="339">
        <v>824.71</v>
      </c>
    </row>
    <row r="3021" spans="1:4" ht="27">
      <c r="A3021" s="337">
        <v>98307</v>
      </c>
      <c r="B3021" s="338" t="s">
        <v>3637</v>
      </c>
      <c r="C3021" s="337" t="s">
        <v>474</v>
      </c>
      <c r="D3021" s="339">
        <v>27.28</v>
      </c>
    </row>
    <row r="3022" spans="1:4" ht="27">
      <c r="A3022" s="337">
        <v>98308</v>
      </c>
      <c r="B3022" s="338" t="s">
        <v>3638</v>
      </c>
      <c r="C3022" s="337" t="s">
        <v>474</v>
      </c>
      <c r="D3022" s="339">
        <v>18.350000000000001</v>
      </c>
    </row>
    <row r="3023" spans="1:4" ht="27">
      <c r="A3023" s="337">
        <v>98593</v>
      </c>
      <c r="B3023" s="338" t="s">
        <v>3639</v>
      </c>
      <c r="C3023" s="337" t="s">
        <v>474</v>
      </c>
      <c r="D3023" s="339">
        <v>664.14</v>
      </c>
    </row>
    <row r="3024" spans="1:4" ht="40.5">
      <c r="A3024" s="337">
        <v>89355</v>
      </c>
      <c r="B3024" s="338" t="s">
        <v>3640</v>
      </c>
      <c r="C3024" s="337" t="s">
        <v>172</v>
      </c>
      <c r="D3024" s="339">
        <v>12.7</v>
      </c>
    </row>
    <row r="3025" spans="1:4" ht="40.5">
      <c r="A3025" s="337">
        <v>89356</v>
      </c>
      <c r="B3025" s="338" t="s">
        <v>3641</v>
      </c>
      <c r="C3025" s="337" t="s">
        <v>172</v>
      </c>
      <c r="D3025" s="339">
        <v>15.09</v>
      </c>
    </row>
    <row r="3026" spans="1:4" ht="40.5">
      <c r="A3026" s="337">
        <v>89357</v>
      </c>
      <c r="B3026" s="338" t="s">
        <v>3642</v>
      </c>
      <c r="C3026" s="337" t="s">
        <v>172</v>
      </c>
      <c r="D3026" s="339">
        <v>20.89</v>
      </c>
    </row>
    <row r="3027" spans="1:4" ht="40.5">
      <c r="A3027" s="337">
        <v>89401</v>
      </c>
      <c r="B3027" s="338" t="s">
        <v>3643</v>
      </c>
      <c r="C3027" s="337" t="s">
        <v>172</v>
      </c>
      <c r="D3027" s="339">
        <v>5.44</v>
      </c>
    </row>
    <row r="3028" spans="1:4" ht="40.5">
      <c r="A3028" s="337">
        <v>89402</v>
      </c>
      <c r="B3028" s="338" t="s">
        <v>3644</v>
      </c>
      <c r="C3028" s="337" t="s">
        <v>172</v>
      </c>
      <c r="D3028" s="339">
        <v>6.72</v>
      </c>
    </row>
    <row r="3029" spans="1:4" ht="40.5">
      <c r="A3029" s="337">
        <v>89403</v>
      </c>
      <c r="B3029" s="338" t="s">
        <v>3645</v>
      </c>
      <c r="C3029" s="337" t="s">
        <v>172</v>
      </c>
      <c r="D3029" s="339">
        <v>10.89</v>
      </c>
    </row>
    <row r="3030" spans="1:4" ht="40.5">
      <c r="A3030" s="337">
        <v>89446</v>
      </c>
      <c r="B3030" s="338" t="s">
        <v>3646</v>
      </c>
      <c r="C3030" s="337" t="s">
        <v>172</v>
      </c>
      <c r="D3030" s="339">
        <v>3.54</v>
      </c>
    </row>
    <row r="3031" spans="1:4" ht="40.5">
      <c r="A3031" s="337">
        <v>89447</v>
      </c>
      <c r="B3031" s="338" t="s">
        <v>3647</v>
      </c>
      <c r="C3031" s="337" t="s">
        <v>172</v>
      </c>
      <c r="D3031" s="339">
        <v>7.16</v>
      </c>
    </row>
    <row r="3032" spans="1:4" ht="40.5">
      <c r="A3032" s="337">
        <v>89448</v>
      </c>
      <c r="B3032" s="338" t="s">
        <v>3648</v>
      </c>
      <c r="C3032" s="337" t="s">
        <v>172</v>
      </c>
      <c r="D3032" s="339">
        <v>10.28</v>
      </c>
    </row>
    <row r="3033" spans="1:4" ht="40.5">
      <c r="A3033" s="337">
        <v>89449</v>
      </c>
      <c r="B3033" s="338" t="s">
        <v>3649</v>
      </c>
      <c r="C3033" s="337" t="s">
        <v>172</v>
      </c>
      <c r="D3033" s="339">
        <v>12.72</v>
      </c>
    </row>
    <row r="3034" spans="1:4" ht="40.5">
      <c r="A3034" s="337">
        <v>89450</v>
      </c>
      <c r="B3034" s="338" t="s">
        <v>3650</v>
      </c>
      <c r="C3034" s="337" t="s">
        <v>172</v>
      </c>
      <c r="D3034" s="339">
        <v>19.489999999999998</v>
      </c>
    </row>
    <row r="3035" spans="1:4" ht="40.5">
      <c r="A3035" s="337">
        <v>89451</v>
      </c>
      <c r="B3035" s="338" t="s">
        <v>3651</v>
      </c>
      <c r="C3035" s="337" t="s">
        <v>172</v>
      </c>
      <c r="D3035" s="339">
        <v>27.17</v>
      </c>
    </row>
    <row r="3036" spans="1:4" ht="40.5">
      <c r="A3036" s="337">
        <v>89452</v>
      </c>
      <c r="B3036" s="338" t="s">
        <v>3652</v>
      </c>
      <c r="C3036" s="337" t="s">
        <v>172</v>
      </c>
      <c r="D3036" s="339">
        <v>34.049999999999997</v>
      </c>
    </row>
    <row r="3037" spans="1:4" ht="40.5">
      <c r="A3037" s="337">
        <v>89508</v>
      </c>
      <c r="B3037" s="338" t="s">
        <v>3653</v>
      </c>
      <c r="C3037" s="337" t="s">
        <v>172</v>
      </c>
      <c r="D3037" s="339">
        <v>10.71</v>
      </c>
    </row>
    <row r="3038" spans="1:4" ht="40.5">
      <c r="A3038" s="337">
        <v>89509</v>
      </c>
      <c r="B3038" s="338" t="s">
        <v>3654</v>
      </c>
      <c r="C3038" s="337" t="s">
        <v>172</v>
      </c>
      <c r="D3038" s="339">
        <v>15.39</v>
      </c>
    </row>
    <row r="3039" spans="1:4" ht="40.5">
      <c r="A3039" s="337">
        <v>89511</v>
      </c>
      <c r="B3039" s="338" t="s">
        <v>3655</v>
      </c>
      <c r="C3039" s="337" t="s">
        <v>172</v>
      </c>
      <c r="D3039" s="339">
        <v>23.09</v>
      </c>
    </row>
    <row r="3040" spans="1:4" ht="40.5">
      <c r="A3040" s="337">
        <v>89512</v>
      </c>
      <c r="B3040" s="338" t="s">
        <v>3656</v>
      </c>
      <c r="C3040" s="337" t="s">
        <v>172</v>
      </c>
      <c r="D3040" s="339">
        <v>34.630000000000003</v>
      </c>
    </row>
    <row r="3041" spans="1:4" ht="40.5">
      <c r="A3041" s="337">
        <v>89576</v>
      </c>
      <c r="B3041" s="338" t="s">
        <v>3657</v>
      </c>
      <c r="C3041" s="337" t="s">
        <v>172</v>
      </c>
      <c r="D3041" s="339">
        <v>11.71</v>
      </c>
    </row>
    <row r="3042" spans="1:4" ht="40.5">
      <c r="A3042" s="337">
        <v>89578</v>
      </c>
      <c r="B3042" s="338" t="s">
        <v>3658</v>
      </c>
      <c r="C3042" s="337" t="s">
        <v>172</v>
      </c>
      <c r="D3042" s="339">
        <v>19.100000000000001</v>
      </c>
    </row>
    <row r="3043" spans="1:4" ht="40.5">
      <c r="A3043" s="337">
        <v>89580</v>
      </c>
      <c r="B3043" s="338" t="s">
        <v>3659</v>
      </c>
      <c r="C3043" s="337" t="s">
        <v>172</v>
      </c>
      <c r="D3043" s="339">
        <v>37.67</v>
      </c>
    </row>
    <row r="3044" spans="1:4" ht="40.5">
      <c r="A3044" s="337">
        <v>89633</v>
      </c>
      <c r="B3044" s="338" t="s">
        <v>3660</v>
      </c>
      <c r="C3044" s="337" t="s">
        <v>172</v>
      </c>
      <c r="D3044" s="339">
        <v>16.39</v>
      </c>
    </row>
    <row r="3045" spans="1:4" ht="40.5">
      <c r="A3045" s="337">
        <v>89634</v>
      </c>
      <c r="B3045" s="338" t="s">
        <v>3661</v>
      </c>
      <c r="C3045" s="337" t="s">
        <v>172</v>
      </c>
      <c r="D3045" s="339">
        <v>24.7</v>
      </c>
    </row>
    <row r="3046" spans="1:4" ht="40.5">
      <c r="A3046" s="337">
        <v>89635</v>
      </c>
      <c r="B3046" s="338" t="s">
        <v>3662</v>
      </c>
      <c r="C3046" s="337" t="s">
        <v>172</v>
      </c>
      <c r="D3046" s="339">
        <v>35.020000000000003</v>
      </c>
    </row>
    <row r="3047" spans="1:4" ht="40.5">
      <c r="A3047" s="337">
        <v>89636</v>
      </c>
      <c r="B3047" s="338" t="s">
        <v>3663</v>
      </c>
      <c r="C3047" s="337" t="s">
        <v>172</v>
      </c>
      <c r="D3047" s="339">
        <v>42.6</v>
      </c>
    </row>
    <row r="3048" spans="1:4" ht="54">
      <c r="A3048" s="337">
        <v>89711</v>
      </c>
      <c r="B3048" s="338" t="s">
        <v>3664</v>
      </c>
      <c r="C3048" s="337" t="s">
        <v>172</v>
      </c>
      <c r="D3048" s="339">
        <v>12.76</v>
      </c>
    </row>
    <row r="3049" spans="1:4" ht="54">
      <c r="A3049" s="337">
        <v>89712</v>
      </c>
      <c r="B3049" s="338" t="s">
        <v>3665</v>
      </c>
      <c r="C3049" s="337" t="s">
        <v>172</v>
      </c>
      <c r="D3049" s="339">
        <v>18.75</v>
      </c>
    </row>
    <row r="3050" spans="1:4" ht="54">
      <c r="A3050" s="337">
        <v>89713</v>
      </c>
      <c r="B3050" s="338" t="s">
        <v>3666</v>
      </c>
      <c r="C3050" s="337" t="s">
        <v>172</v>
      </c>
      <c r="D3050" s="339">
        <v>28.09</v>
      </c>
    </row>
    <row r="3051" spans="1:4" ht="54">
      <c r="A3051" s="337">
        <v>89714</v>
      </c>
      <c r="B3051" s="338" t="s">
        <v>3667</v>
      </c>
      <c r="C3051" s="337" t="s">
        <v>172</v>
      </c>
      <c r="D3051" s="339">
        <v>36.39</v>
      </c>
    </row>
    <row r="3052" spans="1:4" ht="54">
      <c r="A3052" s="337">
        <v>89716</v>
      </c>
      <c r="B3052" s="338" t="s">
        <v>3668</v>
      </c>
      <c r="C3052" s="337" t="s">
        <v>172</v>
      </c>
      <c r="D3052" s="339">
        <v>17.12</v>
      </c>
    </row>
    <row r="3053" spans="1:4" ht="54">
      <c r="A3053" s="337">
        <v>89717</v>
      </c>
      <c r="B3053" s="338" t="s">
        <v>3669</v>
      </c>
      <c r="C3053" s="337" t="s">
        <v>172</v>
      </c>
      <c r="D3053" s="339">
        <v>26.09</v>
      </c>
    </row>
    <row r="3054" spans="1:4" ht="40.5">
      <c r="A3054" s="337">
        <v>89770</v>
      </c>
      <c r="B3054" s="338" t="s">
        <v>3670</v>
      </c>
      <c r="C3054" s="337" t="s">
        <v>172</v>
      </c>
      <c r="D3054" s="339">
        <v>28.13</v>
      </c>
    </row>
    <row r="3055" spans="1:4" ht="40.5">
      <c r="A3055" s="337">
        <v>89771</v>
      </c>
      <c r="B3055" s="338" t="s">
        <v>3671</v>
      </c>
      <c r="C3055" s="337" t="s">
        <v>172</v>
      </c>
      <c r="D3055" s="339">
        <v>38.450000000000003</v>
      </c>
    </row>
    <row r="3056" spans="1:4" ht="40.5">
      <c r="A3056" s="337">
        <v>89773</v>
      </c>
      <c r="B3056" s="338" t="s">
        <v>3672</v>
      </c>
      <c r="C3056" s="337" t="s">
        <v>172</v>
      </c>
      <c r="D3056" s="339">
        <v>89.47</v>
      </c>
    </row>
    <row r="3057" spans="1:4" ht="40.5">
      <c r="A3057" s="337">
        <v>89775</v>
      </c>
      <c r="B3057" s="338" t="s">
        <v>3673</v>
      </c>
      <c r="C3057" s="337" t="s">
        <v>172</v>
      </c>
      <c r="D3057" s="339">
        <v>141.29</v>
      </c>
    </row>
    <row r="3058" spans="1:4" ht="54">
      <c r="A3058" s="337">
        <v>89798</v>
      </c>
      <c r="B3058" s="338" t="s">
        <v>3674</v>
      </c>
      <c r="C3058" s="337" t="s">
        <v>172</v>
      </c>
      <c r="D3058" s="339">
        <v>7.1</v>
      </c>
    </row>
    <row r="3059" spans="1:4" ht="54">
      <c r="A3059" s="337">
        <v>89799</v>
      </c>
      <c r="B3059" s="338" t="s">
        <v>3675</v>
      </c>
      <c r="C3059" s="337" t="s">
        <v>172</v>
      </c>
      <c r="D3059" s="339">
        <v>11.42</v>
      </c>
    </row>
    <row r="3060" spans="1:4" ht="54">
      <c r="A3060" s="337">
        <v>89800</v>
      </c>
      <c r="B3060" s="338" t="s">
        <v>3676</v>
      </c>
      <c r="C3060" s="337" t="s">
        <v>172</v>
      </c>
      <c r="D3060" s="339">
        <v>14.47</v>
      </c>
    </row>
    <row r="3061" spans="1:4" ht="54">
      <c r="A3061" s="337">
        <v>89848</v>
      </c>
      <c r="B3061" s="338" t="s">
        <v>3677</v>
      </c>
      <c r="C3061" s="337" t="s">
        <v>172</v>
      </c>
      <c r="D3061" s="339">
        <v>18.32</v>
      </c>
    </row>
    <row r="3062" spans="1:4" ht="54">
      <c r="A3062" s="337">
        <v>89849</v>
      </c>
      <c r="B3062" s="338" t="s">
        <v>3678</v>
      </c>
      <c r="C3062" s="337" t="s">
        <v>172</v>
      </c>
      <c r="D3062" s="339">
        <v>32.78</v>
      </c>
    </row>
    <row r="3063" spans="1:4" ht="40.5">
      <c r="A3063" s="337">
        <v>89865</v>
      </c>
      <c r="B3063" s="338" t="s">
        <v>3679</v>
      </c>
      <c r="C3063" s="337" t="s">
        <v>172</v>
      </c>
      <c r="D3063" s="339">
        <v>9.2100000000000009</v>
      </c>
    </row>
    <row r="3064" spans="1:4" ht="94.5">
      <c r="A3064" s="337">
        <v>91784</v>
      </c>
      <c r="B3064" s="338" t="s">
        <v>3680</v>
      </c>
      <c r="C3064" s="337" t="s">
        <v>172</v>
      </c>
      <c r="D3064" s="339">
        <v>30.19</v>
      </c>
    </row>
    <row r="3065" spans="1:4" ht="94.5">
      <c r="A3065" s="337">
        <v>91785</v>
      </c>
      <c r="B3065" s="338" t="s">
        <v>3681</v>
      </c>
      <c r="C3065" s="337" t="s">
        <v>172</v>
      </c>
      <c r="D3065" s="339">
        <v>29.92</v>
      </c>
    </row>
    <row r="3066" spans="1:4" ht="81">
      <c r="A3066" s="337">
        <v>91786</v>
      </c>
      <c r="B3066" s="338" t="s">
        <v>3682</v>
      </c>
      <c r="C3066" s="337" t="s">
        <v>172</v>
      </c>
      <c r="D3066" s="339">
        <v>19.510000000000002</v>
      </c>
    </row>
    <row r="3067" spans="1:4" ht="81">
      <c r="A3067" s="337">
        <v>91787</v>
      </c>
      <c r="B3067" s="338" t="s">
        <v>3683</v>
      </c>
      <c r="C3067" s="337" t="s">
        <v>172</v>
      </c>
      <c r="D3067" s="339">
        <v>21.82</v>
      </c>
    </row>
    <row r="3068" spans="1:4" ht="81">
      <c r="A3068" s="337">
        <v>91788</v>
      </c>
      <c r="B3068" s="338" t="s">
        <v>3684</v>
      </c>
      <c r="C3068" s="337" t="s">
        <v>172</v>
      </c>
      <c r="D3068" s="339">
        <v>30.05</v>
      </c>
    </row>
    <row r="3069" spans="1:4" ht="81">
      <c r="A3069" s="337">
        <v>91789</v>
      </c>
      <c r="B3069" s="338" t="s">
        <v>3685</v>
      </c>
      <c r="C3069" s="337" t="s">
        <v>172</v>
      </c>
      <c r="D3069" s="339">
        <v>24.14</v>
      </c>
    </row>
    <row r="3070" spans="1:4" ht="81">
      <c r="A3070" s="337">
        <v>91790</v>
      </c>
      <c r="B3070" s="338" t="s">
        <v>3686</v>
      </c>
      <c r="C3070" s="337" t="s">
        <v>172</v>
      </c>
      <c r="D3070" s="339">
        <v>35.35</v>
      </c>
    </row>
    <row r="3071" spans="1:4" ht="81">
      <c r="A3071" s="337">
        <v>91791</v>
      </c>
      <c r="B3071" s="338" t="s">
        <v>3687</v>
      </c>
      <c r="C3071" s="337" t="s">
        <v>172</v>
      </c>
      <c r="D3071" s="339">
        <v>41.01</v>
      </c>
    </row>
    <row r="3072" spans="1:4" ht="94.5">
      <c r="A3072" s="337">
        <v>91792</v>
      </c>
      <c r="B3072" s="338" t="s">
        <v>3688</v>
      </c>
      <c r="C3072" s="337" t="s">
        <v>172</v>
      </c>
      <c r="D3072" s="339">
        <v>38.67</v>
      </c>
    </row>
    <row r="3073" spans="1:4" ht="94.5">
      <c r="A3073" s="337">
        <v>91793</v>
      </c>
      <c r="B3073" s="338" t="s">
        <v>3689</v>
      </c>
      <c r="C3073" s="337" t="s">
        <v>172</v>
      </c>
      <c r="D3073" s="339">
        <v>56.99</v>
      </c>
    </row>
    <row r="3074" spans="1:4" ht="94.5">
      <c r="A3074" s="337">
        <v>91794</v>
      </c>
      <c r="B3074" s="338" t="s">
        <v>3690</v>
      </c>
      <c r="C3074" s="337" t="s">
        <v>172</v>
      </c>
      <c r="D3074" s="339">
        <v>24.94</v>
      </c>
    </row>
    <row r="3075" spans="1:4" ht="94.5">
      <c r="A3075" s="337">
        <v>91795</v>
      </c>
      <c r="B3075" s="338" t="s">
        <v>3691</v>
      </c>
      <c r="C3075" s="337" t="s">
        <v>172</v>
      </c>
      <c r="D3075" s="339">
        <v>43.41</v>
      </c>
    </row>
    <row r="3076" spans="1:4" ht="81">
      <c r="A3076" s="337">
        <v>91796</v>
      </c>
      <c r="B3076" s="338" t="s">
        <v>3692</v>
      </c>
      <c r="C3076" s="337" t="s">
        <v>172</v>
      </c>
      <c r="D3076" s="339">
        <v>42.38</v>
      </c>
    </row>
    <row r="3077" spans="1:4" ht="40.5">
      <c r="A3077" s="337">
        <v>92275</v>
      </c>
      <c r="B3077" s="338" t="s">
        <v>3693</v>
      </c>
      <c r="C3077" s="337" t="s">
        <v>172</v>
      </c>
      <c r="D3077" s="339">
        <v>25.77</v>
      </c>
    </row>
    <row r="3078" spans="1:4" ht="40.5">
      <c r="A3078" s="337">
        <v>92276</v>
      </c>
      <c r="B3078" s="338" t="s">
        <v>3694</v>
      </c>
      <c r="C3078" s="337" t="s">
        <v>172</v>
      </c>
      <c r="D3078" s="339">
        <v>32.590000000000003</v>
      </c>
    </row>
    <row r="3079" spans="1:4" ht="40.5">
      <c r="A3079" s="337">
        <v>92277</v>
      </c>
      <c r="B3079" s="338" t="s">
        <v>3695</v>
      </c>
      <c r="C3079" s="337" t="s">
        <v>172</v>
      </c>
      <c r="D3079" s="339">
        <v>46.84</v>
      </c>
    </row>
    <row r="3080" spans="1:4" ht="40.5">
      <c r="A3080" s="337">
        <v>92278</v>
      </c>
      <c r="B3080" s="338" t="s">
        <v>3696</v>
      </c>
      <c r="C3080" s="337" t="s">
        <v>172</v>
      </c>
      <c r="D3080" s="339">
        <v>62.83</v>
      </c>
    </row>
    <row r="3081" spans="1:4" ht="40.5">
      <c r="A3081" s="337">
        <v>92279</v>
      </c>
      <c r="B3081" s="338" t="s">
        <v>3697</v>
      </c>
      <c r="C3081" s="337" t="s">
        <v>172</v>
      </c>
      <c r="D3081" s="339">
        <v>90.62</v>
      </c>
    </row>
    <row r="3082" spans="1:4" ht="40.5">
      <c r="A3082" s="337">
        <v>92280</v>
      </c>
      <c r="B3082" s="338" t="s">
        <v>3698</v>
      </c>
      <c r="C3082" s="337" t="s">
        <v>172</v>
      </c>
      <c r="D3082" s="339">
        <v>126.99</v>
      </c>
    </row>
    <row r="3083" spans="1:4" ht="40.5">
      <c r="A3083" s="337">
        <v>92281</v>
      </c>
      <c r="B3083" s="338" t="s">
        <v>3699</v>
      </c>
      <c r="C3083" s="337" t="s">
        <v>172</v>
      </c>
      <c r="D3083" s="339">
        <v>81.99</v>
      </c>
    </row>
    <row r="3084" spans="1:4" ht="40.5">
      <c r="A3084" s="337">
        <v>92282</v>
      </c>
      <c r="B3084" s="338" t="s">
        <v>3700</v>
      </c>
      <c r="C3084" s="337" t="s">
        <v>172</v>
      </c>
      <c r="D3084" s="339">
        <v>91.07</v>
      </c>
    </row>
    <row r="3085" spans="1:4" ht="40.5">
      <c r="A3085" s="337">
        <v>92283</v>
      </c>
      <c r="B3085" s="338" t="s">
        <v>3701</v>
      </c>
      <c r="C3085" s="337" t="s">
        <v>172</v>
      </c>
      <c r="D3085" s="339">
        <v>120.76</v>
      </c>
    </row>
    <row r="3086" spans="1:4" ht="40.5">
      <c r="A3086" s="337">
        <v>92284</v>
      </c>
      <c r="B3086" s="338" t="s">
        <v>3702</v>
      </c>
      <c r="C3086" s="337" t="s">
        <v>172</v>
      </c>
      <c r="D3086" s="339">
        <v>147.13999999999999</v>
      </c>
    </row>
    <row r="3087" spans="1:4" ht="40.5">
      <c r="A3087" s="337">
        <v>92285</v>
      </c>
      <c r="B3087" s="338" t="s">
        <v>3703</v>
      </c>
      <c r="C3087" s="337" t="s">
        <v>172</v>
      </c>
      <c r="D3087" s="339">
        <v>191.34</v>
      </c>
    </row>
    <row r="3088" spans="1:4" ht="40.5">
      <c r="A3088" s="337">
        <v>92286</v>
      </c>
      <c r="B3088" s="338" t="s">
        <v>3704</v>
      </c>
      <c r="C3088" s="337" t="s">
        <v>172</v>
      </c>
      <c r="D3088" s="339">
        <v>229.12</v>
      </c>
    </row>
    <row r="3089" spans="1:4" ht="54">
      <c r="A3089" s="337">
        <v>92305</v>
      </c>
      <c r="B3089" s="338" t="s">
        <v>3705</v>
      </c>
      <c r="C3089" s="337" t="s">
        <v>172</v>
      </c>
      <c r="D3089" s="339">
        <v>18.12</v>
      </c>
    </row>
    <row r="3090" spans="1:4" ht="54">
      <c r="A3090" s="337">
        <v>92306</v>
      </c>
      <c r="B3090" s="338" t="s">
        <v>3706</v>
      </c>
      <c r="C3090" s="337" t="s">
        <v>172</v>
      </c>
      <c r="D3090" s="339">
        <v>28.89</v>
      </c>
    </row>
    <row r="3091" spans="1:4" ht="54">
      <c r="A3091" s="337">
        <v>92307</v>
      </c>
      <c r="B3091" s="338" t="s">
        <v>3707</v>
      </c>
      <c r="C3091" s="337" t="s">
        <v>172</v>
      </c>
      <c r="D3091" s="339">
        <v>35.93</v>
      </c>
    </row>
    <row r="3092" spans="1:4" ht="54">
      <c r="A3092" s="337">
        <v>92308</v>
      </c>
      <c r="B3092" s="338" t="s">
        <v>3708</v>
      </c>
      <c r="C3092" s="337" t="s">
        <v>172</v>
      </c>
      <c r="D3092" s="339">
        <v>31.61</v>
      </c>
    </row>
    <row r="3093" spans="1:4" ht="54">
      <c r="A3093" s="337">
        <v>92309</v>
      </c>
      <c r="B3093" s="338" t="s">
        <v>3709</v>
      </c>
      <c r="C3093" s="337" t="s">
        <v>172</v>
      </c>
      <c r="D3093" s="339">
        <v>86.68</v>
      </c>
    </row>
    <row r="3094" spans="1:4" ht="54">
      <c r="A3094" s="337">
        <v>92310</v>
      </c>
      <c r="B3094" s="338" t="s">
        <v>3710</v>
      </c>
      <c r="C3094" s="337" t="s">
        <v>172</v>
      </c>
      <c r="D3094" s="339">
        <v>96.03</v>
      </c>
    </row>
    <row r="3095" spans="1:4" ht="54">
      <c r="A3095" s="337">
        <v>92320</v>
      </c>
      <c r="B3095" s="338" t="s">
        <v>3711</v>
      </c>
      <c r="C3095" s="337" t="s">
        <v>172</v>
      </c>
      <c r="D3095" s="339">
        <v>24.97</v>
      </c>
    </row>
    <row r="3096" spans="1:4" ht="54">
      <c r="A3096" s="337">
        <v>92321</v>
      </c>
      <c r="B3096" s="338" t="s">
        <v>3712</v>
      </c>
      <c r="C3096" s="337" t="s">
        <v>172</v>
      </c>
      <c r="D3096" s="339">
        <v>40.659999999999997</v>
      </c>
    </row>
    <row r="3097" spans="1:4" ht="54">
      <c r="A3097" s="337">
        <v>92322</v>
      </c>
      <c r="B3097" s="338" t="s">
        <v>3713</v>
      </c>
      <c r="C3097" s="337" t="s">
        <v>172</v>
      </c>
      <c r="D3097" s="339">
        <v>51.97</v>
      </c>
    </row>
    <row r="3098" spans="1:4" ht="54">
      <c r="A3098" s="337">
        <v>92323</v>
      </c>
      <c r="B3098" s="338" t="s">
        <v>3714</v>
      </c>
      <c r="C3098" s="337" t="s">
        <v>172</v>
      </c>
      <c r="D3098" s="339">
        <v>36.82</v>
      </c>
    </row>
    <row r="3099" spans="1:4" ht="54">
      <c r="A3099" s="337">
        <v>92324</v>
      </c>
      <c r="B3099" s="338" t="s">
        <v>3715</v>
      </c>
      <c r="C3099" s="337" t="s">
        <v>172</v>
      </c>
      <c r="D3099" s="339">
        <v>96.81</v>
      </c>
    </row>
    <row r="3100" spans="1:4" ht="54">
      <c r="A3100" s="337">
        <v>92325</v>
      </c>
      <c r="B3100" s="338" t="s">
        <v>3716</v>
      </c>
      <c r="C3100" s="337" t="s">
        <v>172</v>
      </c>
      <c r="D3100" s="339">
        <v>110.39</v>
      </c>
    </row>
    <row r="3101" spans="1:4" ht="54">
      <c r="A3101" s="337">
        <v>92335</v>
      </c>
      <c r="B3101" s="338" t="s">
        <v>3717</v>
      </c>
      <c r="C3101" s="337" t="s">
        <v>172</v>
      </c>
      <c r="D3101" s="339">
        <v>49.76</v>
      </c>
    </row>
    <row r="3102" spans="1:4" ht="54">
      <c r="A3102" s="337">
        <v>92336</v>
      </c>
      <c r="B3102" s="338" t="s">
        <v>3718</v>
      </c>
      <c r="C3102" s="337" t="s">
        <v>172</v>
      </c>
      <c r="D3102" s="339">
        <v>61.03</v>
      </c>
    </row>
    <row r="3103" spans="1:4" ht="54">
      <c r="A3103" s="337">
        <v>92337</v>
      </c>
      <c r="B3103" s="338" t="s">
        <v>3719</v>
      </c>
      <c r="C3103" s="337" t="s">
        <v>172</v>
      </c>
      <c r="D3103" s="339">
        <v>80</v>
      </c>
    </row>
    <row r="3104" spans="1:4" ht="54">
      <c r="A3104" s="337">
        <v>92338</v>
      </c>
      <c r="B3104" s="338" t="s">
        <v>3720</v>
      </c>
      <c r="C3104" s="337" t="s">
        <v>172</v>
      </c>
      <c r="D3104" s="339">
        <v>69.069999999999993</v>
      </c>
    </row>
    <row r="3105" spans="1:4" ht="54">
      <c r="A3105" s="337">
        <v>92339</v>
      </c>
      <c r="B3105" s="338" t="s">
        <v>3721</v>
      </c>
      <c r="C3105" s="337" t="s">
        <v>172</v>
      </c>
      <c r="D3105" s="339">
        <v>102.33</v>
      </c>
    </row>
    <row r="3106" spans="1:4" ht="54">
      <c r="A3106" s="337">
        <v>92341</v>
      </c>
      <c r="B3106" s="338" t="s">
        <v>3722</v>
      </c>
      <c r="C3106" s="337" t="s">
        <v>172</v>
      </c>
      <c r="D3106" s="339">
        <v>56.6</v>
      </c>
    </row>
    <row r="3107" spans="1:4" ht="54">
      <c r="A3107" s="337">
        <v>92342</v>
      </c>
      <c r="B3107" s="338" t="s">
        <v>3723</v>
      </c>
      <c r="C3107" s="337" t="s">
        <v>172</v>
      </c>
      <c r="D3107" s="339">
        <v>67.91</v>
      </c>
    </row>
    <row r="3108" spans="1:4" ht="54">
      <c r="A3108" s="337">
        <v>92343</v>
      </c>
      <c r="B3108" s="338" t="s">
        <v>3724</v>
      </c>
      <c r="C3108" s="337" t="s">
        <v>172</v>
      </c>
      <c r="D3108" s="339">
        <v>86.94</v>
      </c>
    </row>
    <row r="3109" spans="1:4" ht="54">
      <c r="A3109" s="337">
        <v>92361</v>
      </c>
      <c r="B3109" s="338" t="s">
        <v>3725</v>
      </c>
      <c r="C3109" s="337" t="s">
        <v>172</v>
      </c>
      <c r="D3109" s="339">
        <v>55.28</v>
      </c>
    </row>
    <row r="3110" spans="1:4" ht="54">
      <c r="A3110" s="337">
        <v>92362</v>
      </c>
      <c r="B3110" s="338" t="s">
        <v>3726</v>
      </c>
      <c r="C3110" s="337" t="s">
        <v>172</v>
      </c>
      <c r="D3110" s="339">
        <v>87.98</v>
      </c>
    </row>
    <row r="3111" spans="1:4" ht="67.5">
      <c r="A3111" s="337">
        <v>92364</v>
      </c>
      <c r="B3111" s="338" t="s">
        <v>3727</v>
      </c>
      <c r="C3111" s="337" t="s">
        <v>172</v>
      </c>
      <c r="D3111" s="339">
        <v>30.33</v>
      </c>
    </row>
    <row r="3112" spans="1:4" ht="67.5">
      <c r="A3112" s="337">
        <v>92365</v>
      </c>
      <c r="B3112" s="338" t="s">
        <v>3728</v>
      </c>
      <c r="C3112" s="337" t="s">
        <v>172</v>
      </c>
      <c r="D3112" s="339">
        <v>34.82</v>
      </c>
    </row>
    <row r="3113" spans="1:4" ht="67.5">
      <c r="A3113" s="337">
        <v>92366</v>
      </c>
      <c r="B3113" s="338" t="s">
        <v>3729</v>
      </c>
      <c r="C3113" s="337" t="s">
        <v>172</v>
      </c>
      <c r="D3113" s="339">
        <v>48.15</v>
      </c>
    </row>
    <row r="3114" spans="1:4" ht="67.5">
      <c r="A3114" s="337">
        <v>92367</v>
      </c>
      <c r="B3114" s="338" t="s">
        <v>3730</v>
      </c>
      <c r="C3114" s="337" t="s">
        <v>172</v>
      </c>
      <c r="D3114" s="339">
        <v>59.06</v>
      </c>
    </row>
    <row r="3115" spans="1:4" ht="67.5">
      <c r="A3115" s="337">
        <v>92368</v>
      </c>
      <c r="B3115" s="338" t="s">
        <v>3731</v>
      </c>
      <c r="C3115" s="337" t="s">
        <v>172</v>
      </c>
      <c r="D3115" s="339">
        <v>77.75</v>
      </c>
    </row>
    <row r="3116" spans="1:4" ht="54">
      <c r="A3116" s="337">
        <v>92648</v>
      </c>
      <c r="B3116" s="338" t="s">
        <v>3732</v>
      </c>
      <c r="C3116" s="337" t="s">
        <v>172</v>
      </c>
      <c r="D3116" s="339">
        <v>47.44</v>
      </c>
    </row>
    <row r="3117" spans="1:4" ht="54">
      <c r="A3117" s="337">
        <v>92649</v>
      </c>
      <c r="B3117" s="338" t="s">
        <v>3733</v>
      </c>
      <c r="C3117" s="337" t="s">
        <v>172</v>
      </c>
      <c r="D3117" s="339">
        <v>57.75</v>
      </c>
    </row>
    <row r="3118" spans="1:4" ht="54">
      <c r="A3118" s="337">
        <v>92650</v>
      </c>
      <c r="B3118" s="338" t="s">
        <v>3734</v>
      </c>
      <c r="C3118" s="337" t="s">
        <v>172</v>
      </c>
      <c r="D3118" s="339">
        <v>90.47</v>
      </c>
    </row>
    <row r="3119" spans="1:4" ht="67.5">
      <c r="A3119" s="337">
        <v>92652</v>
      </c>
      <c r="B3119" s="338" t="s">
        <v>3735</v>
      </c>
      <c r="C3119" s="337" t="s">
        <v>172</v>
      </c>
      <c r="D3119" s="339">
        <v>33.450000000000003</v>
      </c>
    </row>
    <row r="3120" spans="1:4" ht="67.5">
      <c r="A3120" s="337">
        <v>92653</v>
      </c>
      <c r="B3120" s="338" t="s">
        <v>3736</v>
      </c>
      <c r="C3120" s="337" t="s">
        <v>172</v>
      </c>
      <c r="D3120" s="339">
        <v>37.979999999999997</v>
      </c>
    </row>
    <row r="3121" spans="1:4" ht="67.5">
      <c r="A3121" s="337">
        <v>92654</v>
      </c>
      <c r="B3121" s="338" t="s">
        <v>3737</v>
      </c>
      <c r="C3121" s="337" t="s">
        <v>172</v>
      </c>
      <c r="D3121" s="339">
        <v>51.3</v>
      </c>
    </row>
    <row r="3122" spans="1:4" ht="67.5">
      <c r="A3122" s="337">
        <v>92655</v>
      </c>
      <c r="B3122" s="338" t="s">
        <v>3738</v>
      </c>
      <c r="C3122" s="337" t="s">
        <v>172</v>
      </c>
      <c r="D3122" s="339">
        <v>62.28</v>
      </c>
    </row>
    <row r="3123" spans="1:4" ht="67.5">
      <c r="A3123" s="337">
        <v>92656</v>
      </c>
      <c r="B3123" s="338" t="s">
        <v>3739</v>
      </c>
      <c r="C3123" s="337" t="s">
        <v>172</v>
      </c>
      <c r="D3123" s="339">
        <v>80.959999999999994</v>
      </c>
    </row>
    <row r="3124" spans="1:4" ht="67.5">
      <c r="A3124" s="337">
        <v>92687</v>
      </c>
      <c r="B3124" s="338" t="s">
        <v>3740</v>
      </c>
      <c r="C3124" s="337" t="s">
        <v>172</v>
      </c>
      <c r="D3124" s="339">
        <v>15.95</v>
      </c>
    </row>
    <row r="3125" spans="1:4" ht="67.5">
      <c r="A3125" s="337">
        <v>92688</v>
      </c>
      <c r="B3125" s="338" t="s">
        <v>3741</v>
      </c>
      <c r="C3125" s="337" t="s">
        <v>172</v>
      </c>
      <c r="D3125" s="339">
        <v>22.69</v>
      </c>
    </row>
    <row r="3126" spans="1:4" ht="54">
      <c r="A3126" s="337">
        <v>92689</v>
      </c>
      <c r="B3126" s="338" t="s">
        <v>3742</v>
      </c>
      <c r="C3126" s="337" t="s">
        <v>172</v>
      </c>
      <c r="D3126" s="339">
        <v>23.92</v>
      </c>
    </row>
    <row r="3127" spans="1:4" ht="54">
      <c r="A3127" s="337">
        <v>92690</v>
      </c>
      <c r="B3127" s="338" t="s">
        <v>3743</v>
      </c>
      <c r="C3127" s="337" t="s">
        <v>172</v>
      </c>
      <c r="D3127" s="339">
        <v>34.67</v>
      </c>
    </row>
    <row r="3128" spans="1:4" ht="81">
      <c r="A3128" s="337">
        <v>94462</v>
      </c>
      <c r="B3128" s="338" t="s">
        <v>3744</v>
      </c>
      <c r="C3128" s="337" t="s">
        <v>172</v>
      </c>
      <c r="D3128" s="339">
        <v>56.67</v>
      </c>
    </row>
    <row r="3129" spans="1:4" ht="81">
      <c r="A3129" s="337">
        <v>94463</v>
      </c>
      <c r="B3129" s="338" t="s">
        <v>3745</v>
      </c>
      <c r="C3129" s="337" t="s">
        <v>172</v>
      </c>
      <c r="D3129" s="339">
        <v>65.84</v>
      </c>
    </row>
    <row r="3130" spans="1:4" ht="81">
      <c r="A3130" s="337">
        <v>94464</v>
      </c>
      <c r="B3130" s="338" t="s">
        <v>3746</v>
      </c>
      <c r="C3130" s="337" t="s">
        <v>172</v>
      </c>
      <c r="D3130" s="339">
        <v>92.18</v>
      </c>
    </row>
    <row r="3131" spans="1:4" ht="81">
      <c r="A3131" s="337">
        <v>94602</v>
      </c>
      <c r="B3131" s="338" t="s">
        <v>3747</v>
      </c>
      <c r="C3131" s="337" t="s">
        <v>172</v>
      </c>
      <c r="D3131" s="339">
        <v>103.58</v>
      </c>
    </row>
    <row r="3132" spans="1:4" ht="81">
      <c r="A3132" s="337">
        <v>94603</v>
      </c>
      <c r="B3132" s="338" t="s">
        <v>3748</v>
      </c>
      <c r="C3132" s="337" t="s">
        <v>172</v>
      </c>
      <c r="D3132" s="339">
        <v>136.97</v>
      </c>
    </row>
    <row r="3133" spans="1:4" ht="81">
      <c r="A3133" s="337">
        <v>94604</v>
      </c>
      <c r="B3133" s="338" t="s">
        <v>3749</v>
      </c>
      <c r="C3133" s="337" t="s">
        <v>172</v>
      </c>
      <c r="D3133" s="339">
        <v>185.38</v>
      </c>
    </row>
    <row r="3134" spans="1:4" ht="81">
      <c r="A3134" s="337">
        <v>94605</v>
      </c>
      <c r="B3134" s="338" t="s">
        <v>3750</v>
      </c>
      <c r="C3134" s="337" t="s">
        <v>172</v>
      </c>
      <c r="D3134" s="339">
        <v>262.02999999999997</v>
      </c>
    </row>
    <row r="3135" spans="1:4" ht="67.5">
      <c r="A3135" s="337">
        <v>94648</v>
      </c>
      <c r="B3135" s="338" t="s">
        <v>3751</v>
      </c>
      <c r="C3135" s="337" t="s">
        <v>172</v>
      </c>
      <c r="D3135" s="339">
        <v>7.25</v>
      </c>
    </row>
    <row r="3136" spans="1:4" ht="67.5">
      <c r="A3136" s="337">
        <v>94649</v>
      </c>
      <c r="B3136" s="338" t="s">
        <v>3752</v>
      </c>
      <c r="C3136" s="337" t="s">
        <v>172</v>
      </c>
      <c r="D3136" s="339">
        <v>10.67</v>
      </c>
    </row>
    <row r="3137" spans="1:4" ht="67.5">
      <c r="A3137" s="337">
        <v>94650</v>
      </c>
      <c r="B3137" s="338" t="s">
        <v>3753</v>
      </c>
      <c r="C3137" s="337" t="s">
        <v>172</v>
      </c>
      <c r="D3137" s="339">
        <v>15.28</v>
      </c>
    </row>
    <row r="3138" spans="1:4" ht="67.5">
      <c r="A3138" s="337">
        <v>94651</v>
      </c>
      <c r="B3138" s="338" t="s">
        <v>3754</v>
      </c>
      <c r="C3138" s="337" t="s">
        <v>172</v>
      </c>
      <c r="D3138" s="339">
        <v>17.489999999999998</v>
      </c>
    </row>
    <row r="3139" spans="1:4" ht="67.5">
      <c r="A3139" s="337">
        <v>94652</v>
      </c>
      <c r="B3139" s="338" t="s">
        <v>3755</v>
      </c>
      <c r="C3139" s="337" t="s">
        <v>172</v>
      </c>
      <c r="D3139" s="339">
        <v>27.06</v>
      </c>
    </row>
    <row r="3140" spans="1:4" ht="67.5">
      <c r="A3140" s="337">
        <v>94653</v>
      </c>
      <c r="B3140" s="338" t="s">
        <v>3756</v>
      </c>
      <c r="C3140" s="337" t="s">
        <v>172</v>
      </c>
      <c r="D3140" s="339">
        <v>33.99</v>
      </c>
    </row>
    <row r="3141" spans="1:4" ht="67.5">
      <c r="A3141" s="337">
        <v>94654</v>
      </c>
      <c r="B3141" s="338" t="s">
        <v>3757</v>
      </c>
      <c r="C3141" s="337" t="s">
        <v>172</v>
      </c>
      <c r="D3141" s="339">
        <v>46.2</v>
      </c>
    </row>
    <row r="3142" spans="1:4" ht="67.5">
      <c r="A3142" s="337">
        <v>94655</v>
      </c>
      <c r="B3142" s="338" t="s">
        <v>3758</v>
      </c>
      <c r="C3142" s="337" t="s">
        <v>172</v>
      </c>
      <c r="D3142" s="339">
        <v>66.02</v>
      </c>
    </row>
    <row r="3143" spans="1:4" ht="67.5">
      <c r="A3143" s="337">
        <v>94716</v>
      </c>
      <c r="B3143" s="338" t="s">
        <v>3759</v>
      </c>
      <c r="C3143" s="337" t="s">
        <v>172</v>
      </c>
      <c r="D3143" s="339">
        <v>17.36</v>
      </c>
    </row>
    <row r="3144" spans="1:4" ht="67.5">
      <c r="A3144" s="337">
        <v>94717</v>
      </c>
      <c r="B3144" s="338" t="s">
        <v>3760</v>
      </c>
      <c r="C3144" s="337" t="s">
        <v>172</v>
      </c>
      <c r="D3144" s="339">
        <v>25.45</v>
      </c>
    </row>
    <row r="3145" spans="1:4" ht="67.5">
      <c r="A3145" s="337">
        <v>94718</v>
      </c>
      <c r="B3145" s="338" t="s">
        <v>3761</v>
      </c>
      <c r="C3145" s="337" t="s">
        <v>172</v>
      </c>
      <c r="D3145" s="339">
        <v>31.49</v>
      </c>
    </row>
    <row r="3146" spans="1:4" ht="67.5">
      <c r="A3146" s="337">
        <v>94719</v>
      </c>
      <c r="B3146" s="338" t="s">
        <v>3762</v>
      </c>
      <c r="C3146" s="337" t="s">
        <v>172</v>
      </c>
      <c r="D3146" s="339">
        <v>41.21</v>
      </c>
    </row>
    <row r="3147" spans="1:4" ht="67.5">
      <c r="A3147" s="337">
        <v>94720</v>
      </c>
      <c r="B3147" s="338" t="s">
        <v>3763</v>
      </c>
      <c r="C3147" s="337" t="s">
        <v>172</v>
      </c>
      <c r="D3147" s="339">
        <v>62.24</v>
      </c>
    </row>
    <row r="3148" spans="1:4" ht="67.5">
      <c r="A3148" s="337">
        <v>94721</v>
      </c>
      <c r="B3148" s="338" t="s">
        <v>3764</v>
      </c>
      <c r="C3148" s="337" t="s">
        <v>172</v>
      </c>
      <c r="D3148" s="339">
        <v>90.73</v>
      </c>
    </row>
    <row r="3149" spans="1:4" ht="67.5">
      <c r="A3149" s="337">
        <v>94722</v>
      </c>
      <c r="B3149" s="338" t="s">
        <v>3765</v>
      </c>
      <c r="C3149" s="337" t="s">
        <v>172</v>
      </c>
      <c r="D3149" s="339">
        <v>158.19</v>
      </c>
    </row>
    <row r="3150" spans="1:4" ht="54">
      <c r="A3150" s="337">
        <v>95697</v>
      </c>
      <c r="B3150" s="338" t="s">
        <v>3766</v>
      </c>
      <c r="C3150" s="337" t="s">
        <v>172</v>
      </c>
      <c r="D3150" s="339">
        <v>44.96</v>
      </c>
    </row>
    <row r="3151" spans="1:4" ht="40.5">
      <c r="A3151" s="337">
        <v>96635</v>
      </c>
      <c r="B3151" s="338" t="s">
        <v>3767</v>
      </c>
      <c r="C3151" s="337" t="s">
        <v>172</v>
      </c>
      <c r="D3151" s="339">
        <v>19.41</v>
      </c>
    </row>
    <row r="3152" spans="1:4" ht="40.5">
      <c r="A3152" s="337">
        <v>96636</v>
      </c>
      <c r="B3152" s="338" t="s">
        <v>3768</v>
      </c>
      <c r="C3152" s="337" t="s">
        <v>172</v>
      </c>
      <c r="D3152" s="339">
        <v>20.57</v>
      </c>
    </row>
    <row r="3153" spans="1:4" ht="54">
      <c r="A3153" s="337">
        <v>96644</v>
      </c>
      <c r="B3153" s="338" t="s">
        <v>3769</v>
      </c>
      <c r="C3153" s="337" t="s">
        <v>172</v>
      </c>
      <c r="D3153" s="339">
        <v>12.31</v>
      </c>
    </row>
    <row r="3154" spans="1:4" ht="54">
      <c r="A3154" s="337">
        <v>96645</v>
      </c>
      <c r="B3154" s="338" t="s">
        <v>3770</v>
      </c>
      <c r="C3154" s="337" t="s">
        <v>172</v>
      </c>
      <c r="D3154" s="339">
        <v>15.98</v>
      </c>
    </row>
    <row r="3155" spans="1:4" ht="54">
      <c r="A3155" s="337">
        <v>96646</v>
      </c>
      <c r="B3155" s="338" t="s">
        <v>3771</v>
      </c>
      <c r="C3155" s="337" t="s">
        <v>172</v>
      </c>
      <c r="D3155" s="339">
        <v>24.83</v>
      </c>
    </row>
    <row r="3156" spans="1:4" ht="54">
      <c r="A3156" s="337">
        <v>96647</v>
      </c>
      <c r="B3156" s="338" t="s">
        <v>3772</v>
      </c>
      <c r="C3156" s="337" t="s">
        <v>172</v>
      </c>
      <c r="D3156" s="339">
        <v>11.02</v>
      </c>
    </row>
    <row r="3157" spans="1:4" ht="54">
      <c r="A3157" s="337">
        <v>96648</v>
      </c>
      <c r="B3157" s="338" t="s">
        <v>3773</v>
      </c>
      <c r="C3157" s="337" t="s">
        <v>172</v>
      </c>
      <c r="D3157" s="339">
        <v>20.23</v>
      </c>
    </row>
    <row r="3158" spans="1:4" ht="54">
      <c r="A3158" s="337">
        <v>96649</v>
      </c>
      <c r="B3158" s="338" t="s">
        <v>3774</v>
      </c>
      <c r="C3158" s="337" t="s">
        <v>172</v>
      </c>
      <c r="D3158" s="339">
        <v>29.97</v>
      </c>
    </row>
    <row r="3159" spans="1:4" ht="40.5">
      <c r="A3159" s="337">
        <v>96668</v>
      </c>
      <c r="B3159" s="338" t="s">
        <v>3775</v>
      </c>
      <c r="C3159" s="337" t="s">
        <v>172</v>
      </c>
      <c r="D3159" s="339">
        <v>7.35</v>
      </c>
    </row>
    <row r="3160" spans="1:4" ht="40.5">
      <c r="A3160" s="337">
        <v>96669</v>
      </c>
      <c r="B3160" s="338" t="s">
        <v>3776</v>
      </c>
      <c r="C3160" s="337" t="s">
        <v>172</v>
      </c>
      <c r="D3160" s="339">
        <v>9.1300000000000008</v>
      </c>
    </row>
    <row r="3161" spans="1:4" ht="40.5">
      <c r="A3161" s="337">
        <v>96670</v>
      </c>
      <c r="B3161" s="338" t="s">
        <v>3777</v>
      </c>
      <c r="C3161" s="337" t="s">
        <v>172</v>
      </c>
      <c r="D3161" s="339">
        <v>13.87</v>
      </c>
    </row>
    <row r="3162" spans="1:4" ht="40.5">
      <c r="A3162" s="337">
        <v>96671</v>
      </c>
      <c r="B3162" s="338" t="s">
        <v>3778</v>
      </c>
      <c r="C3162" s="337" t="s">
        <v>172</v>
      </c>
      <c r="D3162" s="339">
        <v>18.62</v>
      </c>
    </row>
    <row r="3163" spans="1:4" ht="40.5">
      <c r="A3163" s="337">
        <v>96672</v>
      </c>
      <c r="B3163" s="338" t="s">
        <v>3779</v>
      </c>
      <c r="C3163" s="337" t="s">
        <v>172</v>
      </c>
      <c r="D3163" s="339">
        <v>27.36</v>
      </c>
    </row>
    <row r="3164" spans="1:4" ht="40.5">
      <c r="A3164" s="337">
        <v>96673</v>
      </c>
      <c r="B3164" s="338" t="s">
        <v>3780</v>
      </c>
      <c r="C3164" s="337" t="s">
        <v>172</v>
      </c>
      <c r="D3164" s="339">
        <v>44.54</v>
      </c>
    </row>
    <row r="3165" spans="1:4" ht="40.5">
      <c r="A3165" s="337">
        <v>96674</v>
      </c>
      <c r="B3165" s="338" t="s">
        <v>3781</v>
      </c>
      <c r="C3165" s="337" t="s">
        <v>172</v>
      </c>
      <c r="D3165" s="339">
        <v>62.6</v>
      </c>
    </row>
    <row r="3166" spans="1:4" ht="40.5">
      <c r="A3166" s="337">
        <v>96675</v>
      </c>
      <c r="B3166" s="338" t="s">
        <v>3782</v>
      </c>
      <c r="C3166" s="337" t="s">
        <v>172</v>
      </c>
      <c r="D3166" s="339">
        <v>108.48</v>
      </c>
    </row>
    <row r="3167" spans="1:4" ht="40.5">
      <c r="A3167" s="337">
        <v>96676</v>
      </c>
      <c r="B3167" s="338" t="s">
        <v>3783</v>
      </c>
      <c r="C3167" s="337" t="s">
        <v>172</v>
      </c>
      <c r="D3167" s="339">
        <v>7.33</v>
      </c>
    </row>
    <row r="3168" spans="1:4" ht="40.5">
      <c r="A3168" s="337">
        <v>96677</v>
      </c>
      <c r="B3168" s="338" t="s">
        <v>3784</v>
      </c>
      <c r="C3168" s="337" t="s">
        <v>172</v>
      </c>
      <c r="D3168" s="339">
        <v>12.08</v>
      </c>
    </row>
    <row r="3169" spans="1:4" ht="40.5">
      <c r="A3169" s="337">
        <v>96678</v>
      </c>
      <c r="B3169" s="338" t="s">
        <v>3785</v>
      </c>
      <c r="C3169" s="337" t="s">
        <v>172</v>
      </c>
      <c r="D3169" s="339">
        <v>16.79</v>
      </c>
    </row>
    <row r="3170" spans="1:4" ht="40.5">
      <c r="A3170" s="337">
        <v>96679</v>
      </c>
      <c r="B3170" s="338" t="s">
        <v>3786</v>
      </c>
      <c r="C3170" s="337" t="s">
        <v>172</v>
      </c>
      <c r="D3170" s="339">
        <v>24.52</v>
      </c>
    </row>
    <row r="3171" spans="1:4" ht="40.5">
      <c r="A3171" s="337">
        <v>96680</v>
      </c>
      <c r="B3171" s="338" t="s">
        <v>3787</v>
      </c>
      <c r="C3171" s="337" t="s">
        <v>172</v>
      </c>
      <c r="D3171" s="339">
        <v>33.14</v>
      </c>
    </row>
    <row r="3172" spans="1:4" ht="40.5">
      <c r="A3172" s="337">
        <v>96681</v>
      </c>
      <c r="B3172" s="338" t="s">
        <v>3788</v>
      </c>
      <c r="C3172" s="337" t="s">
        <v>172</v>
      </c>
      <c r="D3172" s="339">
        <v>61.45</v>
      </c>
    </row>
    <row r="3173" spans="1:4" ht="40.5">
      <c r="A3173" s="337">
        <v>96682</v>
      </c>
      <c r="B3173" s="338" t="s">
        <v>3789</v>
      </c>
      <c r="C3173" s="337" t="s">
        <v>172</v>
      </c>
      <c r="D3173" s="339">
        <v>90.57</v>
      </c>
    </row>
    <row r="3174" spans="1:4" ht="40.5">
      <c r="A3174" s="337">
        <v>96683</v>
      </c>
      <c r="B3174" s="338" t="s">
        <v>3790</v>
      </c>
      <c r="C3174" s="337" t="s">
        <v>172</v>
      </c>
      <c r="D3174" s="339">
        <v>124.17</v>
      </c>
    </row>
    <row r="3175" spans="1:4" ht="67.5">
      <c r="A3175" s="337">
        <v>96718</v>
      </c>
      <c r="B3175" s="338" t="s">
        <v>3791</v>
      </c>
      <c r="C3175" s="337" t="s">
        <v>172</v>
      </c>
      <c r="D3175" s="339">
        <v>4.75</v>
      </c>
    </row>
    <row r="3176" spans="1:4" ht="67.5">
      <c r="A3176" s="337">
        <v>96719</v>
      </c>
      <c r="B3176" s="338" t="s">
        <v>3792</v>
      </c>
      <c r="C3176" s="337" t="s">
        <v>172</v>
      </c>
      <c r="D3176" s="339">
        <v>10.35</v>
      </c>
    </row>
    <row r="3177" spans="1:4" ht="67.5">
      <c r="A3177" s="337">
        <v>96720</v>
      </c>
      <c r="B3177" s="338" t="s">
        <v>3793</v>
      </c>
      <c r="C3177" s="337" t="s">
        <v>172</v>
      </c>
      <c r="D3177" s="339">
        <v>12.55</v>
      </c>
    </row>
    <row r="3178" spans="1:4" ht="67.5">
      <c r="A3178" s="337">
        <v>96721</v>
      </c>
      <c r="B3178" s="338" t="s">
        <v>3794</v>
      </c>
      <c r="C3178" s="337" t="s">
        <v>172</v>
      </c>
      <c r="D3178" s="339">
        <v>16.55</v>
      </c>
    </row>
    <row r="3179" spans="1:4" ht="67.5">
      <c r="A3179" s="337">
        <v>96722</v>
      </c>
      <c r="B3179" s="338" t="s">
        <v>3795</v>
      </c>
      <c r="C3179" s="337" t="s">
        <v>172</v>
      </c>
      <c r="D3179" s="339">
        <v>22.74</v>
      </c>
    </row>
    <row r="3180" spans="1:4" ht="67.5">
      <c r="A3180" s="337">
        <v>96723</v>
      </c>
      <c r="B3180" s="338" t="s">
        <v>3796</v>
      </c>
      <c r="C3180" s="337" t="s">
        <v>172</v>
      </c>
      <c r="D3180" s="339">
        <v>29.74</v>
      </c>
    </row>
    <row r="3181" spans="1:4" ht="67.5">
      <c r="A3181" s="337">
        <v>96724</v>
      </c>
      <c r="B3181" s="338" t="s">
        <v>3797</v>
      </c>
      <c r="C3181" s="337" t="s">
        <v>172</v>
      </c>
      <c r="D3181" s="339">
        <v>48.61</v>
      </c>
    </row>
    <row r="3182" spans="1:4" ht="67.5">
      <c r="A3182" s="337">
        <v>96725</v>
      </c>
      <c r="B3182" s="338" t="s">
        <v>3798</v>
      </c>
      <c r="C3182" s="337" t="s">
        <v>172</v>
      </c>
      <c r="D3182" s="339">
        <v>63.21</v>
      </c>
    </row>
    <row r="3183" spans="1:4" ht="67.5">
      <c r="A3183" s="337">
        <v>96726</v>
      </c>
      <c r="B3183" s="338" t="s">
        <v>3799</v>
      </c>
      <c r="C3183" s="337" t="s">
        <v>172</v>
      </c>
      <c r="D3183" s="339">
        <v>102.94</v>
      </c>
    </row>
    <row r="3184" spans="1:4" ht="67.5">
      <c r="A3184" s="337">
        <v>96727</v>
      </c>
      <c r="B3184" s="338" t="s">
        <v>3800</v>
      </c>
      <c r="C3184" s="337" t="s">
        <v>172</v>
      </c>
      <c r="D3184" s="339">
        <v>9.1199999999999992</v>
      </c>
    </row>
    <row r="3185" spans="1:4" ht="67.5">
      <c r="A3185" s="337">
        <v>96728</v>
      </c>
      <c r="B3185" s="338" t="s">
        <v>3801</v>
      </c>
      <c r="C3185" s="337" t="s">
        <v>172</v>
      </c>
      <c r="D3185" s="339">
        <v>10.73</v>
      </c>
    </row>
    <row r="3186" spans="1:4" ht="67.5">
      <c r="A3186" s="337">
        <v>96729</v>
      </c>
      <c r="B3186" s="338" t="s">
        <v>3802</v>
      </c>
      <c r="C3186" s="337" t="s">
        <v>172</v>
      </c>
      <c r="D3186" s="339">
        <v>16.07</v>
      </c>
    </row>
    <row r="3187" spans="1:4" ht="67.5">
      <c r="A3187" s="337">
        <v>96730</v>
      </c>
      <c r="B3187" s="338" t="s">
        <v>3803</v>
      </c>
      <c r="C3187" s="337" t="s">
        <v>172</v>
      </c>
      <c r="D3187" s="339">
        <v>19.989999999999998</v>
      </c>
    </row>
    <row r="3188" spans="1:4" ht="67.5">
      <c r="A3188" s="337">
        <v>96731</v>
      </c>
      <c r="B3188" s="338" t="s">
        <v>3804</v>
      </c>
      <c r="C3188" s="337" t="s">
        <v>172</v>
      </c>
      <c r="D3188" s="339">
        <v>29.33</v>
      </c>
    </row>
    <row r="3189" spans="1:4" ht="67.5">
      <c r="A3189" s="337">
        <v>96732</v>
      </c>
      <c r="B3189" s="338" t="s">
        <v>3805</v>
      </c>
      <c r="C3189" s="337" t="s">
        <v>172</v>
      </c>
      <c r="D3189" s="339">
        <v>35.97</v>
      </c>
    </row>
    <row r="3190" spans="1:4" ht="67.5">
      <c r="A3190" s="337">
        <v>96733</v>
      </c>
      <c r="B3190" s="338" t="s">
        <v>3806</v>
      </c>
      <c r="C3190" s="337" t="s">
        <v>172</v>
      </c>
      <c r="D3190" s="339">
        <v>65.72</v>
      </c>
    </row>
    <row r="3191" spans="1:4" ht="67.5">
      <c r="A3191" s="337">
        <v>96734</v>
      </c>
      <c r="B3191" s="338" t="s">
        <v>3807</v>
      </c>
      <c r="C3191" s="337" t="s">
        <v>172</v>
      </c>
      <c r="D3191" s="339">
        <v>90.18</v>
      </c>
    </row>
    <row r="3192" spans="1:4" ht="67.5">
      <c r="A3192" s="337">
        <v>96735</v>
      </c>
      <c r="B3192" s="338" t="s">
        <v>3808</v>
      </c>
      <c r="C3192" s="337" t="s">
        <v>172</v>
      </c>
      <c r="D3192" s="339">
        <v>118.36</v>
      </c>
    </row>
    <row r="3193" spans="1:4" ht="40.5">
      <c r="A3193" s="337">
        <v>96794</v>
      </c>
      <c r="B3193" s="338" t="s">
        <v>3809</v>
      </c>
      <c r="C3193" s="337" t="s">
        <v>172</v>
      </c>
      <c r="D3193" s="339">
        <v>5.8</v>
      </c>
    </row>
    <row r="3194" spans="1:4" ht="40.5">
      <c r="A3194" s="337">
        <v>96795</v>
      </c>
      <c r="B3194" s="338" t="s">
        <v>3810</v>
      </c>
      <c r="C3194" s="337" t="s">
        <v>172</v>
      </c>
      <c r="D3194" s="339">
        <v>7.36</v>
      </c>
    </row>
    <row r="3195" spans="1:4" ht="40.5">
      <c r="A3195" s="337">
        <v>96796</v>
      </c>
      <c r="B3195" s="338" t="s">
        <v>3811</v>
      </c>
      <c r="C3195" s="337" t="s">
        <v>172</v>
      </c>
      <c r="D3195" s="339">
        <v>10.25</v>
      </c>
    </row>
    <row r="3196" spans="1:4" ht="40.5">
      <c r="A3196" s="337">
        <v>96797</v>
      </c>
      <c r="B3196" s="338" t="s">
        <v>3812</v>
      </c>
      <c r="C3196" s="337" t="s">
        <v>172</v>
      </c>
      <c r="D3196" s="339">
        <v>15.38</v>
      </c>
    </row>
    <row r="3197" spans="1:4" ht="40.5">
      <c r="A3197" s="337">
        <v>96798</v>
      </c>
      <c r="B3197" s="338" t="s">
        <v>3813</v>
      </c>
      <c r="C3197" s="337" t="s">
        <v>172</v>
      </c>
      <c r="D3197" s="339">
        <v>5.9</v>
      </c>
    </row>
    <row r="3198" spans="1:4" ht="40.5">
      <c r="A3198" s="337">
        <v>96799</v>
      </c>
      <c r="B3198" s="338" t="s">
        <v>3814</v>
      </c>
      <c r="C3198" s="337" t="s">
        <v>172</v>
      </c>
      <c r="D3198" s="339">
        <v>7.92</v>
      </c>
    </row>
    <row r="3199" spans="1:4" ht="40.5">
      <c r="A3199" s="337">
        <v>96800</v>
      </c>
      <c r="B3199" s="338" t="s">
        <v>3815</v>
      </c>
      <c r="C3199" s="337" t="s">
        <v>172</v>
      </c>
      <c r="D3199" s="339">
        <v>11.41</v>
      </c>
    </row>
    <row r="3200" spans="1:4" ht="40.5">
      <c r="A3200" s="337">
        <v>96801</v>
      </c>
      <c r="B3200" s="338" t="s">
        <v>3816</v>
      </c>
      <c r="C3200" s="337" t="s">
        <v>172</v>
      </c>
      <c r="D3200" s="339">
        <v>17.37</v>
      </c>
    </row>
    <row r="3201" spans="1:4" ht="67.5">
      <c r="A3201" s="337">
        <v>97327</v>
      </c>
      <c r="B3201" s="338" t="s">
        <v>3817</v>
      </c>
      <c r="C3201" s="337" t="s">
        <v>172</v>
      </c>
      <c r="D3201" s="339">
        <v>14.62</v>
      </c>
    </row>
    <row r="3202" spans="1:4" ht="67.5">
      <c r="A3202" s="337">
        <v>97328</v>
      </c>
      <c r="B3202" s="338" t="s">
        <v>3818</v>
      </c>
      <c r="C3202" s="337" t="s">
        <v>172</v>
      </c>
      <c r="D3202" s="339">
        <v>25.75</v>
      </c>
    </row>
    <row r="3203" spans="1:4" ht="67.5">
      <c r="A3203" s="337">
        <v>97329</v>
      </c>
      <c r="B3203" s="338" t="s">
        <v>3819</v>
      </c>
      <c r="C3203" s="337" t="s">
        <v>172</v>
      </c>
      <c r="D3203" s="339">
        <v>22.09</v>
      </c>
    </row>
    <row r="3204" spans="1:4" ht="67.5">
      <c r="A3204" s="337">
        <v>97330</v>
      </c>
      <c r="B3204" s="338" t="s">
        <v>3820</v>
      </c>
      <c r="C3204" s="337" t="s">
        <v>172</v>
      </c>
      <c r="D3204" s="339">
        <v>41.72</v>
      </c>
    </row>
    <row r="3205" spans="1:4" ht="67.5">
      <c r="A3205" s="337">
        <v>97331</v>
      </c>
      <c r="B3205" s="338" t="s">
        <v>3821</v>
      </c>
      <c r="C3205" s="337" t="s">
        <v>172</v>
      </c>
      <c r="D3205" s="339">
        <v>14.85</v>
      </c>
    </row>
    <row r="3206" spans="1:4" ht="67.5">
      <c r="A3206" s="337">
        <v>97332</v>
      </c>
      <c r="B3206" s="338" t="s">
        <v>3822</v>
      </c>
      <c r="C3206" s="337" t="s">
        <v>172</v>
      </c>
      <c r="D3206" s="339">
        <v>26.01</v>
      </c>
    </row>
    <row r="3207" spans="1:4" ht="67.5">
      <c r="A3207" s="337">
        <v>97333</v>
      </c>
      <c r="B3207" s="338" t="s">
        <v>3823</v>
      </c>
      <c r="C3207" s="337" t="s">
        <v>172</v>
      </c>
      <c r="D3207" s="339">
        <v>32.090000000000003</v>
      </c>
    </row>
    <row r="3208" spans="1:4" ht="67.5">
      <c r="A3208" s="337">
        <v>97334</v>
      </c>
      <c r="B3208" s="338" t="s">
        <v>3824</v>
      </c>
      <c r="C3208" s="337" t="s">
        <v>172</v>
      </c>
      <c r="D3208" s="339">
        <v>38.94</v>
      </c>
    </row>
    <row r="3209" spans="1:4" ht="40.5">
      <c r="A3209" s="337">
        <v>97335</v>
      </c>
      <c r="B3209" s="338" t="s">
        <v>3825</v>
      </c>
      <c r="C3209" s="337" t="s">
        <v>172</v>
      </c>
      <c r="D3209" s="339">
        <v>36.85</v>
      </c>
    </row>
    <row r="3210" spans="1:4" ht="40.5">
      <c r="A3210" s="337">
        <v>97336</v>
      </c>
      <c r="B3210" s="338" t="s">
        <v>3826</v>
      </c>
      <c r="C3210" s="337" t="s">
        <v>172</v>
      </c>
      <c r="D3210" s="339">
        <v>46.75</v>
      </c>
    </row>
    <row r="3211" spans="1:4" ht="40.5">
      <c r="A3211" s="337">
        <v>97337</v>
      </c>
      <c r="B3211" s="338" t="s">
        <v>3827</v>
      </c>
      <c r="C3211" s="337" t="s">
        <v>172</v>
      </c>
      <c r="D3211" s="339">
        <v>70.03</v>
      </c>
    </row>
    <row r="3212" spans="1:4" ht="40.5">
      <c r="A3212" s="337">
        <v>97338</v>
      </c>
      <c r="B3212" s="338" t="s">
        <v>3828</v>
      </c>
      <c r="C3212" s="337" t="s">
        <v>172</v>
      </c>
      <c r="D3212" s="339">
        <v>84.14</v>
      </c>
    </row>
    <row r="3213" spans="1:4" ht="40.5">
      <c r="A3213" s="337">
        <v>97339</v>
      </c>
      <c r="B3213" s="338" t="s">
        <v>3829</v>
      </c>
      <c r="C3213" s="337" t="s">
        <v>172</v>
      </c>
      <c r="D3213" s="339">
        <v>90.62</v>
      </c>
    </row>
    <row r="3214" spans="1:4" ht="40.5">
      <c r="A3214" s="337">
        <v>97340</v>
      </c>
      <c r="B3214" s="338" t="s">
        <v>3830</v>
      </c>
      <c r="C3214" s="337" t="s">
        <v>172</v>
      </c>
      <c r="D3214" s="339">
        <v>91.17</v>
      </c>
    </row>
    <row r="3215" spans="1:4" ht="54">
      <c r="A3215" s="337">
        <v>97341</v>
      </c>
      <c r="B3215" s="338" t="s">
        <v>3831</v>
      </c>
      <c r="C3215" s="337" t="s">
        <v>172</v>
      </c>
      <c r="D3215" s="339">
        <v>25.85</v>
      </c>
    </row>
    <row r="3216" spans="1:4" ht="54">
      <c r="A3216" s="337">
        <v>97342</v>
      </c>
      <c r="B3216" s="338" t="s">
        <v>3832</v>
      </c>
      <c r="C3216" s="337" t="s">
        <v>172</v>
      </c>
      <c r="D3216" s="339">
        <v>39.97</v>
      </c>
    </row>
    <row r="3217" spans="1:4" ht="54">
      <c r="A3217" s="337">
        <v>97343</v>
      </c>
      <c r="B3217" s="338" t="s">
        <v>3833</v>
      </c>
      <c r="C3217" s="337" t="s">
        <v>172</v>
      </c>
      <c r="D3217" s="339">
        <v>50.09</v>
      </c>
    </row>
    <row r="3218" spans="1:4" ht="54">
      <c r="A3218" s="337">
        <v>97344</v>
      </c>
      <c r="B3218" s="338" t="s">
        <v>3834</v>
      </c>
      <c r="C3218" s="337" t="s">
        <v>172</v>
      </c>
      <c r="D3218" s="339">
        <v>32.700000000000003</v>
      </c>
    </row>
    <row r="3219" spans="1:4" ht="54">
      <c r="A3219" s="337">
        <v>97345</v>
      </c>
      <c r="B3219" s="338" t="s">
        <v>3835</v>
      </c>
      <c r="C3219" s="337" t="s">
        <v>172</v>
      </c>
      <c r="D3219" s="339">
        <v>51.74</v>
      </c>
    </row>
    <row r="3220" spans="1:4" ht="54">
      <c r="A3220" s="337">
        <v>97346</v>
      </c>
      <c r="B3220" s="338" t="s">
        <v>3836</v>
      </c>
      <c r="C3220" s="337" t="s">
        <v>172</v>
      </c>
      <c r="D3220" s="339">
        <v>66.13</v>
      </c>
    </row>
    <row r="3221" spans="1:4" ht="40.5">
      <c r="A3221" s="337">
        <v>97347</v>
      </c>
      <c r="B3221" s="338" t="s">
        <v>3837</v>
      </c>
      <c r="C3221" s="337" t="s">
        <v>172</v>
      </c>
      <c r="D3221" s="339">
        <v>44.27</v>
      </c>
    </row>
    <row r="3222" spans="1:4" ht="40.5">
      <c r="A3222" s="337">
        <v>97348</v>
      </c>
      <c r="B3222" s="338" t="s">
        <v>3838</v>
      </c>
      <c r="C3222" s="337" t="s">
        <v>172</v>
      </c>
      <c r="D3222" s="339">
        <v>61.05</v>
      </c>
    </row>
    <row r="3223" spans="1:4" ht="40.5">
      <c r="A3223" s="337">
        <v>97349</v>
      </c>
      <c r="B3223" s="338" t="s">
        <v>3839</v>
      </c>
      <c r="C3223" s="337" t="s">
        <v>172</v>
      </c>
      <c r="D3223" s="339">
        <v>87.83</v>
      </c>
    </row>
    <row r="3224" spans="1:4" ht="40.5">
      <c r="A3224" s="337">
        <v>97350</v>
      </c>
      <c r="B3224" s="338" t="s">
        <v>3840</v>
      </c>
      <c r="C3224" s="337" t="s">
        <v>172</v>
      </c>
      <c r="D3224" s="339">
        <v>106.59</v>
      </c>
    </row>
    <row r="3225" spans="1:4" ht="40.5">
      <c r="A3225" s="337">
        <v>97351</v>
      </c>
      <c r="B3225" s="338" t="s">
        <v>3841</v>
      </c>
      <c r="C3225" s="337" t="s">
        <v>172</v>
      </c>
      <c r="D3225" s="339">
        <v>147.26</v>
      </c>
    </row>
    <row r="3226" spans="1:4" ht="40.5">
      <c r="A3226" s="337">
        <v>97352</v>
      </c>
      <c r="B3226" s="338" t="s">
        <v>3842</v>
      </c>
      <c r="C3226" s="337" t="s">
        <v>172</v>
      </c>
      <c r="D3226" s="339">
        <v>190.71</v>
      </c>
    </row>
    <row r="3227" spans="1:4" ht="54">
      <c r="A3227" s="337">
        <v>97353</v>
      </c>
      <c r="B3227" s="338" t="s">
        <v>3843</v>
      </c>
      <c r="C3227" s="337" t="s">
        <v>172</v>
      </c>
      <c r="D3227" s="339">
        <v>30.25</v>
      </c>
    </row>
    <row r="3228" spans="1:4" ht="54">
      <c r="A3228" s="337">
        <v>97354</v>
      </c>
      <c r="B3228" s="338" t="s">
        <v>3844</v>
      </c>
      <c r="C3228" s="337" t="s">
        <v>172</v>
      </c>
      <c r="D3228" s="339">
        <v>47.39</v>
      </c>
    </row>
    <row r="3229" spans="1:4" ht="54">
      <c r="A3229" s="337">
        <v>97355</v>
      </c>
      <c r="B3229" s="338" t="s">
        <v>3845</v>
      </c>
      <c r="C3229" s="337" t="s">
        <v>172</v>
      </c>
      <c r="D3229" s="339">
        <v>64.39</v>
      </c>
    </row>
    <row r="3230" spans="1:4" ht="54">
      <c r="A3230" s="337">
        <v>97356</v>
      </c>
      <c r="B3230" s="338" t="s">
        <v>3846</v>
      </c>
      <c r="C3230" s="337" t="s">
        <v>172</v>
      </c>
      <c r="D3230" s="339">
        <v>37.1</v>
      </c>
    </row>
    <row r="3231" spans="1:4" ht="54">
      <c r="A3231" s="337">
        <v>97357</v>
      </c>
      <c r="B3231" s="338" t="s">
        <v>3847</v>
      </c>
      <c r="C3231" s="337" t="s">
        <v>172</v>
      </c>
      <c r="D3231" s="339">
        <v>59.16</v>
      </c>
    </row>
    <row r="3232" spans="1:4" ht="54">
      <c r="A3232" s="337">
        <v>97358</v>
      </c>
      <c r="B3232" s="338" t="s">
        <v>3848</v>
      </c>
      <c r="C3232" s="337" t="s">
        <v>172</v>
      </c>
      <c r="D3232" s="339">
        <v>80.430000000000007</v>
      </c>
    </row>
    <row r="3233" spans="1:4" ht="67.5">
      <c r="A3233" s="337">
        <v>97498</v>
      </c>
      <c r="B3233" s="338" t="s">
        <v>3849</v>
      </c>
      <c r="C3233" s="337" t="s">
        <v>172</v>
      </c>
      <c r="D3233" s="339">
        <v>24.75</v>
      </c>
    </row>
    <row r="3234" spans="1:4" ht="67.5">
      <c r="A3234" s="337">
        <v>97535</v>
      </c>
      <c r="B3234" s="338" t="s">
        <v>3850</v>
      </c>
      <c r="C3234" s="337" t="s">
        <v>172</v>
      </c>
      <c r="D3234" s="339">
        <v>27.87</v>
      </c>
    </row>
    <row r="3235" spans="1:4" ht="67.5">
      <c r="A3235" s="337">
        <v>97536</v>
      </c>
      <c r="B3235" s="338" t="s">
        <v>3851</v>
      </c>
      <c r="C3235" s="337" t="s">
        <v>172</v>
      </c>
      <c r="D3235" s="339">
        <v>35.03</v>
      </c>
    </row>
    <row r="3236" spans="1:4" ht="27">
      <c r="A3236" s="337">
        <v>72293</v>
      </c>
      <c r="B3236" s="338" t="s">
        <v>3852</v>
      </c>
      <c r="C3236" s="337" t="s">
        <v>474</v>
      </c>
      <c r="D3236" s="339">
        <v>5.2</v>
      </c>
    </row>
    <row r="3237" spans="1:4" ht="27">
      <c r="A3237" s="337">
        <v>72294</v>
      </c>
      <c r="B3237" s="338" t="s">
        <v>3853</v>
      </c>
      <c r="C3237" s="337" t="s">
        <v>474</v>
      </c>
      <c r="D3237" s="339">
        <v>7.95</v>
      </c>
    </row>
    <row r="3238" spans="1:4" ht="27">
      <c r="A3238" s="337">
        <v>72295</v>
      </c>
      <c r="B3238" s="338" t="s">
        <v>3854</v>
      </c>
      <c r="C3238" s="337" t="s">
        <v>474</v>
      </c>
      <c r="D3238" s="339">
        <v>10.94</v>
      </c>
    </row>
    <row r="3239" spans="1:4" ht="27">
      <c r="A3239" s="337">
        <v>72306</v>
      </c>
      <c r="B3239" s="338" t="s">
        <v>3855</v>
      </c>
      <c r="C3239" s="337" t="s">
        <v>474</v>
      </c>
      <c r="D3239" s="339">
        <v>153.88</v>
      </c>
    </row>
    <row r="3240" spans="1:4" ht="27">
      <c r="A3240" s="337">
        <v>72307</v>
      </c>
      <c r="B3240" s="338" t="s">
        <v>3856</v>
      </c>
      <c r="C3240" s="337" t="s">
        <v>474</v>
      </c>
      <c r="D3240" s="339">
        <v>215.29</v>
      </c>
    </row>
    <row r="3241" spans="1:4" ht="27">
      <c r="A3241" s="337">
        <v>72313</v>
      </c>
      <c r="B3241" s="338" t="s">
        <v>3857</v>
      </c>
      <c r="C3241" s="337" t="s">
        <v>474</v>
      </c>
      <c r="D3241" s="339">
        <v>499.79</v>
      </c>
    </row>
    <row r="3242" spans="1:4" ht="27">
      <c r="A3242" s="337">
        <v>72482</v>
      </c>
      <c r="B3242" s="338" t="s">
        <v>3858</v>
      </c>
      <c r="C3242" s="337" t="s">
        <v>474</v>
      </c>
      <c r="D3242" s="339">
        <v>215.21</v>
      </c>
    </row>
    <row r="3243" spans="1:4" ht="27">
      <c r="A3243" s="337">
        <v>72619</v>
      </c>
      <c r="B3243" s="338" t="s">
        <v>3859</v>
      </c>
      <c r="C3243" s="337" t="s">
        <v>474</v>
      </c>
      <c r="D3243" s="339">
        <v>90</v>
      </c>
    </row>
    <row r="3244" spans="1:4" ht="27">
      <c r="A3244" s="337">
        <v>72620</v>
      </c>
      <c r="B3244" s="338" t="s">
        <v>3860</v>
      </c>
      <c r="C3244" s="337" t="s">
        <v>474</v>
      </c>
      <c r="D3244" s="339">
        <v>156.59</v>
      </c>
    </row>
    <row r="3245" spans="1:4" ht="27">
      <c r="A3245" s="337">
        <v>72621</v>
      </c>
      <c r="B3245" s="338" t="s">
        <v>3861</v>
      </c>
      <c r="C3245" s="337" t="s">
        <v>474</v>
      </c>
      <c r="D3245" s="339">
        <v>251.02</v>
      </c>
    </row>
    <row r="3246" spans="1:4" ht="27">
      <c r="A3246" s="337">
        <v>72667</v>
      </c>
      <c r="B3246" s="338" t="s">
        <v>3862</v>
      </c>
      <c r="C3246" s="337" t="s">
        <v>474</v>
      </c>
      <c r="D3246" s="339">
        <v>124.44</v>
      </c>
    </row>
    <row r="3247" spans="1:4" ht="27">
      <c r="A3247" s="337">
        <v>72668</v>
      </c>
      <c r="B3247" s="338" t="s">
        <v>3863</v>
      </c>
      <c r="C3247" s="337" t="s">
        <v>474</v>
      </c>
      <c r="D3247" s="339">
        <v>123.75</v>
      </c>
    </row>
    <row r="3248" spans="1:4" ht="27">
      <c r="A3248" s="337">
        <v>72669</v>
      </c>
      <c r="B3248" s="338" t="s">
        <v>3864</v>
      </c>
      <c r="C3248" s="337" t="s">
        <v>474</v>
      </c>
      <c r="D3248" s="339">
        <v>127.72</v>
      </c>
    </row>
    <row r="3249" spans="1:4" ht="27">
      <c r="A3249" s="337">
        <v>72681</v>
      </c>
      <c r="B3249" s="338" t="s">
        <v>3865</v>
      </c>
      <c r="C3249" s="337" t="s">
        <v>474</v>
      </c>
      <c r="D3249" s="339">
        <v>87.41</v>
      </c>
    </row>
    <row r="3250" spans="1:4" ht="27">
      <c r="A3250" s="337">
        <v>72682</v>
      </c>
      <c r="B3250" s="338" t="s">
        <v>3866</v>
      </c>
      <c r="C3250" s="337" t="s">
        <v>474</v>
      </c>
      <c r="D3250" s="339">
        <v>175.06</v>
      </c>
    </row>
    <row r="3251" spans="1:4" ht="27">
      <c r="A3251" s="337">
        <v>72683</v>
      </c>
      <c r="B3251" s="338" t="s">
        <v>3867</v>
      </c>
      <c r="C3251" s="337" t="s">
        <v>474</v>
      </c>
      <c r="D3251" s="339">
        <v>280.73</v>
      </c>
    </row>
    <row r="3252" spans="1:4" ht="27">
      <c r="A3252" s="337">
        <v>72719</v>
      </c>
      <c r="B3252" s="338" t="s">
        <v>3868</v>
      </c>
      <c r="C3252" s="337" t="s">
        <v>474</v>
      </c>
      <c r="D3252" s="339">
        <v>192.85</v>
      </c>
    </row>
    <row r="3253" spans="1:4" ht="27">
      <c r="A3253" s="337">
        <v>72720</v>
      </c>
      <c r="B3253" s="338" t="s">
        <v>3869</v>
      </c>
      <c r="C3253" s="337" t="s">
        <v>474</v>
      </c>
      <c r="D3253" s="339">
        <v>265.08</v>
      </c>
    </row>
    <row r="3254" spans="1:4" ht="27">
      <c r="A3254" s="337">
        <v>72721</v>
      </c>
      <c r="B3254" s="338" t="s">
        <v>3870</v>
      </c>
      <c r="C3254" s="337" t="s">
        <v>474</v>
      </c>
      <c r="D3254" s="339">
        <v>571.88</v>
      </c>
    </row>
    <row r="3255" spans="1:4" ht="54">
      <c r="A3255" s="337">
        <v>89358</v>
      </c>
      <c r="B3255" s="338" t="s">
        <v>3871</v>
      </c>
      <c r="C3255" s="337" t="s">
        <v>474</v>
      </c>
      <c r="D3255" s="339">
        <v>5.13</v>
      </c>
    </row>
    <row r="3256" spans="1:4" ht="54">
      <c r="A3256" s="337">
        <v>89359</v>
      </c>
      <c r="B3256" s="338" t="s">
        <v>3872</v>
      </c>
      <c r="C3256" s="337" t="s">
        <v>474</v>
      </c>
      <c r="D3256" s="339">
        <v>5.33</v>
      </c>
    </row>
    <row r="3257" spans="1:4" ht="40.5">
      <c r="A3257" s="337">
        <v>89360</v>
      </c>
      <c r="B3257" s="338" t="s">
        <v>3873</v>
      </c>
      <c r="C3257" s="337" t="s">
        <v>474</v>
      </c>
      <c r="D3257" s="339">
        <v>6.2</v>
      </c>
    </row>
    <row r="3258" spans="1:4" ht="40.5">
      <c r="A3258" s="337">
        <v>89361</v>
      </c>
      <c r="B3258" s="338" t="s">
        <v>3874</v>
      </c>
      <c r="C3258" s="337" t="s">
        <v>474</v>
      </c>
      <c r="D3258" s="339">
        <v>6.13</v>
      </c>
    </row>
    <row r="3259" spans="1:4" ht="54">
      <c r="A3259" s="337">
        <v>89362</v>
      </c>
      <c r="B3259" s="338" t="s">
        <v>3875</v>
      </c>
      <c r="C3259" s="337" t="s">
        <v>474</v>
      </c>
      <c r="D3259" s="339">
        <v>6.14</v>
      </c>
    </row>
    <row r="3260" spans="1:4" ht="54">
      <c r="A3260" s="337">
        <v>89363</v>
      </c>
      <c r="B3260" s="338" t="s">
        <v>3876</v>
      </c>
      <c r="C3260" s="337" t="s">
        <v>474</v>
      </c>
      <c r="D3260" s="339">
        <v>6.58</v>
      </c>
    </row>
    <row r="3261" spans="1:4" ht="40.5">
      <c r="A3261" s="337">
        <v>89364</v>
      </c>
      <c r="B3261" s="338" t="s">
        <v>3877</v>
      </c>
      <c r="C3261" s="337" t="s">
        <v>474</v>
      </c>
      <c r="D3261" s="339">
        <v>7.66</v>
      </c>
    </row>
    <row r="3262" spans="1:4" ht="40.5">
      <c r="A3262" s="337">
        <v>89365</v>
      </c>
      <c r="B3262" s="338" t="s">
        <v>3878</v>
      </c>
      <c r="C3262" s="337" t="s">
        <v>474</v>
      </c>
      <c r="D3262" s="339">
        <v>7.24</v>
      </c>
    </row>
    <row r="3263" spans="1:4" ht="54">
      <c r="A3263" s="337">
        <v>89366</v>
      </c>
      <c r="B3263" s="338" t="s">
        <v>3879</v>
      </c>
      <c r="C3263" s="337" t="s">
        <v>474</v>
      </c>
      <c r="D3263" s="339">
        <v>10.76</v>
      </c>
    </row>
    <row r="3264" spans="1:4" ht="54">
      <c r="A3264" s="337">
        <v>89367</v>
      </c>
      <c r="B3264" s="338" t="s">
        <v>3880</v>
      </c>
      <c r="C3264" s="337" t="s">
        <v>474</v>
      </c>
      <c r="D3264" s="339">
        <v>8.2100000000000009</v>
      </c>
    </row>
    <row r="3265" spans="1:4" ht="54">
      <c r="A3265" s="337">
        <v>89368</v>
      </c>
      <c r="B3265" s="338" t="s">
        <v>3881</v>
      </c>
      <c r="C3265" s="337" t="s">
        <v>474</v>
      </c>
      <c r="D3265" s="339">
        <v>9.4499999999999993</v>
      </c>
    </row>
    <row r="3266" spans="1:4" ht="40.5">
      <c r="A3266" s="337">
        <v>89369</v>
      </c>
      <c r="B3266" s="338" t="s">
        <v>3882</v>
      </c>
      <c r="C3266" s="337" t="s">
        <v>474</v>
      </c>
      <c r="D3266" s="339">
        <v>10.97</v>
      </c>
    </row>
    <row r="3267" spans="1:4" ht="40.5">
      <c r="A3267" s="337">
        <v>89370</v>
      </c>
      <c r="B3267" s="338" t="s">
        <v>3883</v>
      </c>
      <c r="C3267" s="337" t="s">
        <v>474</v>
      </c>
      <c r="D3267" s="339">
        <v>9.4600000000000009</v>
      </c>
    </row>
    <row r="3268" spans="1:4" ht="40.5">
      <c r="A3268" s="337">
        <v>89371</v>
      </c>
      <c r="B3268" s="338" t="s">
        <v>3884</v>
      </c>
      <c r="C3268" s="337" t="s">
        <v>474</v>
      </c>
      <c r="D3268" s="339">
        <v>3.89</v>
      </c>
    </row>
    <row r="3269" spans="1:4" ht="40.5">
      <c r="A3269" s="337">
        <v>89372</v>
      </c>
      <c r="B3269" s="338" t="s">
        <v>3885</v>
      </c>
      <c r="C3269" s="337" t="s">
        <v>474</v>
      </c>
      <c r="D3269" s="339">
        <v>9.7200000000000006</v>
      </c>
    </row>
    <row r="3270" spans="1:4" ht="54">
      <c r="A3270" s="337">
        <v>89373</v>
      </c>
      <c r="B3270" s="338" t="s">
        <v>3886</v>
      </c>
      <c r="C3270" s="337" t="s">
        <v>474</v>
      </c>
      <c r="D3270" s="339">
        <v>4.3</v>
      </c>
    </row>
    <row r="3271" spans="1:4" ht="54">
      <c r="A3271" s="337">
        <v>89374</v>
      </c>
      <c r="B3271" s="338" t="s">
        <v>3887</v>
      </c>
      <c r="C3271" s="337" t="s">
        <v>474</v>
      </c>
      <c r="D3271" s="339">
        <v>7.24</v>
      </c>
    </row>
    <row r="3272" spans="1:4" ht="40.5">
      <c r="A3272" s="337">
        <v>89375</v>
      </c>
      <c r="B3272" s="338" t="s">
        <v>3888</v>
      </c>
      <c r="C3272" s="337" t="s">
        <v>474</v>
      </c>
      <c r="D3272" s="339">
        <v>9.36</v>
      </c>
    </row>
    <row r="3273" spans="1:4" ht="54">
      <c r="A3273" s="337">
        <v>89376</v>
      </c>
      <c r="B3273" s="338" t="s">
        <v>3889</v>
      </c>
      <c r="C3273" s="337" t="s">
        <v>474</v>
      </c>
      <c r="D3273" s="339">
        <v>4.09</v>
      </c>
    </row>
    <row r="3274" spans="1:4" ht="54">
      <c r="A3274" s="337">
        <v>89377</v>
      </c>
      <c r="B3274" s="338" t="s">
        <v>3890</v>
      </c>
      <c r="C3274" s="337" t="s">
        <v>474</v>
      </c>
      <c r="D3274" s="339">
        <v>5.91</v>
      </c>
    </row>
    <row r="3275" spans="1:4" ht="40.5">
      <c r="A3275" s="337">
        <v>89378</v>
      </c>
      <c r="B3275" s="338" t="s">
        <v>3891</v>
      </c>
      <c r="C3275" s="337" t="s">
        <v>474</v>
      </c>
      <c r="D3275" s="339">
        <v>4.57</v>
      </c>
    </row>
    <row r="3276" spans="1:4" ht="40.5">
      <c r="A3276" s="337">
        <v>89379</v>
      </c>
      <c r="B3276" s="338" t="s">
        <v>3892</v>
      </c>
      <c r="C3276" s="337" t="s">
        <v>474</v>
      </c>
      <c r="D3276" s="339">
        <v>12.94</v>
      </c>
    </row>
    <row r="3277" spans="1:4" ht="54">
      <c r="A3277" s="337">
        <v>89380</v>
      </c>
      <c r="B3277" s="338" t="s">
        <v>3893</v>
      </c>
      <c r="C3277" s="337" t="s">
        <v>474</v>
      </c>
      <c r="D3277" s="339">
        <v>6.25</v>
      </c>
    </row>
    <row r="3278" spans="1:4" ht="54">
      <c r="A3278" s="337">
        <v>89381</v>
      </c>
      <c r="B3278" s="338" t="s">
        <v>3894</v>
      </c>
      <c r="C3278" s="337" t="s">
        <v>474</v>
      </c>
      <c r="D3278" s="339">
        <v>9.16</v>
      </c>
    </row>
    <row r="3279" spans="1:4" ht="40.5">
      <c r="A3279" s="337">
        <v>89382</v>
      </c>
      <c r="B3279" s="338" t="s">
        <v>3895</v>
      </c>
      <c r="C3279" s="337" t="s">
        <v>474</v>
      </c>
      <c r="D3279" s="339">
        <v>11.05</v>
      </c>
    </row>
    <row r="3280" spans="1:4" ht="54">
      <c r="A3280" s="337">
        <v>89383</v>
      </c>
      <c r="B3280" s="338" t="s">
        <v>3896</v>
      </c>
      <c r="C3280" s="337" t="s">
        <v>474</v>
      </c>
      <c r="D3280" s="339">
        <v>4.79</v>
      </c>
    </row>
    <row r="3281" spans="1:4" ht="54">
      <c r="A3281" s="337">
        <v>89384</v>
      </c>
      <c r="B3281" s="338" t="s">
        <v>3897</v>
      </c>
      <c r="C3281" s="337" t="s">
        <v>474</v>
      </c>
      <c r="D3281" s="339">
        <v>8.14</v>
      </c>
    </row>
    <row r="3282" spans="1:4" ht="54">
      <c r="A3282" s="337">
        <v>89385</v>
      </c>
      <c r="B3282" s="338" t="s">
        <v>3898</v>
      </c>
      <c r="C3282" s="337" t="s">
        <v>474</v>
      </c>
      <c r="D3282" s="339">
        <v>5.0599999999999996</v>
      </c>
    </row>
    <row r="3283" spans="1:4" ht="40.5">
      <c r="A3283" s="337">
        <v>89386</v>
      </c>
      <c r="B3283" s="338" t="s">
        <v>3899</v>
      </c>
      <c r="C3283" s="337" t="s">
        <v>474</v>
      </c>
      <c r="D3283" s="339">
        <v>6.09</v>
      </c>
    </row>
    <row r="3284" spans="1:4" ht="40.5">
      <c r="A3284" s="337">
        <v>89387</v>
      </c>
      <c r="B3284" s="338" t="s">
        <v>3900</v>
      </c>
      <c r="C3284" s="337" t="s">
        <v>474</v>
      </c>
      <c r="D3284" s="339">
        <v>20.04</v>
      </c>
    </row>
    <row r="3285" spans="1:4" ht="54">
      <c r="A3285" s="337">
        <v>89388</v>
      </c>
      <c r="B3285" s="338" t="s">
        <v>3901</v>
      </c>
      <c r="C3285" s="337" t="s">
        <v>474</v>
      </c>
      <c r="D3285" s="339">
        <v>7.62</v>
      </c>
    </row>
    <row r="3286" spans="1:4" ht="54">
      <c r="A3286" s="337">
        <v>89389</v>
      </c>
      <c r="B3286" s="338" t="s">
        <v>3902</v>
      </c>
      <c r="C3286" s="337" t="s">
        <v>474</v>
      </c>
      <c r="D3286" s="339">
        <v>8.2899999999999991</v>
      </c>
    </row>
    <row r="3287" spans="1:4" ht="40.5">
      <c r="A3287" s="337">
        <v>89390</v>
      </c>
      <c r="B3287" s="338" t="s">
        <v>3903</v>
      </c>
      <c r="C3287" s="337" t="s">
        <v>474</v>
      </c>
      <c r="D3287" s="339">
        <v>16.77</v>
      </c>
    </row>
    <row r="3288" spans="1:4" ht="54">
      <c r="A3288" s="337">
        <v>89391</v>
      </c>
      <c r="B3288" s="338" t="s">
        <v>3904</v>
      </c>
      <c r="C3288" s="337" t="s">
        <v>474</v>
      </c>
      <c r="D3288" s="339">
        <v>6.44</v>
      </c>
    </row>
    <row r="3289" spans="1:4" ht="54">
      <c r="A3289" s="337">
        <v>89392</v>
      </c>
      <c r="B3289" s="338" t="s">
        <v>3905</v>
      </c>
      <c r="C3289" s="337" t="s">
        <v>474</v>
      </c>
      <c r="D3289" s="339">
        <v>15.61</v>
      </c>
    </row>
    <row r="3290" spans="1:4" ht="40.5">
      <c r="A3290" s="337">
        <v>89393</v>
      </c>
      <c r="B3290" s="338" t="s">
        <v>3906</v>
      </c>
      <c r="C3290" s="337" t="s">
        <v>474</v>
      </c>
      <c r="D3290" s="339">
        <v>7.12</v>
      </c>
    </row>
    <row r="3291" spans="1:4" ht="54">
      <c r="A3291" s="337">
        <v>89394</v>
      </c>
      <c r="B3291" s="338" t="s">
        <v>3907</v>
      </c>
      <c r="C3291" s="337" t="s">
        <v>474</v>
      </c>
      <c r="D3291" s="339">
        <v>12.99</v>
      </c>
    </row>
    <row r="3292" spans="1:4" ht="40.5">
      <c r="A3292" s="337">
        <v>89395</v>
      </c>
      <c r="B3292" s="338" t="s">
        <v>3908</v>
      </c>
      <c r="C3292" s="337" t="s">
        <v>474</v>
      </c>
      <c r="D3292" s="339">
        <v>8.5399999999999991</v>
      </c>
    </row>
    <row r="3293" spans="1:4" ht="54">
      <c r="A3293" s="337">
        <v>89396</v>
      </c>
      <c r="B3293" s="338" t="s">
        <v>3909</v>
      </c>
      <c r="C3293" s="337" t="s">
        <v>474</v>
      </c>
      <c r="D3293" s="339">
        <v>14.76</v>
      </c>
    </row>
    <row r="3294" spans="1:4" ht="54">
      <c r="A3294" s="337">
        <v>89397</v>
      </c>
      <c r="B3294" s="338" t="s">
        <v>3910</v>
      </c>
      <c r="C3294" s="337" t="s">
        <v>474</v>
      </c>
      <c r="D3294" s="339">
        <v>9.85</v>
      </c>
    </row>
    <row r="3295" spans="1:4" ht="40.5">
      <c r="A3295" s="337">
        <v>89398</v>
      </c>
      <c r="B3295" s="338" t="s">
        <v>3911</v>
      </c>
      <c r="C3295" s="337" t="s">
        <v>474</v>
      </c>
      <c r="D3295" s="339">
        <v>11.57</v>
      </c>
    </row>
    <row r="3296" spans="1:4" ht="54">
      <c r="A3296" s="337">
        <v>89399</v>
      </c>
      <c r="B3296" s="338" t="s">
        <v>3912</v>
      </c>
      <c r="C3296" s="337" t="s">
        <v>474</v>
      </c>
      <c r="D3296" s="339">
        <v>21.53</v>
      </c>
    </row>
    <row r="3297" spans="1:4" ht="54">
      <c r="A3297" s="337">
        <v>89400</v>
      </c>
      <c r="B3297" s="338" t="s">
        <v>3913</v>
      </c>
      <c r="C3297" s="337" t="s">
        <v>474</v>
      </c>
      <c r="D3297" s="339">
        <v>13.6</v>
      </c>
    </row>
    <row r="3298" spans="1:4" ht="54">
      <c r="A3298" s="337">
        <v>89404</v>
      </c>
      <c r="B3298" s="338" t="s">
        <v>3914</v>
      </c>
      <c r="C3298" s="337" t="s">
        <v>474</v>
      </c>
      <c r="D3298" s="339">
        <v>3.42</v>
      </c>
    </row>
    <row r="3299" spans="1:4" ht="54">
      <c r="A3299" s="337">
        <v>89405</v>
      </c>
      <c r="B3299" s="338" t="s">
        <v>3915</v>
      </c>
      <c r="C3299" s="337" t="s">
        <v>474</v>
      </c>
      <c r="D3299" s="339">
        <v>3.62</v>
      </c>
    </row>
    <row r="3300" spans="1:4" ht="54">
      <c r="A3300" s="337">
        <v>89406</v>
      </c>
      <c r="B3300" s="338" t="s">
        <v>3916</v>
      </c>
      <c r="C3300" s="337" t="s">
        <v>474</v>
      </c>
      <c r="D3300" s="339">
        <v>4.49</v>
      </c>
    </row>
    <row r="3301" spans="1:4" ht="54">
      <c r="A3301" s="337">
        <v>89407</v>
      </c>
      <c r="B3301" s="338" t="s">
        <v>3917</v>
      </c>
      <c r="C3301" s="337" t="s">
        <v>474</v>
      </c>
      <c r="D3301" s="339">
        <v>4.42</v>
      </c>
    </row>
    <row r="3302" spans="1:4" ht="54">
      <c r="A3302" s="337">
        <v>89408</v>
      </c>
      <c r="B3302" s="338" t="s">
        <v>3918</v>
      </c>
      <c r="C3302" s="337" t="s">
        <v>474</v>
      </c>
      <c r="D3302" s="339">
        <v>4.18</v>
      </c>
    </row>
    <row r="3303" spans="1:4" ht="54">
      <c r="A3303" s="337">
        <v>89409</v>
      </c>
      <c r="B3303" s="338" t="s">
        <v>3919</v>
      </c>
      <c r="C3303" s="337" t="s">
        <v>474</v>
      </c>
      <c r="D3303" s="339">
        <v>4.62</v>
      </c>
    </row>
    <row r="3304" spans="1:4" ht="54">
      <c r="A3304" s="337">
        <v>89410</v>
      </c>
      <c r="B3304" s="338" t="s">
        <v>3920</v>
      </c>
      <c r="C3304" s="337" t="s">
        <v>474</v>
      </c>
      <c r="D3304" s="339">
        <v>5.7</v>
      </c>
    </row>
    <row r="3305" spans="1:4" ht="54">
      <c r="A3305" s="337">
        <v>89411</v>
      </c>
      <c r="B3305" s="338" t="s">
        <v>3921</v>
      </c>
      <c r="C3305" s="337" t="s">
        <v>474</v>
      </c>
      <c r="D3305" s="339">
        <v>5.28</v>
      </c>
    </row>
    <row r="3306" spans="1:4" ht="54">
      <c r="A3306" s="337">
        <v>89412</v>
      </c>
      <c r="B3306" s="338" t="s">
        <v>3922</v>
      </c>
      <c r="C3306" s="337" t="s">
        <v>474</v>
      </c>
      <c r="D3306" s="339">
        <v>5.81</v>
      </c>
    </row>
    <row r="3307" spans="1:4" ht="54">
      <c r="A3307" s="337">
        <v>89413</v>
      </c>
      <c r="B3307" s="338" t="s">
        <v>3923</v>
      </c>
      <c r="C3307" s="337" t="s">
        <v>474</v>
      </c>
      <c r="D3307" s="339">
        <v>5.86</v>
      </c>
    </row>
    <row r="3308" spans="1:4" ht="54">
      <c r="A3308" s="337">
        <v>89414</v>
      </c>
      <c r="B3308" s="338" t="s">
        <v>3924</v>
      </c>
      <c r="C3308" s="337" t="s">
        <v>474</v>
      </c>
      <c r="D3308" s="339">
        <v>7.1</v>
      </c>
    </row>
    <row r="3309" spans="1:4" ht="54">
      <c r="A3309" s="337">
        <v>89415</v>
      </c>
      <c r="B3309" s="338" t="s">
        <v>3925</v>
      </c>
      <c r="C3309" s="337" t="s">
        <v>474</v>
      </c>
      <c r="D3309" s="339">
        <v>8.6199999999999992</v>
      </c>
    </row>
    <row r="3310" spans="1:4" ht="54">
      <c r="A3310" s="337">
        <v>89416</v>
      </c>
      <c r="B3310" s="338" t="s">
        <v>3926</v>
      </c>
      <c r="C3310" s="337" t="s">
        <v>474</v>
      </c>
      <c r="D3310" s="339">
        <v>7.11</v>
      </c>
    </row>
    <row r="3311" spans="1:4" ht="40.5">
      <c r="A3311" s="337">
        <v>89417</v>
      </c>
      <c r="B3311" s="338" t="s">
        <v>3927</v>
      </c>
      <c r="C3311" s="337" t="s">
        <v>474</v>
      </c>
      <c r="D3311" s="339">
        <v>2.77</v>
      </c>
    </row>
    <row r="3312" spans="1:4" ht="54">
      <c r="A3312" s="337">
        <v>89418</v>
      </c>
      <c r="B3312" s="338" t="s">
        <v>3928</v>
      </c>
      <c r="C3312" s="337" t="s">
        <v>474</v>
      </c>
      <c r="D3312" s="339">
        <v>8.6</v>
      </c>
    </row>
    <row r="3313" spans="1:4" ht="54">
      <c r="A3313" s="337">
        <v>89419</v>
      </c>
      <c r="B3313" s="338" t="s">
        <v>3929</v>
      </c>
      <c r="C3313" s="337" t="s">
        <v>474</v>
      </c>
      <c r="D3313" s="339">
        <v>3.18</v>
      </c>
    </row>
    <row r="3314" spans="1:4" ht="54">
      <c r="A3314" s="337">
        <v>89420</v>
      </c>
      <c r="B3314" s="338" t="s">
        <v>3930</v>
      </c>
      <c r="C3314" s="337" t="s">
        <v>474</v>
      </c>
      <c r="D3314" s="339">
        <v>6.12</v>
      </c>
    </row>
    <row r="3315" spans="1:4" ht="54">
      <c r="A3315" s="337">
        <v>89421</v>
      </c>
      <c r="B3315" s="338" t="s">
        <v>3931</v>
      </c>
      <c r="C3315" s="337" t="s">
        <v>474</v>
      </c>
      <c r="D3315" s="339">
        <v>8.24</v>
      </c>
    </row>
    <row r="3316" spans="1:4" ht="67.5">
      <c r="A3316" s="337">
        <v>89422</v>
      </c>
      <c r="B3316" s="338" t="s">
        <v>3932</v>
      </c>
      <c r="C3316" s="337" t="s">
        <v>474</v>
      </c>
      <c r="D3316" s="339">
        <v>2.97</v>
      </c>
    </row>
    <row r="3317" spans="1:4" ht="54">
      <c r="A3317" s="337">
        <v>89423</v>
      </c>
      <c r="B3317" s="338" t="s">
        <v>3933</v>
      </c>
      <c r="C3317" s="337" t="s">
        <v>474</v>
      </c>
      <c r="D3317" s="339">
        <v>5.18</v>
      </c>
    </row>
    <row r="3318" spans="1:4" ht="40.5">
      <c r="A3318" s="337">
        <v>89424</v>
      </c>
      <c r="B3318" s="338" t="s">
        <v>3934</v>
      </c>
      <c r="C3318" s="337" t="s">
        <v>474</v>
      </c>
      <c r="D3318" s="339">
        <v>3.24</v>
      </c>
    </row>
    <row r="3319" spans="1:4" ht="54">
      <c r="A3319" s="337">
        <v>89425</v>
      </c>
      <c r="B3319" s="338" t="s">
        <v>3935</v>
      </c>
      <c r="C3319" s="337" t="s">
        <v>474</v>
      </c>
      <c r="D3319" s="339">
        <v>11.61</v>
      </c>
    </row>
    <row r="3320" spans="1:4" ht="54">
      <c r="A3320" s="337">
        <v>89426</v>
      </c>
      <c r="B3320" s="338" t="s">
        <v>3936</v>
      </c>
      <c r="C3320" s="337" t="s">
        <v>474</v>
      </c>
      <c r="D3320" s="339">
        <v>4.92</v>
      </c>
    </row>
    <row r="3321" spans="1:4" ht="54">
      <c r="A3321" s="337">
        <v>89427</v>
      </c>
      <c r="B3321" s="338" t="s">
        <v>3937</v>
      </c>
      <c r="C3321" s="337" t="s">
        <v>474</v>
      </c>
      <c r="D3321" s="339">
        <v>7.83</v>
      </c>
    </row>
    <row r="3322" spans="1:4" ht="54">
      <c r="A3322" s="337">
        <v>89428</v>
      </c>
      <c r="B3322" s="338" t="s">
        <v>3938</v>
      </c>
      <c r="C3322" s="337" t="s">
        <v>474</v>
      </c>
      <c r="D3322" s="339">
        <v>9.7200000000000006</v>
      </c>
    </row>
    <row r="3323" spans="1:4" ht="67.5">
      <c r="A3323" s="337">
        <v>89429</v>
      </c>
      <c r="B3323" s="338" t="s">
        <v>3939</v>
      </c>
      <c r="C3323" s="337" t="s">
        <v>474</v>
      </c>
      <c r="D3323" s="339">
        <v>3.46</v>
      </c>
    </row>
    <row r="3324" spans="1:4" ht="54">
      <c r="A3324" s="337">
        <v>89430</v>
      </c>
      <c r="B3324" s="338" t="s">
        <v>3940</v>
      </c>
      <c r="C3324" s="337" t="s">
        <v>474</v>
      </c>
      <c r="D3324" s="339">
        <v>6.81</v>
      </c>
    </row>
    <row r="3325" spans="1:4" ht="40.5">
      <c r="A3325" s="337">
        <v>89431</v>
      </c>
      <c r="B3325" s="338" t="s">
        <v>3941</v>
      </c>
      <c r="C3325" s="337" t="s">
        <v>474</v>
      </c>
      <c r="D3325" s="339">
        <v>4.5</v>
      </c>
    </row>
    <row r="3326" spans="1:4" ht="54">
      <c r="A3326" s="337">
        <v>89432</v>
      </c>
      <c r="B3326" s="338" t="s">
        <v>3942</v>
      </c>
      <c r="C3326" s="337" t="s">
        <v>474</v>
      </c>
      <c r="D3326" s="339">
        <v>18.45</v>
      </c>
    </row>
    <row r="3327" spans="1:4" ht="54">
      <c r="A3327" s="337">
        <v>89433</v>
      </c>
      <c r="B3327" s="338" t="s">
        <v>3943</v>
      </c>
      <c r="C3327" s="337" t="s">
        <v>474</v>
      </c>
      <c r="D3327" s="339">
        <v>6.03</v>
      </c>
    </row>
    <row r="3328" spans="1:4" ht="54">
      <c r="A3328" s="337">
        <v>89434</v>
      </c>
      <c r="B3328" s="338" t="s">
        <v>3944</v>
      </c>
      <c r="C3328" s="337" t="s">
        <v>474</v>
      </c>
      <c r="D3328" s="339">
        <v>6.7</v>
      </c>
    </row>
    <row r="3329" spans="1:4" ht="54">
      <c r="A3329" s="337">
        <v>89435</v>
      </c>
      <c r="B3329" s="338" t="s">
        <v>3945</v>
      </c>
      <c r="C3329" s="337" t="s">
        <v>474</v>
      </c>
      <c r="D3329" s="339">
        <v>15.18</v>
      </c>
    </row>
    <row r="3330" spans="1:4" ht="67.5">
      <c r="A3330" s="337">
        <v>89436</v>
      </c>
      <c r="B3330" s="338" t="s">
        <v>3946</v>
      </c>
      <c r="C3330" s="337" t="s">
        <v>474</v>
      </c>
      <c r="D3330" s="339">
        <v>4.8499999999999996</v>
      </c>
    </row>
    <row r="3331" spans="1:4" ht="54">
      <c r="A3331" s="337">
        <v>89437</v>
      </c>
      <c r="B3331" s="338" t="s">
        <v>3947</v>
      </c>
      <c r="C3331" s="337" t="s">
        <v>474</v>
      </c>
      <c r="D3331" s="339">
        <v>14.02</v>
      </c>
    </row>
    <row r="3332" spans="1:4" ht="40.5">
      <c r="A3332" s="337">
        <v>89438</v>
      </c>
      <c r="B3332" s="338" t="s">
        <v>3948</v>
      </c>
      <c r="C3332" s="337" t="s">
        <v>474</v>
      </c>
      <c r="D3332" s="339">
        <v>4.87</v>
      </c>
    </row>
    <row r="3333" spans="1:4" ht="67.5">
      <c r="A3333" s="337">
        <v>89439</v>
      </c>
      <c r="B3333" s="338" t="s">
        <v>3949</v>
      </c>
      <c r="C3333" s="337" t="s">
        <v>474</v>
      </c>
      <c r="D3333" s="339">
        <v>5.93</v>
      </c>
    </row>
    <row r="3334" spans="1:4" ht="40.5">
      <c r="A3334" s="337">
        <v>89440</v>
      </c>
      <c r="B3334" s="338" t="s">
        <v>3950</v>
      </c>
      <c r="C3334" s="337" t="s">
        <v>474</v>
      </c>
      <c r="D3334" s="339">
        <v>5.92</v>
      </c>
    </row>
    <row r="3335" spans="1:4" ht="54">
      <c r="A3335" s="337">
        <v>89441</v>
      </c>
      <c r="B3335" s="338" t="s">
        <v>3951</v>
      </c>
      <c r="C3335" s="337" t="s">
        <v>474</v>
      </c>
      <c r="D3335" s="339">
        <v>12.14</v>
      </c>
    </row>
    <row r="3336" spans="1:4" ht="54">
      <c r="A3336" s="337">
        <v>89442</v>
      </c>
      <c r="B3336" s="338" t="s">
        <v>3952</v>
      </c>
      <c r="C3336" s="337" t="s">
        <v>474</v>
      </c>
      <c r="D3336" s="339">
        <v>7.23</v>
      </c>
    </row>
    <row r="3337" spans="1:4" ht="40.5">
      <c r="A3337" s="337">
        <v>89443</v>
      </c>
      <c r="B3337" s="338" t="s">
        <v>3953</v>
      </c>
      <c r="C3337" s="337" t="s">
        <v>474</v>
      </c>
      <c r="D3337" s="339">
        <v>8.4499999999999993</v>
      </c>
    </row>
    <row r="3338" spans="1:4" ht="54">
      <c r="A3338" s="337">
        <v>89444</v>
      </c>
      <c r="B3338" s="338" t="s">
        <v>3954</v>
      </c>
      <c r="C3338" s="337" t="s">
        <v>474</v>
      </c>
      <c r="D3338" s="339">
        <v>18.41</v>
      </c>
    </row>
    <row r="3339" spans="1:4" ht="54">
      <c r="A3339" s="337">
        <v>89445</v>
      </c>
      <c r="B3339" s="338" t="s">
        <v>3955</v>
      </c>
      <c r="C3339" s="337" t="s">
        <v>474</v>
      </c>
      <c r="D3339" s="339">
        <v>10.48</v>
      </c>
    </row>
    <row r="3340" spans="1:4" ht="40.5">
      <c r="A3340" s="337">
        <v>89481</v>
      </c>
      <c r="B3340" s="338" t="s">
        <v>3956</v>
      </c>
      <c r="C3340" s="337" t="s">
        <v>474</v>
      </c>
      <c r="D3340" s="339">
        <v>3.19</v>
      </c>
    </row>
    <row r="3341" spans="1:4" ht="40.5">
      <c r="A3341" s="337">
        <v>89485</v>
      </c>
      <c r="B3341" s="338" t="s">
        <v>3957</v>
      </c>
      <c r="C3341" s="337" t="s">
        <v>474</v>
      </c>
      <c r="D3341" s="339">
        <v>3.63</v>
      </c>
    </row>
    <row r="3342" spans="1:4" ht="40.5">
      <c r="A3342" s="337">
        <v>89489</v>
      </c>
      <c r="B3342" s="338" t="s">
        <v>3958</v>
      </c>
      <c r="C3342" s="337" t="s">
        <v>474</v>
      </c>
      <c r="D3342" s="339">
        <v>4.71</v>
      </c>
    </row>
    <row r="3343" spans="1:4" ht="40.5">
      <c r="A3343" s="337">
        <v>89490</v>
      </c>
      <c r="B3343" s="338" t="s">
        <v>3959</v>
      </c>
      <c r="C3343" s="337" t="s">
        <v>474</v>
      </c>
      <c r="D3343" s="339">
        <v>4.29</v>
      </c>
    </row>
    <row r="3344" spans="1:4" ht="40.5">
      <c r="A3344" s="337">
        <v>89492</v>
      </c>
      <c r="B3344" s="338" t="s">
        <v>3960</v>
      </c>
      <c r="C3344" s="337" t="s">
        <v>474</v>
      </c>
      <c r="D3344" s="339">
        <v>4.74</v>
      </c>
    </row>
    <row r="3345" spans="1:4" ht="40.5">
      <c r="A3345" s="337">
        <v>89493</v>
      </c>
      <c r="B3345" s="338" t="s">
        <v>3961</v>
      </c>
      <c r="C3345" s="337" t="s">
        <v>474</v>
      </c>
      <c r="D3345" s="339">
        <v>5.98</v>
      </c>
    </row>
    <row r="3346" spans="1:4" ht="40.5">
      <c r="A3346" s="337">
        <v>89494</v>
      </c>
      <c r="B3346" s="338" t="s">
        <v>3962</v>
      </c>
      <c r="C3346" s="337" t="s">
        <v>474</v>
      </c>
      <c r="D3346" s="339">
        <v>7.5</v>
      </c>
    </row>
    <row r="3347" spans="1:4" ht="40.5">
      <c r="A3347" s="337">
        <v>89496</v>
      </c>
      <c r="B3347" s="338" t="s">
        <v>3963</v>
      </c>
      <c r="C3347" s="337" t="s">
        <v>474</v>
      </c>
      <c r="D3347" s="339">
        <v>5.99</v>
      </c>
    </row>
    <row r="3348" spans="1:4" ht="40.5">
      <c r="A3348" s="337">
        <v>89497</v>
      </c>
      <c r="B3348" s="338" t="s">
        <v>3964</v>
      </c>
      <c r="C3348" s="337" t="s">
        <v>474</v>
      </c>
      <c r="D3348" s="339">
        <v>7.67</v>
      </c>
    </row>
    <row r="3349" spans="1:4" ht="40.5">
      <c r="A3349" s="337">
        <v>89498</v>
      </c>
      <c r="B3349" s="338" t="s">
        <v>3965</v>
      </c>
      <c r="C3349" s="337" t="s">
        <v>474</v>
      </c>
      <c r="D3349" s="339">
        <v>8.01</v>
      </c>
    </row>
    <row r="3350" spans="1:4" ht="40.5">
      <c r="A3350" s="337">
        <v>89499</v>
      </c>
      <c r="B3350" s="338" t="s">
        <v>3966</v>
      </c>
      <c r="C3350" s="337" t="s">
        <v>474</v>
      </c>
      <c r="D3350" s="339">
        <v>11.75</v>
      </c>
    </row>
    <row r="3351" spans="1:4" ht="40.5">
      <c r="A3351" s="337">
        <v>89500</v>
      </c>
      <c r="B3351" s="338" t="s">
        <v>3967</v>
      </c>
      <c r="C3351" s="337" t="s">
        <v>474</v>
      </c>
      <c r="D3351" s="339">
        <v>7.51</v>
      </c>
    </row>
    <row r="3352" spans="1:4" ht="40.5">
      <c r="A3352" s="337">
        <v>89501</v>
      </c>
      <c r="B3352" s="338" t="s">
        <v>3968</v>
      </c>
      <c r="C3352" s="337" t="s">
        <v>474</v>
      </c>
      <c r="D3352" s="339">
        <v>9.32</v>
      </c>
    </row>
    <row r="3353" spans="1:4" ht="40.5">
      <c r="A3353" s="337">
        <v>89502</v>
      </c>
      <c r="B3353" s="338" t="s">
        <v>3969</v>
      </c>
      <c r="C3353" s="337" t="s">
        <v>474</v>
      </c>
      <c r="D3353" s="339">
        <v>10.23</v>
      </c>
    </row>
    <row r="3354" spans="1:4" ht="40.5">
      <c r="A3354" s="337">
        <v>89503</v>
      </c>
      <c r="B3354" s="338" t="s">
        <v>3970</v>
      </c>
      <c r="C3354" s="337" t="s">
        <v>474</v>
      </c>
      <c r="D3354" s="339">
        <v>13.79</v>
      </c>
    </row>
    <row r="3355" spans="1:4" ht="40.5">
      <c r="A3355" s="337">
        <v>89504</v>
      </c>
      <c r="B3355" s="338" t="s">
        <v>3971</v>
      </c>
      <c r="C3355" s="337" t="s">
        <v>474</v>
      </c>
      <c r="D3355" s="339">
        <v>12.47</v>
      </c>
    </row>
    <row r="3356" spans="1:4" ht="40.5">
      <c r="A3356" s="337">
        <v>89505</v>
      </c>
      <c r="B3356" s="338" t="s">
        <v>3972</v>
      </c>
      <c r="C3356" s="337" t="s">
        <v>474</v>
      </c>
      <c r="D3356" s="339">
        <v>24.92</v>
      </c>
    </row>
    <row r="3357" spans="1:4" ht="40.5">
      <c r="A3357" s="337">
        <v>89506</v>
      </c>
      <c r="B3357" s="338" t="s">
        <v>3973</v>
      </c>
      <c r="C3357" s="337" t="s">
        <v>474</v>
      </c>
      <c r="D3357" s="339">
        <v>24.27</v>
      </c>
    </row>
    <row r="3358" spans="1:4" ht="40.5">
      <c r="A3358" s="337">
        <v>89507</v>
      </c>
      <c r="B3358" s="338" t="s">
        <v>3974</v>
      </c>
      <c r="C3358" s="337" t="s">
        <v>474</v>
      </c>
      <c r="D3358" s="339">
        <v>26.19</v>
      </c>
    </row>
    <row r="3359" spans="1:4" ht="40.5">
      <c r="A3359" s="337">
        <v>89510</v>
      </c>
      <c r="B3359" s="338" t="s">
        <v>3975</v>
      </c>
      <c r="C3359" s="337" t="s">
        <v>474</v>
      </c>
      <c r="D3359" s="339">
        <v>18.739999999999998</v>
      </c>
    </row>
    <row r="3360" spans="1:4" ht="40.5">
      <c r="A3360" s="337">
        <v>89513</v>
      </c>
      <c r="B3360" s="338" t="s">
        <v>3976</v>
      </c>
      <c r="C3360" s="337" t="s">
        <v>474</v>
      </c>
      <c r="D3360" s="339">
        <v>67.25</v>
      </c>
    </row>
    <row r="3361" spans="1:4" ht="54">
      <c r="A3361" s="337">
        <v>89514</v>
      </c>
      <c r="B3361" s="338" t="s">
        <v>3977</v>
      </c>
      <c r="C3361" s="337" t="s">
        <v>474</v>
      </c>
      <c r="D3361" s="339">
        <v>6.01</v>
      </c>
    </row>
    <row r="3362" spans="1:4" ht="40.5">
      <c r="A3362" s="337">
        <v>89515</v>
      </c>
      <c r="B3362" s="338" t="s">
        <v>3978</v>
      </c>
      <c r="C3362" s="337" t="s">
        <v>474</v>
      </c>
      <c r="D3362" s="339">
        <v>52.08</v>
      </c>
    </row>
    <row r="3363" spans="1:4" ht="54">
      <c r="A3363" s="337">
        <v>89516</v>
      </c>
      <c r="B3363" s="338" t="s">
        <v>3979</v>
      </c>
      <c r="C3363" s="337" t="s">
        <v>474</v>
      </c>
      <c r="D3363" s="339">
        <v>5.72</v>
      </c>
    </row>
    <row r="3364" spans="1:4" ht="40.5">
      <c r="A3364" s="337">
        <v>89517</v>
      </c>
      <c r="B3364" s="338" t="s">
        <v>3980</v>
      </c>
      <c r="C3364" s="337" t="s">
        <v>474</v>
      </c>
      <c r="D3364" s="339">
        <v>43.09</v>
      </c>
    </row>
    <row r="3365" spans="1:4" ht="54">
      <c r="A3365" s="337">
        <v>89518</v>
      </c>
      <c r="B3365" s="338" t="s">
        <v>3981</v>
      </c>
      <c r="C3365" s="337" t="s">
        <v>474</v>
      </c>
      <c r="D3365" s="339">
        <v>8.32</v>
      </c>
    </row>
    <row r="3366" spans="1:4" ht="40.5">
      <c r="A3366" s="337">
        <v>89519</v>
      </c>
      <c r="B3366" s="338" t="s">
        <v>3982</v>
      </c>
      <c r="C3366" s="337" t="s">
        <v>474</v>
      </c>
      <c r="D3366" s="339">
        <v>33.880000000000003</v>
      </c>
    </row>
    <row r="3367" spans="1:4" ht="54">
      <c r="A3367" s="337">
        <v>89520</v>
      </c>
      <c r="B3367" s="338" t="s">
        <v>3983</v>
      </c>
      <c r="C3367" s="337" t="s">
        <v>474</v>
      </c>
      <c r="D3367" s="339">
        <v>7.68</v>
      </c>
    </row>
    <row r="3368" spans="1:4" ht="40.5">
      <c r="A3368" s="337">
        <v>89521</v>
      </c>
      <c r="B3368" s="338" t="s">
        <v>3984</v>
      </c>
      <c r="C3368" s="337" t="s">
        <v>474</v>
      </c>
      <c r="D3368" s="339">
        <v>75.95</v>
      </c>
    </row>
    <row r="3369" spans="1:4" ht="54">
      <c r="A3369" s="337">
        <v>89522</v>
      </c>
      <c r="B3369" s="338" t="s">
        <v>3985</v>
      </c>
      <c r="C3369" s="337" t="s">
        <v>474</v>
      </c>
      <c r="D3369" s="339">
        <v>17.3</v>
      </c>
    </row>
    <row r="3370" spans="1:4" ht="40.5">
      <c r="A3370" s="337">
        <v>89523</v>
      </c>
      <c r="B3370" s="338" t="s">
        <v>3986</v>
      </c>
      <c r="C3370" s="337" t="s">
        <v>474</v>
      </c>
      <c r="D3370" s="339">
        <v>59.07</v>
      </c>
    </row>
    <row r="3371" spans="1:4" ht="54">
      <c r="A3371" s="337">
        <v>89524</v>
      </c>
      <c r="B3371" s="338" t="s">
        <v>3987</v>
      </c>
      <c r="C3371" s="337" t="s">
        <v>474</v>
      </c>
      <c r="D3371" s="339">
        <v>16.88</v>
      </c>
    </row>
    <row r="3372" spans="1:4" ht="40.5">
      <c r="A3372" s="337">
        <v>89525</v>
      </c>
      <c r="B3372" s="338" t="s">
        <v>3988</v>
      </c>
      <c r="C3372" s="337" t="s">
        <v>474</v>
      </c>
      <c r="D3372" s="339">
        <v>51.18</v>
      </c>
    </row>
    <row r="3373" spans="1:4" ht="54">
      <c r="A3373" s="337">
        <v>89526</v>
      </c>
      <c r="B3373" s="338" t="s">
        <v>3989</v>
      </c>
      <c r="C3373" s="337" t="s">
        <v>474</v>
      </c>
      <c r="D3373" s="339">
        <v>20.93</v>
      </c>
    </row>
    <row r="3374" spans="1:4" ht="40.5">
      <c r="A3374" s="337">
        <v>89527</v>
      </c>
      <c r="B3374" s="338" t="s">
        <v>3990</v>
      </c>
      <c r="C3374" s="337" t="s">
        <v>474</v>
      </c>
      <c r="D3374" s="339">
        <v>39.979999999999997</v>
      </c>
    </row>
    <row r="3375" spans="1:4" ht="40.5">
      <c r="A3375" s="337">
        <v>89528</v>
      </c>
      <c r="B3375" s="338" t="s">
        <v>3991</v>
      </c>
      <c r="C3375" s="337" t="s">
        <v>474</v>
      </c>
      <c r="D3375" s="339">
        <v>2.58</v>
      </c>
    </row>
    <row r="3376" spans="1:4" ht="54">
      <c r="A3376" s="337">
        <v>89529</v>
      </c>
      <c r="B3376" s="338" t="s">
        <v>3992</v>
      </c>
      <c r="C3376" s="337" t="s">
        <v>474</v>
      </c>
      <c r="D3376" s="339">
        <v>26.85</v>
      </c>
    </row>
    <row r="3377" spans="1:4" ht="40.5">
      <c r="A3377" s="337">
        <v>89530</v>
      </c>
      <c r="B3377" s="338" t="s">
        <v>3993</v>
      </c>
      <c r="C3377" s="337" t="s">
        <v>474</v>
      </c>
      <c r="D3377" s="339">
        <v>10.95</v>
      </c>
    </row>
    <row r="3378" spans="1:4" ht="54">
      <c r="A3378" s="337">
        <v>89531</v>
      </c>
      <c r="B3378" s="338" t="s">
        <v>3994</v>
      </c>
      <c r="C3378" s="337" t="s">
        <v>474</v>
      </c>
      <c r="D3378" s="339">
        <v>22.96</v>
      </c>
    </row>
    <row r="3379" spans="1:4" ht="40.5">
      <c r="A3379" s="337">
        <v>89532</v>
      </c>
      <c r="B3379" s="338" t="s">
        <v>3995</v>
      </c>
      <c r="C3379" s="337" t="s">
        <v>474</v>
      </c>
      <c r="D3379" s="339">
        <v>4.26</v>
      </c>
    </row>
    <row r="3380" spans="1:4" ht="54">
      <c r="A3380" s="337">
        <v>89533</v>
      </c>
      <c r="B3380" s="338" t="s">
        <v>3996</v>
      </c>
      <c r="C3380" s="337" t="s">
        <v>474</v>
      </c>
      <c r="D3380" s="339">
        <v>22.96</v>
      </c>
    </row>
    <row r="3381" spans="1:4" ht="54">
      <c r="A3381" s="337">
        <v>89534</v>
      </c>
      <c r="B3381" s="338" t="s">
        <v>3997</v>
      </c>
      <c r="C3381" s="337" t="s">
        <v>474</v>
      </c>
      <c r="D3381" s="339">
        <v>3.07</v>
      </c>
    </row>
    <row r="3382" spans="1:4" ht="54">
      <c r="A3382" s="337">
        <v>89535</v>
      </c>
      <c r="B3382" s="338" t="s">
        <v>3998</v>
      </c>
      <c r="C3382" s="337" t="s">
        <v>474</v>
      </c>
      <c r="D3382" s="339">
        <v>34.17</v>
      </c>
    </row>
    <row r="3383" spans="1:4" ht="40.5">
      <c r="A3383" s="337">
        <v>89536</v>
      </c>
      <c r="B3383" s="338" t="s">
        <v>3999</v>
      </c>
      <c r="C3383" s="337" t="s">
        <v>474</v>
      </c>
      <c r="D3383" s="339">
        <v>9.06</v>
      </c>
    </row>
    <row r="3384" spans="1:4" ht="54">
      <c r="A3384" s="337">
        <v>89538</v>
      </c>
      <c r="B3384" s="338" t="s">
        <v>4000</v>
      </c>
      <c r="C3384" s="337" t="s">
        <v>474</v>
      </c>
      <c r="D3384" s="339">
        <v>2.8</v>
      </c>
    </row>
    <row r="3385" spans="1:4" ht="40.5">
      <c r="A3385" s="337">
        <v>89540</v>
      </c>
      <c r="B3385" s="338" t="s">
        <v>4001</v>
      </c>
      <c r="C3385" s="337" t="s">
        <v>474</v>
      </c>
      <c r="D3385" s="339">
        <v>6.15</v>
      </c>
    </row>
    <row r="3386" spans="1:4" ht="40.5">
      <c r="A3386" s="337">
        <v>89541</v>
      </c>
      <c r="B3386" s="338" t="s">
        <v>4002</v>
      </c>
      <c r="C3386" s="337" t="s">
        <v>474</v>
      </c>
      <c r="D3386" s="339">
        <v>3.77</v>
      </c>
    </row>
    <row r="3387" spans="1:4" ht="40.5">
      <c r="A3387" s="337">
        <v>89542</v>
      </c>
      <c r="B3387" s="338" t="s">
        <v>4003</v>
      </c>
      <c r="C3387" s="337" t="s">
        <v>474</v>
      </c>
      <c r="D3387" s="339">
        <v>17.72</v>
      </c>
    </row>
    <row r="3388" spans="1:4" ht="54">
      <c r="A3388" s="337">
        <v>89544</v>
      </c>
      <c r="B3388" s="338" t="s">
        <v>4004</v>
      </c>
      <c r="C3388" s="337" t="s">
        <v>474</v>
      </c>
      <c r="D3388" s="339">
        <v>5.71</v>
      </c>
    </row>
    <row r="3389" spans="1:4" ht="54">
      <c r="A3389" s="337">
        <v>89545</v>
      </c>
      <c r="B3389" s="338" t="s">
        <v>4005</v>
      </c>
      <c r="C3389" s="337" t="s">
        <v>474</v>
      </c>
      <c r="D3389" s="339">
        <v>7.71</v>
      </c>
    </row>
    <row r="3390" spans="1:4" ht="54">
      <c r="A3390" s="337">
        <v>89546</v>
      </c>
      <c r="B3390" s="338" t="s">
        <v>4006</v>
      </c>
      <c r="C3390" s="337" t="s">
        <v>474</v>
      </c>
      <c r="D3390" s="339">
        <v>5.92</v>
      </c>
    </row>
    <row r="3391" spans="1:4" ht="54">
      <c r="A3391" s="337">
        <v>89547</v>
      </c>
      <c r="B3391" s="338" t="s">
        <v>4007</v>
      </c>
      <c r="C3391" s="337" t="s">
        <v>474</v>
      </c>
      <c r="D3391" s="339">
        <v>11.42</v>
      </c>
    </row>
    <row r="3392" spans="1:4" ht="54">
      <c r="A3392" s="337">
        <v>89548</v>
      </c>
      <c r="B3392" s="338" t="s">
        <v>4008</v>
      </c>
      <c r="C3392" s="337" t="s">
        <v>474</v>
      </c>
      <c r="D3392" s="339">
        <v>12.72</v>
      </c>
    </row>
    <row r="3393" spans="1:4" ht="54">
      <c r="A3393" s="337">
        <v>89549</v>
      </c>
      <c r="B3393" s="338" t="s">
        <v>4009</v>
      </c>
      <c r="C3393" s="337" t="s">
        <v>474</v>
      </c>
      <c r="D3393" s="339">
        <v>9.43</v>
      </c>
    </row>
    <row r="3394" spans="1:4" ht="54">
      <c r="A3394" s="337">
        <v>89550</v>
      </c>
      <c r="B3394" s="338" t="s">
        <v>4010</v>
      </c>
      <c r="C3394" s="337" t="s">
        <v>474</v>
      </c>
      <c r="D3394" s="339">
        <v>26.2</v>
      </c>
    </row>
    <row r="3395" spans="1:4" ht="54">
      <c r="A3395" s="337">
        <v>89551</v>
      </c>
      <c r="B3395" s="338" t="s">
        <v>4011</v>
      </c>
      <c r="C3395" s="337" t="s">
        <v>474</v>
      </c>
      <c r="D3395" s="339">
        <v>5.97</v>
      </c>
    </row>
    <row r="3396" spans="1:4" ht="40.5">
      <c r="A3396" s="337">
        <v>89552</v>
      </c>
      <c r="B3396" s="338" t="s">
        <v>4012</v>
      </c>
      <c r="C3396" s="337" t="s">
        <v>474</v>
      </c>
      <c r="D3396" s="339">
        <v>14.45</v>
      </c>
    </row>
    <row r="3397" spans="1:4" ht="54">
      <c r="A3397" s="337">
        <v>89553</v>
      </c>
      <c r="B3397" s="338" t="s">
        <v>4013</v>
      </c>
      <c r="C3397" s="337" t="s">
        <v>474</v>
      </c>
      <c r="D3397" s="339">
        <v>4.12</v>
      </c>
    </row>
    <row r="3398" spans="1:4" ht="54">
      <c r="A3398" s="337">
        <v>89554</v>
      </c>
      <c r="B3398" s="338" t="s">
        <v>4014</v>
      </c>
      <c r="C3398" s="337" t="s">
        <v>474</v>
      </c>
      <c r="D3398" s="339">
        <v>14.19</v>
      </c>
    </row>
    <row r="3399" spans="1:4" ht="40.5">
      <c r="A3399" s="337">
        <v>89555</v>
      </c>
      <c r="B3399" s="338" t="s">
        <v>4015</v>
      </c>
      <c r="C3399" s="337" t="s">
        <v>474</v>
      </c>
      <c r="D3399" s="339">
        <v>13.29</v>
      </c>
    </row>
    <row r="3400" spans="1:4" ht="54">
      <c r="A3400" s="337">
        <v>89556</v>
      </c>
      <c r="B3400" s="338" t="s">
        <v>4016</v>
      </c>
      <c r="C3400" s="337" t="s">
        <v>474</v>
      </c>
      <c r="D3400" s="339">
        <v>20.48</v>
      </c>
    </row>
    <row r="3401" spans="1:4" ht="54">
      <c r="A3401" s="337">
        <v>89557</v>
      </c>
      <c r="B3401" s="338" t="s">
        <v>4017</v>
      </c>
      <c r="C3401" s="337" t="s">
        <v>474</v>
      </c>
      <c r="D3401" s="339">
        <v>16.41</v>
      </c>
    </row>
    <row r="3402" spans="1:4" ht="40.5">
      <c r="A3402" s="337">
        <v>89558</v>
      </c>
      <c r="B3402" s="338" t="s">
        <v>4018</v>
      </c>
      <c r="C3402" s="337" t="s">
        <v>474</v>
      </c>
      <c r="D3402" s="339">
        <v>5.93</v>
      </c>
    </row>
    <row r="3403" spans="1:4" ht="54">
      <c r="A3403" s="337">
        <v>89559</v>
      </c>
      <c r="B3403" s="338" t="s">
        <v>4019</v>
      </c>
      <c r="C3403" s="337" t="s">
        <v>474</v>
      </c>
      <c r="D3403" s="339">
        <v>35.26</v>
      </c>
    </row>
    <row r="3404" spans="1:4" ht="54">
      <c r="A3404" s="337">
        <v>89561</v>
      </c>
      <c r="B3404" s="338" t="s">
        <v>4020</v>
      </c>
      <c r="C3404" s="337" t="s">
        <v>474</v>
      </c>
      <c r="D3404" s="339">
        <v>10.07</v>
      </c>
    </row>
    <row r="3405" spans="1:4" ht="40.5">
      <c r="A3405" s="337">
        <v>89562</v>
      </c>
      <c r="B3405" s="338" t="s">
        <v>4021</v>
      </c>
      <c r="C3405" s="337" t="s">
        <v>474</v>
      </c>
      <c r="D3405" s="339">
        <v>5.91</v>
      </c>
    </row>
    <row r="3406" spans="1:4" ht="54">
      <c r="A3406" s="337">
        <v>89563</v>
      </c>
      <c r="B3406" s="338" t="s">
        <v>4022</v>
      </c>
      <c r="C3406" s="337" t="s">
        <v>474</v>
      </c>
      <c r="D3406" s="339">
        <v>14.36</v>
      </c>
    </row>
    <row r="3407" spans="1:4" ht="40.5">
      <c r="A3407" s="337">
        <v>89564</v>
      </c>
      <c r="B3407" s="338" t="s">
        <v>4023</v>
      </c>
      <c r="C3407" s="337" t="s">
        <v>474</v>
      </c>
      <c r="D3407" s="339">
        <v>10.58</v>
      </c>
    </row>
    <row r="3408" spans="1:4" ht="54">
      <c r="A3408" s="337">
        <v>89565</v>
      </c>
      <c r="B3408" s="338" t="s">
        <v>4024</v>
      </c>
      <c r="C3408" s="337" t="s">
        <v>474</v>
      </c>
      <c r="D3408" s="339">
        <v>31.58</v>
      </c>
    </row>
    <row r="3409" spans="1:4" ht="54">
      <c r="A3409" s="337">
        <v>89566</v>
      </c>
      <c r="B3409" s="338" t="s">
        <v>4025</v>
      </c>
      <c r="C3409" s="337" t="s">
        <v>474</v>
      </c>
      <c r="D3409" s="339">
        <v>26.42</v>
      </c>
    </row>
    <row r="3410" spans="1:4" ht="54">
      <c r="A3410" s="337">
        <v>89567</v>
      </c>
      <c r="B3410" s="338" t="s">
        <v>4026</v>
      </c>
      <c r="C3410" s="337" t="s">
        <v>474</v>
      </c>
      <c r="D3410" s="339">
        <v>47.43</v>
      </c>
    </row>
    <row r="3411" spans="1:4" ht="40.5">
      <c r="A3411" s="337">
        <v>89568</v>
      </c>
      <c r="B3411" s="338" t="s">
        <v>4027</v>
      </c>
      <c r="C3411" s="337" t="s">
        <v>474</v>
      </c>
      <c r="D3411" s="339">
        <v>26.47</v>
      </c>
    </row>
    <row r="3412" spans="1:4" ht="54">
      <c r="A3412" s="337">
        <v>89569</v>
      </c>
      <c r="B3412" s="338" t="s">
        <v>4028</v>
      </c>
      <c r="C3412" s="337" t="s">
        <v>474</v>
      </c>
      <c r="D3412" s="339">
        <v>45.91</v>
      </c>
    </row>
    <row r="3413" spans="1:4" ht="54">
      <c r="A3413" s="337">
        <v>89570</v>
      </c>
      <c r="B3413" s="338" t="s">
        <v>4029</v>
      </c>
      <c r="C3413" s="337" t="s">
        <v>474</v>
      </c>
      <c r="D3413" s="339">
        <v>6.94</v>
      </c>
    </row>
    <row r="3414" spans="1:4" ht="54">
      <c r="A3414" s="337">
        <v>89571</v>
      </c>
      <c r="B3414" s="338" t="s">
        <v>4030</v>
      </c>
      <c r="C3414" s="337" t="s">
        <v>474</v>
      </c>
      <c r="D3414" s="339">
        <v>42.23</v>
      </c>
    </row>
    <row r="3415" spans="1:4" ht="54">
      <c r="A3415" s="337">
        <v>89572</v>
      </c>
      <c r="B3415" s="338" t="s">
        <v>4031</v>
      </c>
      <c r="C3415" s="337" t="s">
        <v>474</v>
      </c>
      <c r="D3415" s="339">
        <v>6.03</v>
      </c>
    </row>
    <row r="3416" spans="1:4" ht="54">
      <c r="A3416" s="337">
        <v>89573</v>
      </c>
      <c r="B3416" s="338" t="s">
        <v>4032</v>
      </c>
      <c r="C3416" s="337" t="s">
        <v>474</v>
      </c>
      <c r="D3416" s="339">
        <v>33.5</v>
      </c>
    </row>
    <row r="3417" spans="1:4" ht="54">
      <c r="A3417" s="337">
        <v>89574</v>
      </c>
      <c r="B3417" s="338" t="s">
        <v>4033</v>
      </c>
      <c r="C3417" s="337" t="s">
        <v>474</v>
      </c>
      <c r="D3417" s="339">
        <v>61.07</v>
      </c>
    </row>
    <row r="3418" spans="1:4" ht="40.5">
      <c r="A3418" s="337">
        <v>89575</v>
      </c>
      <c r="B3418" s="338" t="s">
        <v>4034</v>
      </c>
      <c r="C3418" s="337" t="s">
        <v>474</v>
      </c>
      <c r="D3418" s="339">
        <v>7.47</v>
      </c>
    </row>
    <row r="3419" spans="1:4" ht="40.5">
      <c r="A3419" s="337">
        <v>89577</v>
      </c>
      <c r="B3419" s="338" t="s">
        <v>4035</v>
      </c>
      <c r="C3419" s="337" t="s">
        <v>474</v>
      </c>
      <c r="D3419" s="339">
        <v>24.62</v>
      </c>
    </row>
    <row r="3420" spans="1:4" ht="40.5">
      <c r="A3420" s="337">
        <v>89579</v>
      </c>
      <c r="B3420" s="338" t="s">
        <v>4036</v>
      </c>
      <c r="C3420" s="337" t="s">
        <v>474</v>
      </c>
      <c r="D3420" s="339">
        <v>7.37</v>
      </c>
    </row>
    <row r="3421" spans="1:4" ht="54">
      <c r="A3421" s="337">
        <v>89581</v>
      </c>
      <c r="B3421" s="338" t="s">
        <v>4037</v>
      </c>
      <c r="C3421" s="337" t="s">
        <v>474</v>
      </c>
      <c r="D3421" s="339">
        <v>16.010000000000002</v>
      </c>
    </row>
    <row r="3422" spans="1:4" ht="54">
      <c r="A3422" s="337">
        <v>89582</v>
      </c>
      <c r="B3422" s="338" t="s">
        <v>4038</v>
      </c>
      <c r="C3422" s="337" t="s">
        <v>474</v>
      </c>
      <c r="D3422" s="339">
        <v>15.59</v>
      </c>
    </row>
    <row r="3423" spans="1:4" ht="67.5">
      <c r="A3423" s="337">
        <v>89583</v>
      </c>
      <c r="B3423" s="338" t="s">
        <v>4039</v>
      </c>
      <c r="C3423" s="337" t="s">
        <v>474</v>
      </c>
      <c r="D3423" s="339">
        <v>19.64</v>
      </c>
    </row>
    <row r="3424" spans="1:4" ht="54">
      <c r="A3424" s="337">
        <v>89584</v>
      </c>
      <c r="B3424" s="338" t="s">
        <v>4040</v>
      </c>
      <c r="C3424" s="337" t="s">
        <v>474</v>
      </c>
      <c r="D3424" s="339">
        <v>25.57</v>
      </c>
    </row>
    <row r="3425" spans="1:4" ht="54">
      <c r="A3425" s="337">
        <v>89585</v>
      </c>
      <c r="B3425" s="338" t="s">
        <v>4041</v>
      </c>
      <c r="C3425" s="337" t="s">
        <v>474</v>
      </c>
      <c r="D3425" s="339">
        <v>21.68</v>
      </c>
    </row>
    <row r="3426" spans="1:4" ht="67.5">
      <c r="A3426" s="337">
        <v>89586</v>
      </c>
      <c r="B3426" s="338" t="s">
        <v>4042</v>
      </c>
      <c r="C3426" s="337" t="s">
        <v>474</v>
      </c>
      <c r="D3426" s="339">
        <v>21.68</v>
      </c>
    </row>
    <row r="3427" spans="1:4" ht="67.5">
      <c r="A3427" s="337">
        <v>89587</v>
      </c>
      <c r="B3427" s="338" t="s">
        <v>4043</v>
      </c>
      <c r="C3427" s="337" t="s">
        <v>474</v>
      </c>
      <c r="D3427" s="339">
        <v>32.89</v>
      </c>
    </row>
    <row r="3428" spans="1:4" ht="54">
      <c r="A3428" s="337">
        <v>89590</v>
      </c>
      <c r="B3428" s="338" t="s">
        <v>4044</v>
      </c>
      <c r="C3428" s="337" t="s">
        <v>474</v>
      </c>
      <c r="D3428" s="339">
        <v>78.84</v>
      </c>
    </row>
    <row r="3429" spans="1:4" ht="54">
      <c r="A3429" s="337">
        <v>89591</v>
      </c>
      <c r="B3429" s="338" t="s">
        <v>4045</v>
      </c>
      <c r="C3429" s="337" t="s">
        <v>474</v>
      </c>
      <c r="D3429" s="339">
        <v>64.31</v>
      </c>
    </row>
    <row r="3430" spans="1:4" ht="67.5">
      <c r="A3430" s="337">
        <v>89592</v>
      </c>
      <c r="B3430" s="338" t="s">
        <v>4046</v>
      </c>
      <c r="C3430" s="337" t="s">
        <v>474</v>
      </c>
      <c r="D3430" s="339">
        <v>209.89</v>
      </c>
    </row>
    <row r="3431" spans="1:4" ht="40.5">
      <c r="A3431" s="337">
        <v>89593</v>
      </c>
      <c r="B3431" s="338" t="s">
        <v>4047</v>
      </c>
      <c r="C3431" s="337" t="s">
        <v>474</v>
      </c>
      <c r="D3431" s="339">
        <v>17.329999999999998</v>
      </c>
    </row>
    <row r="3432" spans="1:4" ht="40.5">
      <c r="A3432" s="337">
        <v>89594</v>
      </c>
      <c r="B3432" s="338" t="s">
        <v>4048</v>
      </c>
      <c r="C3432" s="337" t="s">
        <v>474</v>
      </c>
      <c r="D3432" s="339">
        <v>31.63</v>
      </c>
    </row>
    <row r="3433" spans="1:4" ht="54">
      <c r="A3433" s="337">
        <v>89595</v>
      </c>
      <c r="B3433" s="338" t="s">
        <v>4049</v>
      </c>
      <c r="C3433" s="337" t="s">
        <v>474</v>
      </c>
      <c r="D3433" s="339">
        <v>10.81</v>
      </c>
    </row>
    <row r="3434" spans="1:4" ht="54">
      <c r="A3434" s="337">
        <v>89596</v>
      </c>
      <c r="B3434" s="338" t="s">
        <v>4050</v>
      </c>
      <c r="C3434" s="337" t="s">
        <v>474</v>
      </c>
      <c r="D3434" s="339">
        <v>7.76</v>
      </c>
    </row>
    <row r="3435" spans="1:4" ht="40.5">
      <c r="A3435" s="337">
        <v>89597</v>
      </c>
      <c r="B3435" s="338" t="s">
        <v>4051</v>
      </c>
      <c r="C3435" s="337" t="s">
        <v>474</v>
      </c>
      <c r="D3435" s="339">
        <v>14.3</v>
      </c>
    </row>
    <row r="3436" spans="1:4" ht="40.5">
      <c r="A3436" s="337">
        <v>89598</v>
      </c>
      <c r="B3436" s="338" t="s">
        <v>4052</v>
      </c>
      <c r="C3436" s="337" t="s">
        <v>474</v>
      </c>
      <c r="D3436" s="339">
        <v>32.520000000000003</v>
      </c>
    </row>
    <row r="3437" spans="1:4" ht="54">
      <c r="A3437" s="337">
        <v>89599</v>
      </c>
      <c r="B3437" s="338" t="s">
        <v>4053</v>
      </c>
      <c r="C3437" s="337" t="s">
        <v>474</v>
      </c>
      <c r="D3437" s="339">
        <v>10.46</v>
      </c>
    </row>
    <row r="3438" spans="1:4" ht="54">
      <c r="A3438" s="337">
        <v>89600</v>
      </c>
      <c r="B3438" s="338" t="s">
        <v>4054</v>
      </c>
      <c r="C3438" s="337" t="s">
        <v>474</v>
      </c>
      <c r="D3438" s="339">
        <v>11.76</v>
      </c>
    </row>
    <row r="3439" spans="1:4" ht="40.5">
      <c r="A3439" s="337">
        <v>89605</v>
      </c>
      <c r="B3439" s="338" t="s">
        <v>4055</v>
      </c>
      <c r="C3439" s="337" t="s">
        <v>474</v>
      </c>
      <c r="D3439" s="339">
        <v>12.9</v>
      </c>
    </row>
    <row r="3440" spans="1:4" ht="40.5">
      <c r="A3440" s="337">
        <v>89609</v>
      </c>
      <c r="B3440" s="338" t="s">
        <v>4056</v>
      </c>
      <c r="C3440" s="337" t="s">
        <v>474</v>
      </c>
      <c r="D3440" s="339">
        <v>68.81</v>
      </c>
    </row>
    <row r="3441" spans="1:4" ht="54">
      <c r="A3441" s="337">
        <v>89610</v>
      </c>
      <c r="B3441" s="338" t="s">
        <v>4057</v>
      </c>
      <c r="C3441" s="337" t="s">
        <v>474</v>
      </c>
      <c r="D3441" s="339">
        <v>14.41</v>
      </c>
    </row>
    <row r="3442" spans="1:4" ht="40.5">
      <c r="A3442" s="337">
        <v>89611</v>
      </c>
      <c r="B3442" s="338" t="s">
        <v>4058</v>
      </c>
      <c r="C3442" s="337" t="s">
        <v>474</v>
      </c>
      <c r="D3442" s="339">
        <v>21.14</v>
      </c>
    </row>
    <row r="3443" spans="1:4" ht="40.5">
      <c r="A3443" s="337">
        <v>89612</v>
      </c>
      <c r="B3443" s="338" t="s">
        <v>4059</v>
      </c>
      <c r="C3443" s="337" t="s">
        <v>474</v>
      </c>
      <c r="D3443" s="339">
        <v>139.69</v>
      </c>
    </row>
    <row r="3444" spans="1:4" ht="54">
      <c r="A3444" s="337">
        <v>89613</v>
      </c>
      <c r="B3444" s="338" t="s">
        <v>4060</v>
      </c>
      <c r="C3444" s="337" t="s">
        <v>474</v>
      </c>
      <c r="D3444" s="339">
        <v>23.41</v>
      </c>
    </row>
    <row r="3445" spans="1:4" ht="40.5">
      <c r="A3445" s="337">
        <v>89614</v>
      </c>
      <c r="B3445" s="338" t="s">
        <v>4061</v>
      </c>
      <c r="C3445" s="337" t="s">
        <v>474</v>
      </c>
      <c r="D3445" s="339">
        <v>39.58</v>
      </c>
    </row>
    <row r="3446" spans="1:4" ht="40.5">
      <c r="A3446" s="337">
        <v>89615</v>
      </c>
      <c r="B3446" s="338" t="s">
        <v>4062</v>
      </c>
      <c r="C3446" s="337" t="s">
        <v>474</v>
      </c>
      <c r="D3446" s="339">
        <v>204.8</v>
      </c>
    </row>
    <row r="3447" spans="1:4" ht="54">
      <c r="A3447" s="337">
        <v>89616</v>
      </c>
      <c r="B3447" s="338" t="s">
        <v>4063</v>
      </c>
      <c r="C3447" s="337" t="s">
        <v>474</v>
      </c>
      <c r="D3447" s="339">
        <v>32.479999999999997</v>
      </c>
    </row>
    <row r="3448" spans="1:4" ht="40.5">
      <c r="A3448" s="337">
        <v>89617</v>
      </c>
      <c r="B3448" s="338" t="s">
        <v>4064</v>
      </c>
      <c r="C3448" s="337" t="s">
        <v>474</v>
      </c>
      <c r="D3448" s="339">
        <v>4.59</v>
      </c>
    </row>
    <row r="3449" spans="1:4" ht="54">
      <c r="A3449" s="337">
        <v>89618</v>
      </c>
      <c r="B3449" s="338" t="s">
        <v>4065</v>
      </c>
      <c r="C3449" s="337" t="s">
        <v>474</v>
      </c>
      <c r="D3449" s="339">
        <v>10.81</v>
      </c>
    </row>
    <row r="3450" spans="1:4" ht="40.5">
      <c r="A3450" s="337">
        <v>89619</v>
      </c>
      <c r="B3450" s="338" t="s">
        <v>4066</v>
      </c>
      <c r="C3450" s="337" t="s">
        <v>474</v>
      </c>
      <c r="D3450" s="339">
        <v>5.9</v>
      </c>
    </row>
    <row r="3451" spans="1:4" ht="40.5">
      <c r="A3451" s="337">
        <v>89620</v>
      </c>
      <c r="B3451" s="338" t="s">
        <v>4067</v>
      </c>
      <c r="C3451" s="337" t="s">
        <v>474</v>
      </c>
      <c r="D3451" s="339">
        <v>6.97</v>
      </c>
    </row>
    <row r="3452" spans="1:4" ht="54">
      <c r="A3452" s="337">
        <v>89621</v>
      </c>
      <c r="B3452" s="338" t="s">
        <v>4068</v>
      </c>
      <c r="C3452" s="337" t="s">
        <v>474</v>
      </c>
      <c r="D3452" s="339">
        <v>16.93</v>
      </c>
    </row>
    <row r="3453" spans="1:4" ht="40.5">
      <c r="A3453" s="337">
        <v>89622</v>
      </c>
      <c r="B3453" s="338" t="s">
        <v>4069</v>
      </c>
      <c r="C3453" s="337" t="s">
        <v>474</v>
      </c>
      <c r="D3453" s="339">
        <v>9</v>
      </c>
    </row>
    <row r="3454" spans="1:4" ht="40.5">
      <c r="A3454" s="337">
        <v>89623</v>
      </c>
      <c r="B3454" s="338" t="s">
        <v>4070</v>
      </c>
      <c r="C3454" s="337" t="s">
        <v>474</v>
      </c>
      <c r="D3454" s="339">
        <v>11.76</v>
      </c>
    </row>
    <row r="3455" spans="1:4" ht="40.5">
      <c r="A3455" s="337">
        <v>89624</v>
      </c>
      <c r="B3455" s="338" t="s">
        <v>4071</v>
      </c>
      <c r="C3455" s="337" t="s">
        <v>474</v>
      </c>
      <c r="D3455" s="339">
        <v>11.65</v>
      </c>
    </row>
    <row r="3456" spans="1:4" ht="40.5">
      <c r="A3456" s="337">
        <v>89625</v>
      </c>
      <c r="B3456" s="338" t="s">
        <v>4072</v>
      </c>
      <c r="C3456" s="337" t="s">
        <v>474</v>
      </c>
      <c r="D3456" s="339">
        <v>14.29</v>
      </c>
    </row>
    <row r="3457" spans="1:4" ht="40.5">
      <c r="A3457" s="337">
        <v>89626</v>
      </c>
      <c r="B3457" s="338" t="s">
        <v>4073</v>
      </c>
      <c r="C3457" s="337" t="s">
        <v>474</v>
      </c>
      <c r="D3457" s="339">
        <v>17.79</v>
      </c>
    </row>
    <row r="3458" spans="1:4" ht="40.5">
      <c r="A3458" s="337">
        <v>89627</v>
      </c>
      <c r="B3458" s="338" t="s">
        <v>4074</v>
      </c>
      <c r="C3458" s="337" t="s">
        <v>474</v>
      </c>
      <c r="D3458" s="339">
        <v>14.06</v>
      </c>
    </row>
    <row r="3459" spans="1:4" ht="40.5">
      <c r="A3459" s="337">
        <v>89628</v>
      </c>
      <c r="B3459" s="338" t="s">
        <v>4075</v>
      </c>
      <c r="C3459" s="337" t="s">
        <v>474</v>
      </c>
      <c r="D3459" s="339">
        <v>29.02</v>
      </c>
    </row>
    <row r="3460" spans="1:4" ht="40.5">
      <c r="A3460" s="337">
        <v>89629</v>
      </c>
      <c r="B3460" s="338" t="s">
        <v>4076</v>
      </c>
      <c r="C3460" s="337" t="s">
        <v>474</v>
      </c>
      <c r="D3460" s="339">
        <v>51.13</v>
      </c>
    </row>
    <row r="3461" spans="1:4" ht="40.5">
      <c r="A3461" s="337">
        <v>89630</v>
      </c>
      <c r="B3461" s="338" t="s">
        <v>4077</v>
      </c>
      <c r="C3461" s="337" t="s">
        <v>474</v>
      </c>
      <c r="D3461" s="339">
        <v>44.15</v>
      </c>
    </row>
    <row r="3462" spans="1:4" ht="40.5">
      <c r="A3462" s="337">
        <v>89631</v>
      </c>
      <c r="B3462" s="338" t="s">
        <v>4078</v>
      </c>
      <c r="C3462" s="337" t="s">
        <v>474</v>
      </c>
      <c r="D3462" s="339">
        <v>74.63</v>
      </c>
    </row>
    <row r="3463" spans="1:4" ht="40.5">
      <c r="A3463" s="337">
        <v>89632</v>
      </c>
      <c r="B3463" s="338" t="s">
        <v>4079</v>
      </c>
      <c r="C3463" s="337" t="s">
        <v>474</v>
      </c>
      <c r="D3463" s="339">
        <v>64.260000000000005</v>
      </c>
    </row>
    <row r="3464" spans="1:4" ht="54">
      <c r="A3464" s="337">
        <v>89637</v>
      </c>
      <c r="B3464" s="338" t="s">
        <v>4080</v>
      </c>
      <c r="C3464" s="337" t="s">
        <v>474</v>
      </c>
      <c r="D3464" s="339">
        <v>6.73</v>
      </c>
    </row>
    <row r="3465" spans="1:4" ht="54">
      <c r="A3465" s="337">
        <v>89638</v>
      </c>
      <c r="B3465" s="338" t="s">
        <v>4081</v>
      </c>
      <c r="C3465" s="337" t="s">
        <v>474</v>
      </c>
      <c r="D3465" s="339">
        <v>7.54</v>
      </c>
    </row>
    <row r="3466" spans="1:4" ht="54">
      <c r="A3466" s="337">
        <v>89639</v>
      </c>
      <c r="B3466" s="338" t="s">
        <v>4082</v>
      </c>
      <c r="C3466" s="337" t="s">
        <v>474</v>
      </c>
      <c r="D3466" s="339">
        <v>7.86</v>
      </c>
    </row>
    <row r="3467" spans="1:4" ht="54">
      <c r="A3467" s="337">
        <v>89641</v>
      </c>
      <c r="B3467" s="338" t="s">
        <v>4083</v>
      </c>
      <c r="C3467" s="337" t="s">
        <v>474</v>
      </c>
      <c r="D3467" s="339">
        <v>9.5</v>
      </c>
    </row>
    <row r="3468" spans="1:4" ht="54">
      <c r="A3468" s="337">
        <v>89642</v>
      </c>
      <c r="B3468" s="338" t="s">
        <v>4084</v>
      </c>
      <c r="C3468" s="337" t="s">
        <v>474</v>
      </c>
      <c r="D3468" s="339">
        <v>11.07</v>
      </c>
    </row>
    <row r="3469" spans="1:4" ht="54">
      <c r="A3469" s="337">
        <v>89643</v>
      </c>
      <c r="B3469" s="338" t="s">
        <v>4085</v>
      </c>
      <c r="C3469" s="337" t="s">
        <v>474</v>
      </c>
      <c r="D3469" s="339">
        <v>11.59</v>
      </c>
    </row>
    <row r="3470" spans="1:4" ht="54">
      <c r="A3470" s="337">
        <v>89645</v>
      </c>
      <c r="B3470" s="338" t="s">
        <v>4086</v>
      </c>
      <c r="C3470" s="337" t="s">
        <v>474</v>
      </c>
      <c r="D3470" s="339">
        <v>21.38</v>
      </c>
    </row>
    <row r="3471" spans="1:4" ht="54">
      <c r="A3471" s="337">
        <v>89646</v>
      </c>
      <c r="B3471" s="338" t="s">
        <v>4087</v>
      </c>
      <c r="C3471" s="337" t="s">
        <v>474</v>
      </c>
      <c r="D3471" s="339">
        <v>15.06</v>
      </c>
    </row>
    <row r="3472" spans="1:4" ht="54">
      <c r="A3472" s="337">
        <v>89647</v>
      </c>
      <c r="B3472" s="338" t="s">
        <v>4088</v>
      </c>
      <c r="C3472" s="337" t="s">
        <v>474</v>
      </c>
      <c r="D3472" s="339">
        <v>14.7</v>
      </c>
    </row>
    <row r="3473" spans="1:4" ht="54">
      <c r="A3473" s="337">
        <v>89648</v>
      </c>
      <c r="B3473" s="338" t="s">
        <v>4089</v>
      </c>
      <c r="C3473" s="337" t="s">
        <v>474</v>
      </c>
      <c r="D3473" s="339">
        <v>16.38</v>
      </c>
    </row>
    <row r="3474" spans="1:4" ht="54">
      <c r="A3474" s="337">
        <v>89649</v>
      </c>
      <c r="B3474" s="338" t="s">
        <v>4090</v>
      </c>
      <c r="C3474" s="337" t="s">
        <v>474</v>
      </c>
      <c r="D3474" s="339">
        <v>22.51</v>
      </c>
    </row>
    <row r="3475" spans="1:4" ht="54">
      <c r="A3475" s="337">
        <v>89650</v>
      </c>
      <c r="B3475" s="338" t="s">
        <v>4091</v>
      </c>
      <c r="C3475" s="337" t="s">
        <v>474</v>
      </c>
      <c r="D3475" s="339">
        <v>22.51</v>
      </c>
    </row>
    <row r="3476" spans="1:4" ht="40.5">
      <c r="A3476" s="337">
        <v>89651</v>
      </c>
      <c r="B3476" s="338" t="s">
        <v>4092</v>
      </c>
      <c r="C3476" s="337" t="s">
        <v>474</v>
      </c>
      <c r="D3476" s="339">
        <v>4.5599999999999996</v>
      </c>
    </row>
    <row r="3477" spans="1:4" ht="54">
      <c r="A3477" s="337">
        <v>89652</v>
      </c>
      <c r="B3477" s="338" t="s">
        <v>4093</v>
      </c>
      <c r="C3477" s="337" t="s">
        <v>474</v>
      </c>
      <c r="D3477" s="339">
        <v>8.1300000000000008</v>
      </c>
    </row>
    <row r="3478" spans="1:4" ht="54">
      <c r="A3478" s="337">
        <v>89653</v>
      </c>
      <c r="B3478" s="338" t="s">
        <v>4094</v>
      </c>
      <c r="C3478" s="337" t="s">
        <v>474</v>
      </c>
      <c r="D3478" s="339">
        <v>13.63</v>
      </c>
    </row>
    <row r="3479" spans="1:4" ht="40.5">
      <c r="A3479" s="337">
        <v>89654</v>
      </c>
      <c r="B3479" s="338" t="s">
        <v>4095</v>
      </c>
      <c r="C3479" s="337" t="s">
        <v>474</v>
      </c>
      <c r="D3479" s="339">
        <v>13.26</v>
      </c>
    </row>
    <row r="3480" spans="1:4" ht="54">
      <c r="A3480" s="337">
        <v>89655</v>
      </c>
      <c r="B3480" s="338" t="s">
        <v>4096</v>
      </c>
      <c r="C3480" s="337" t="s">
        <v>474</v>
      </c>
      <c r="D3480" s="339">
        <v>19.98</v>
      </c>
    </row>
    <row r="3481" spans="1:4" ht="40.5">
      <c r="A3481" s="337">
        <v>89656</v>
      </c>
      <c r="B3481" s="338" t="s">
        <v>4097</v>
      </c>
      <c r="C3481" s="337" t="s">
        <v>474</v>
      </c>
      <c r="D3481" s="339">
        <v>8.6999999999999993</v>
      </c>
    </row>
    <row r="3482" spans="1:4" ht="54">
      <c r="A3482" s="337">
        <v>89657</v>
      </c>
      <c r="B3482" s="338" t="s">
        <v>4098</v>
      </c>
      <c r="C3482" s="337" t="s">
        <v>474</v>
      </c>
      <c r="D3482" s="339">
        <v>8.8800000000000008</v>
      </c>
    </row>
    <row r="3483" spans="1:4" ht="40.5">
      <c r="A3483" s="337">
        <v>89658</v>
      </c>
      <c r="B3483" s="338" t="s">
        <v>4099</v>
      </c>
      <c r="C3483" s="337" t="s">
        <v>474</v>
      </c>
      <c r="D3483" s="339">
        <v>6.26</v>
      </c>
    </row>
    <row r="3484" spans="1:4" ht="54">
      <c r="A3484" s="337">
        <v>89659</v>
      </c>
      <c r="B3484" s="338" t="s">
        <v>4100</v>
      </c>
      <c r="C3484" s="337" t="s">
        <v>474</v>
      </c>
      <c r="D3484" s="339">
        <v>11.73</v>
      </c>
    </row>
    <row r="3485" spans="1:4" ht="54">
      <c r="A3485" s="337">
        <v>89660</v>
      </c>
      <c r="B3485" s="338" t="s">
        <v>4101</v>
      </c>
      <c r="C3485" s="337" t="s">
        <v>474</v>
      </c>
      <c r="D3485" s="339">
        <v>5.79</v>
      </c>
    </row>
    <row r="3486" spans="1:4" ht="40.5">
      <c r="A3486" s="337">
        <v>89661</v>
      </c>
      <c r="B3486" s="338" t="s">
        <v>4102</v>
      </c>
      <c r="C3486" s="337" t="s">
        <v>474</v>
      </c>
      <c r="D3486" s="339">
        <v>15.89</v>
      </c>
    </row>
    <row r="3487" spans="1:4" ht="54">
      <c r="A3487" s="337">
        <v>89662</v>
      </c>
      <c r="B3487" s="338" t="s">
        <v>4103</v>
      </c>
      <c r="C3487" s="337" t="s">
        <v>474</v>
      </c>
      <c r="D3487" s="339">
        <v>24.8</v>
      </c>
    </row>
    <row r="3488" spans="1:4" ht="40.5">
      <c r="A3488" s="337">
        <v>89663</v>
      </c>
      <c r="B3488" s="338" t="s">
        <v>4104</v>
      </c>
      <c r="C3488" s="337" t="s">
        <v>474</v>
      </c>
      <c r="D3488" s="339">
        <v>9.8800000000000008</v>
      </c>
    </row>
    <row r="3489" spans="1:4" ht="54">
      <c r="A3489" s="337">
        <v>89664</v>
      </c>
      <c r="B3489" s="338" t="s">
        <v>4105</v>
      </c>
      <c r="C3489" s="337" t="s">
        <v>474</v>
      </c>
      <c r="D3489" s="339">
        <v>11.73</v>
      </c>
    </row>
    <row r="3490" spans="1:4" ht="54">
      <c r="A3490" s="337">
        <v>89665</v>
      </c>
      <c r="B3490" s="338" t="s">
        <v>4106</v>
      </c>
      <c r="C3490" s="337" t="s">
        <v>474</v>
      </c>
      <c r="D3490" s="339">
        <v>8.4700000000000006</v>
      </c>
    </row>
    <row r="3491" spans="1:4" ht="54">
      <c r="A3491" s="337">
        <v>89666</v>
      </c>
      <c r="B3491" s="338" t="s">
        <v>4107</v>
      </c>
      <c r="C3491" s="337" t="s">
        <v>474</v>
      </c>
      <c r="D3491" s="339">
        <v>4.97</v>
      </c>
    </row>
    <row r="3492" spans="1:4" ht="54">
      <c r="A3492" s="337">
        <v>89667</v>
      </c>
      <c r="B3492" s="338" t="s">
        <v>4108</v>
      </c>
      <c r="C3492" s="337" t="s">
        <v>474</v>
      </c>
      <c r="D3492" s="339">
        <v>25.24</v>
      </c>
    </row>
    <row r="3493" spans="1:4" ht="54">
      <c r="A3493" s="337">
        <v>89668</v>
      </c>
      <c r="B3493" s="338" t="s">
        <v>4109</v>
      </c>
      <c r="C3493" s="337" t="s">
        <v>474</v>
      </c>
      <c r="D3493" s="339">
        <v>23.49</v>
      </c>
    </row>
    <row r="3494" spans="1:4" ht="54">
      <c r="A3494" s="337">
        <v>89669</v>
      </c>
      <c r="B3494" s="338" t="s">
        <v>4110</v>
      </c>
      <c r="C3494" s="337" t="s">
        <v>474</v>
      </c>
      <c r="D3494" s="339">
        <v>13.38</v>
      </c>
    </row>
    <row r="3495" spans="1:4" ht="40.5">
      <c r="A3495" s="337">
        <v>89670</v>
      </c>
      <c r="B3495" s="338" t="s">
        <v>4111</v>
      </c>
      <c r="C3495" s="337" t="s">
        <v>474</v>
      </c>
      <c r="D3495" s="339">
        <v>9.44</v>
      </c>
    </row>
    <row r="3496" spans="1:4" ht="54">
      <c r="A3496" s="337">
        <v>89671</v>
      </c>
      <c r="B3496" s="338" t="s">
        <v>4112</v>
      </c>
      <c r="C3496" s="337" t="s">
        <v>474</v>
      </c>
      <c r="D3496" s="339">
        <v>19.670000000000002</v>
      </c>
    </row>
    <row r="3497" spans="1:4" ht="54">
      <c r="A3497" s="337">
        <v>89672</v>
      </c>
      <c r="B3497" s="338" t="s">
        <v>4113</v>
      </c>
      <c r="C3497" s="337" t="s">
        <v>474</v>
      </c>
      <c r="D3497" s="339">
        <v>15.71</v>
      </c>
    </row>
    <row r="3498" spans="1:4" ht="67.5">
      <c r="A3498" s="337">
        <v>89673</v>
      </c>
      <c r="B3498" s="338" t="s">
        <v>4114</v>
      </c>
      <c r="C3498" s="337" t="s">
        <v>474</v>
      </c>
      <c r="D3498" s="339">
        <v>15.6</v>
      </c>
    </row>
    <row r="3499" spans="1:4" ht="40.5">
      <c r="A3499" s="337">
        <v>89674</v>
      </c>
      <c r="B3499" s="338" t="s">
        <v>4115</v>
      </c>
      <c r="C3499" s="337" t="s">
        <v>474</v>
      </c>
      <c r="D3499" s="339">
        <v>23.69</v>
      </c>
    </row>
    <row r="3500" spans="1:4" ht="54">
      <c r="A3500" s="337">
        <v>89675</v>
      </c>
      <c r="B3500" s="338" t="s">
        <v>4116</v>
      </c>
      <c r="C3500" s="337" t="s">
        <v>474</v>
      </c>
      <c r="D3500" s="339">
        <v>34.450000000000003</v>
      </c>
    </row>
    <row r="3501" spans="1:4" ht="40.5">
      <c r="A3501" s="337">
        <v>89676</v>
      </c>
      <c r="B3501" s="338" t="s">
        <v>4117</v>
      </c>
      <c r="C3501" s="337" t="s">
        <v>474</v>
      </c>
      <c r="D3501" s="339">
        <v>36.72</v>
      </c>
    </row>
    <row r="3502" spans="1:4" ht="54">
      <c r="A3502" s="337">
        <v>89677</v>
      </c>
      <c r="B3502" s="338" t="s">
        <v>4118</v>
      </c>
      <c r="C3502" s="337" t="s">
        <v>474</v>
      </c>
      <c r="D3502" s="339">
        <v>38.83</v>
      </c>
    </row>
    <row r="3503" spans="1:4" ht="54">
      <c r="A3503" s="337">
        <v>89678</v>
      </c>
      <c r="B3503" s="338" t="s">
        <v>4119</v>
      </c>
      <c r="C3503" s="337" t="s">
        <v>474</v>
      </c>
      <c r="D3503" s="339">
        <v>6.66</v>
      </c>
    </row>
    <row r="3504" spans="1:4" ht="54">
      <c r="A3504" s="337">
        <v>89679</v>
      </c>
      <c r="B3504" s="338" t="s">
        <v>4120</v>
      </c>
      <c r="C3504" s="337" t="s">
        <v>474</v>
      </c>
      <c r="D3504" s="339">
        <v>63.86</v>
      </c>
    </row>
    <row r="3505" spans="1:4" ht="40.5">
      <c r="A3505" s="337">
        <v>89680</v>
      </c>
      <c r="B3505" s="338" t="s">
        <v>4121</v>
      </c>
      <c r="C3505" s="337" t="s">
        <v>474</v>
      </c>
      <c r="D3505" s="339">
        <v>15.14</v>
      </c>
    </row>
    <row r="3506" spans="1:4" ht="67.5">
      <c r="A3506" s="337">
        <v>89681</v>
      </c>
      <c r="B3506" s="338" t="s">
        <v>4122</v>
      </c>
      <c r="C3506" s="337" t="s">
        <v>474</v>
      </c>
      <c r="D3506" s="339">
        <v>43.19</v>
      </c>
    </row>
    <row r="3507" spans="1:4" ht="54">
      <c r="A3507" s="337">
        <v>89682</v>
      </c>
      <c r="B3507" s="338" t="s">
        <v>4123</v>
      </c>
      <c r="C3507" s="337" t="s">
        <v>474</v>
      </c>
      <c r="D3507" s="339">
        <v>24.5</v>
      </c>
    </row>
    <row r="3508" spans="1:4" ht="40.5">
      <c r="A3508" s="337">
        <v>89684</v>
      </c>
      <c r="B3508" s="338" t="s">
        <v>4124</v>
      </c>
      <c r="C3508" s="337" t="s">
        <v>474</v>
      </c>
      <c r="D3508" s="339">
        <v>34.54</v>
      </c>
    </row>
    <row r="3509" spans="1:4" ht="54">
      <c r="A3509" s="337">
        <v>89685</v>
      </c>
      <c r="B3509" s="338" t="s">
        <v>4125</v>
      </c>
      <c r="C3509" s="337" t="s">
        <v>474</v>
      </c>
      <c r="D3509" s="339">
        <v>29.81</v>
      </c>
    </row>
    <row r="3510" spans="1:4" ht="54">
      <c r="A3510" s="337">
        <v>89686</v>
      </c>
      <c r="B3510" s="338" t="s">
        <v>4126</v>
      </c>
      <c r="C3510" s="337" t="s">
        <v>474</v>
      </c>
      <c r="D3510" s="339">
        <v>133.86000000000001</v>
      </c>
    </row>
    <row r="3511" spans="1:4" ht="54">
      <c r="A3511" s="337">
        <v>89687</v>
      </c>
      <c r="B3511" s="338" t="s">
        <v>4127</v>
      </c>
      <c r="C3511" s="337" t="s">
        <v>474</v>
      </c>
      <c r="D3511" s="339">
        <v>24.65</v>
      </c>
    </row>
    <row r="3512" spans="1:4" ht="54">
      <c r="A3512" s="337">
        <v>89689</v>
      </c>
      <c r="B3512" s="338" t="s">
        <v>4128</v>
      </c>
      <c r="C3512" s="337" t="s">
        <v>474</v>
      </c>
      <c r="D3512" s="339">
        <v>26.52</v>
      </c>
    </row>
    <row r="3513" spans="1:4" ht="67.5">
      <c r="A3513" s="337">
        <v>89690</v>
      </c>
      <c r="B3513" s="338" t="s">
        <v>4129</v>
      </c>
      <c r="C3513" s="337" t="s">
        <v>474</v>
      </c>
      <c r="D3513" s="339">
        <v>45.66</v>
      </c>
    </row>
    <row r="3514" spans="1:4" ht="40.5">
      <c r="A3514" s="337">
        <v>89691</v>
      </c>
      <c r="B3514" s="338" t="s">
        <v>4130</v>
      </c>
      <c r="C3514" s="337" t="s">
        <v>474</v>
      </c>
      <c r="D3514" s="339">
        <v>8.6</v>
      </c>
    </row>
    <row r="3515" spans="1:4" ht="67.5">
      <c r="A3515" s="337">
        <v>89692</v>
      </c>
      <c r="B3515" s="338" t="s">
        <v>4131</v>
      </c>
      <c r="C3515" s="337" t="s">
        <v>474</v>
      </c>
      <c r="D3515" s="339">
        <v>44.14</v>
      </c>
    </row>
    <row r="3516" spans="1:4" ht="54">
      <c r="A3516" s="337">
        <v>89693</v>
      </c>
      <c r="B3516" s="338" t="s">
        <v>4132</v>
      </c>
      <c r="C3516" s="337" t="s">
        <v>474</v>
      </c>
      <c r="D3516" s="339">
        <v>40.46</v>
      </c>
    </row>
    <row r="3517" spans="1:4" ht="54">
      <c r="A3517" s="337">
        <v>89694</v>
      </c>
      <c r="B3517" s="338" t="s">
        <v>4133</v>
      </c>
      <c r="C3517" s="337" t="s">
        <v>474</v>
      </c>
      <c r="D3517" s="339">
        <v>14.73</v>
      </c>
    </row>
    <row r="3518" spans="1:4" ht="40.5">
      <c r="A3518" s="337">
        <v>89695</v>
      </c>
      <c r="B3518" s="338" t="s">
        <v>4134</v>
      </c>
      <c r="C3518" s="337" t="s">
        <v>474</v>
      </c>
      <c r="D3518" s="339">
        <v>13.58</v>
      </c>
    </row>
    <row r="3519" spans="1:4" ht="54">
      <c r="A3519" s="337">
        <v>89696</v>
      </c>
      <c r="B3519" s="338" t="s">
        <v>4135</v>
      </c>
      <c r="C3519" s="337" t="s">
        <v>474</v>
      </c>
      <c r="D3519" s="339">
        <v>31.73</v>
      </c>
    </row>
    <row r="3520" spans="1:4" ht="40.5">
      <c r="A3520" s="337">
        <v>89697</v>
      </c>
      <c r="B3520" s="338" t="s">
        <v>4136</v>
      </c>
      <c r="C3520" s="337" t="s">
        <v>474</v>
      </c>
      <c r="D3520" s="339">
        <v>10.68</v>
      </c>
    </row>
    <row r="3521" spans="1:4" ht="67.5">
      <c r="A3521" s="337">
        <v>89698</v>
      </c>
      <c r="B3521" s="338" t="s">
        <v>4137</v>
      </c>
      <c r="C3521" s="337" t="s">
        <v>474</v>
      </c>
      <c r="D3521" s="339">
        <v>126.1</v>
      </c>
    </row>
    <row r="3522" spans="1:4" ht="67.5">
      <c r="A3522" s="337">
        <v>89699</v>
      </c>
      <c r="B3522" s="338" t="s">
        <v>4138</v>
      </c>
      <c r="C3522" s="337" t="s">
        <v>474</v>
      </c>
      <c r="D3522" s="339">
        <v>102.69</v>
      </c>
    </row>
    <row r="3523" spans="1:4" ht="54">
      <c r="A3523" s="337">
        <v>89700</v>
      </c>
      <c r="B3523" s="338" t="s">
        <v>4139</v>
      </c>
      <c r="C3523" s="337" t="s">
        <v>474</v>
      </c>
      <c r="D3523" s="339">
        <v>15.93</v>
      </c>
    </row>
    <row r="3524" spans="1:4" ht="54">
      <c r="A3524" s="337">
        <v>89701</v>
      </c>
      <c r="B3524" s="338" t="s">
        <v>4140</v>
      </c>
      <c r="C3524" s="337" t="s">
        <v>474</v>
      </c>
      <c r="D3524" s="339">
        <v>92.12</v>
      </c>
    </row>
    <row r="3525" spans="1:4" ht="40.5">
      <c r="A3525" s="337">
        <v>89702</v>
      </c>
      <c r="B3525" s="338" t="s">
        <v>4141</v>
      </c>
      <c r="C3525" s="337" t="s">
        <v>474</v>
      </c>
      <c r="D3525" s="339">
        <v>15.93</v>
      </c>
    </row>
    <row r="3526" spans="1:4" ht="54">
      <c r="A3526" s="337">
        <v>89703</v>
      </c>
      <c r="B3526" s="338" t="s">
        <v>4142</v>
      </c>
      <c r="C3526" s="337" t="s">
        <v>474</v>
      </c>
      <c r="D3526" s="339">
        <v>37.229999999999997</v>
      </c>
    </row>
    <row r="3527" spans="1:4" ht="54">
      <c r="A3527" s="337">
        <v>89704</v>
      </c>
      <c r="B3527" s="338" t="s">
        <v>4143</v>
      </c>
      <c r="C3527" s="337" t="s">
        <v>474</v>
      </c>
      <c r="D3527" s="339">
        <v>71.92</v>
      </c>
    </row>
    <row r="3528" spans="1:4" ht="40.5">
      <c r="A3528" s="337">
        <v>89705</v>
      </c>
      <c r="B3528" s="338" t="s">
        <v>4144</v>
      </c>
      <c r="C3528" s="337" t="s">
        <v>474</v>
      </c>
      <c r="D3528" s="339">
        <v>17.75</v>
      </c>
    </row>
    <row r="3529" spans="1:4" ht="40.5">
      <c r="A3529" s="337">
        <v>89706</v>
      </c>
      <c r="B3529" s="338" t="s">
        <v>4145</v>
      </c>
      <c r="C3529" s="337" t="s">
        <v>474</v>
      </c>
      <c r="D3529" s="339">
        <v>40.32</v>
      </c>
    </row>
    <row r="3530" spans="1:4" ht="54">
      <c r="A3530" s="337">
        <v>89718</v>
      </c>
      <c r="B3530" s="338" t="s">
        <v>4146</v>
      </c>
      <c r="C3530" s="337" t="s">
        <v>172</v>
      </c>
      <c r="D3530" s="339">
        <v>32.090000000000003</v>
      </c>
    </row>
    <row r="3531" spans="1:4" ht="54">
      <c r="A3531" s="337">
        <v>89719</v>
      </c>
      <c r="B3531" s="338" t="s">
        <v>4147</v>
      </c>
      <c r="C3531" s="337" t="s">
        <v>474</v>
      </c>
      <c r="D3531" s="339">
        <v>7.7</v>
      </c>
    </row>
    <row r="3532" spans="1:4" ht="54">
      <c r="A3532" s="337">
        <v>89720</v>
      </c>
      <c r="B3532" s="338" t="s">
        <v>4148</v>
      </c>
      <c r="C3532" s="337" t="s">
        <v>474</v>
      </c>
      <c r="D3532" s="339">
        <v>9.27</v>
      </c>
    </row>
    <row r="3533" spans="1:4" ht="54">
      <c r="A3533" s="337">
        <v>89721</v>
      </c>
      <c r="B3533" s="338" t="s">
        <v>4149</v>
      </c>
      <c r="C3533" s="337" t="s">
        <v>474</v>
      </c>
      <c r="D3533" s="339">
        <v>9.7899999999999991</v>
      </c>
    </row>
    <row r="3534" spans="1:4" ht="54">
      <c r="A3534" s="337">
        <v>89723</v>
      </c>
      <c r="B3534" s="338" t="s">
        <v>4150</v>
      </c>
      <c r="C3534" s="337" t="s">
        <v>474</v>
      </c>
      <c r="D3534" s="339">
        <v>12.97</v>
      </c>
    </row>
    <row r="3535" spans="1:4" ht="67.5">
      <c r="A3535" s="337">
        <v>89724</v>
      </c>
      <c r="B3535" s="338" t="s">
        <v>4151</v>
      </c>
      <c r="C3535" s="337" t="s">
        <v>474</v>
      </c>
      <c r="D3535" s="339">
        <v>5.51</v>
      </c>
    </row>
    <row r="3536" spans="1:4" ht="54">
      <c r="A3536" s="337">
        <v>89725</v>
      </c>
      <c r="B3536" s="338" t="s">
        <v>4152</v>
      </c>
      <c r="C3536" s="337" t="s">
        <v>474</v>
      </c>
      <c r="D3536" s="339">
        <v>12.61</v>
      </c>
    </row>
    <row r="3537" spans="1:4" ht="67.5">
      <c r="A3537" s="337">
        <v>89726</v>
      </c>
      <c r="B3537" s="338" t="s">
        <v>4153</v>
      </c>
      <c r="C3537" s="337" t="s">
        <v>474</v>
      </c>
      <c r="D3537" s="339">
        <v>6.24</v>
      </c>
    </row>
    <row r="3538" spans="1:4" ht="54">
      <c r="A3538" s="337">
        <v>89727</v>
      </c>
      <c r="B3538" s="338" t="s">
        <v>4154</v>
      </c>
      <c r="C3538" s="337" t="s">
        <v>474</v>
      </c>
      <c r="D3538" s="339">
        <v>14.29</v>
      </c>
    </row>
    <row r="3539" spans="1:4" ht="67.5">
      <c r="A3539" s="337">
        <v>89728</v>
      </c>
      <c r="B3539" s="338" t="s">
        <v>4155</v>
      </c>
      <c r="C3539" s="337" t="s">
        <v>474</v>
      </c>
      <c r="D3539" s="339">
        <v>7.31</v>
      </c>
    </row>
    <row r="3540" spans="1:4" ht="54">
      <c r="A3540" s="337">
        <v>89729</v>
      </c>
      <c r="B3540" s="338" t="s">
        <v>4156</v>
      </c>
      <c r="C3540" s="337" t="s">
        <v>474</v>
      </c>
      <c r="D3540" s="339">
        <v>20.03</v>
      </c>
    </row>
    <row r="3541" spans="1:4" ht="67.5">
      <c r="A3541" s="337">
        <v>89730</v>
      </c>
      <c r="B3541" s="338" t="s">
        <v>4157</v>
      </c>
      <c r="C3541" s="337" t="s">
        <v>474</v>
      </c>
      <c r="D3541" s="339">
        <v>7.41</v>
      </c>
    </row>
    <row r="3542" spans="1:4" ht="67.5">
      <c r="A3542" s="337">
        <v>89731</v>
      </c>
      <c r="B3542" s="338" t="s">
        <v>4158</v>
      </c>
      <c r="C3542" s="337" t="s">
        <v>474</v>
      </c>
      <c r="D3542" s="339">
        <v>7.19</v>
      </c>
    </row>
    <row r="3543" spans="1:4" ht="67.5">
      <c r="A3543" s="337">
        <v>89732</v>
      </c>
      <c r="B3543" s="338" t="s">
        <v>4159</v>
      </c>
      <c r="C3543" s="337" t="s">
        <v>474</v>
      </c>
      <c r="D3543" s="339">
        <v>7.72</v>
      </c>
    </row>
    <row r="3544" spans="1:4" ht="67.5">
      <c r="A3544" s="337">
        <v>89733</v>
      </c>
      <c r="B3544" s="338" t="s">
        <v>4160</v>
      </c>
      <c r="C3544" s="337" t="s">
        <v>474</v>
      </c>
      <c r="D3544" s="339">
        <v>12.13</v>
      </c>
    </row>
    <row r="3545" spans="1:4" ht="54">
      <c r="A3545" s="337">
        <v>89734</v>
      </c>
      <c r="B3545" s="338" t="s">
        <v>4161</v>
      </c>
      <c r="C3545" s="337" t="s">
        <v>474</v>
      </c>
      <c r="D3545" s="339">
        <v>20.03</v>
      </c>
    </row>
    <row r="3546" spans="1:4" ht="67.5">
      <c r="A3546" s="337">
        <v>89735</v>
      </c>
      <c r="B3546" s="338" t="s">
        <v>4162</v>
      </c>
      <c r="C3546" s="337" t="s">
        <v>474</v>
      </c>
      <c r="D3546" s="339">
        <v>12.03</v>
      </c>
    </row>
    <row r="3547" spans="1:4" ht="54">
      <c r="A3547" s="337">
        <v>89736</v>
      </c>
      <c r="B3547" s="338" t="s">
        <v>4163</v>
      </c>
      <c r="C3547" s="337" t="s">
        <v>474</v>
      </c>
      <c r="D3547" s="339">
        <v>5.08</v>
      </c>
    </row>
    <row r="3548" spans="1:4" ht="67.5">
      <c r="A3548" s="337">
        <v>89737</v>
      </c>
      <c r="B3548" s="338" t="s">
        <v>4164</v>
      </c>
      <c r="C3548" s="337" t="s">
        <v>474</v>
      </c>
      <c r="D3548" s="339">
        <v>12.39</v>
      </c>
    </row>
    <row r="3549" spans="1:4" ht="54">
      <c r="A3549" s="337">
        <v>89738</v>
      </c>
      <c r="B3549" s="338" t="s">
        <v>4165</v>
      </c>
      <c r="C3549" s="337" t="s">
        <v>474</v>
      </c>
      <c r="D3549" s="339">
        <v>10.55</v>
      </c>
    </row>
    <row r="3550" spans="1:4" ht="67.5">
      <c r="A3550" s="337">
        <v>89739</v>
      </c>
      <c r="B3550" s="338" t="s">
        <v>4166</v>
      </c>
      <c r="C3550" s="337" t="s">
        <v>474</v>
      </c>
      <c r="D3550" s="339">
        <v>13.16</v>
      </c>
    </row>
    <row r="3551" spans="1:4" ht="54">
      <c r="A3551" s="337">
        <v>89740</v>
      </c>
      <c r="B3551" s="338" t="s">
        <v>4167</v>
      </c>
      <c r="C3551" s="337" t="s">
        <v>474</v>
      </c>
      <c r="D3551" s="339">
        <v>4.6100000000000003</v>
      </c>
    </row>
    <row r="3552" spans="1:4" ht="54">
      <c r="A3552" s="337">
        <v>89741</v>
      </c>
      <c r="B3552" s="338" t="s">
        <v>4168</v>
      </c>
      <c r="C3552" s="337" t="s">
        <v>474</v>
      </c>
      <c r="D3552" s="339">
        <v>14.71</v>
      </c>
    </row>
    <row r="3553" spans="1:4" ht="67.5">
      <c r="A3553" s="337">
        <v>89742</v>
      </c>
      <c r="B3553" s="338" t="s">
        <v>4169</v>
      </c>
      <c r="C3553" s="337" t="s">
        <v>474</v>
      </c>
      <c r="D3553" s="339">
        <v>21.43</v>
      </c>
    </row>
    <row r="3554" spans="1:4" ht="67.5">
      <c r="A3554" s="337">
        <v>89743</v>
      </c>
      <c r="B3554" s="338" t="s">
        <v>4170</v>
      </c>
      <c r="C3554" s="337" t="s">
        <v>474</v>
      </c>
      <c r="D3554" s="339">
        <v>28.51</v>
      </c>
    </row>
    <row r="3555" spans="1:4" ht="67.5">
      <c r="A3555" s="337">
        <v>89744</v>
      </c>
      <c r="B3555" s="338" t="s">
        <v>4171</v>
      </c>
      <c r="C3555" s="337" t="s">
        <v>474</v>
      </c>
      <c r="D3555" s="339">
        <v>16.34</v>
      </c>
    </row>
    <row r="3556" spans="1:4" ht="54">
      <c r="A3556" s="337">
        <v>89745</v>
      </c>
      <c r="B3556" s="338" t="s">
        <v>4172</v>
      </c>
      <c r="C3556" s="337" t="s">
        <v>474</v>
      </c>
      <c r="D3556" s="339">
        <v>23.62</v>
      </c>
    </row>
    <row r="3557" spans="1:4" ht="67.5">
      <c r="A3557" s="337">
        <v>89746</v>
      </c>
      <c r="B3557" s="338" t="s">
        <v>4173</v>
      </c>
      <c r="C3557" s="337" t="s">
        <v>474</v>
      </c>
      <c r="D3557" s="339">
        <v>16.41</v>
      </c>
    </row>
    <row r="3558" spans="1:4" ht="54">
      <c r="A3558" s="337">
        <v>89747</v>
      </c>
      <c r="B3558" s="338" t="s">
        <v>4174</v>
      </c>
      <c r="C3558" s="337" t="s">
        <v>474</v>
      </c>
      <c r="D3558" s="339">
        <v>8.6999999999999993</v>
      </c>
    </row>
    <row r="3559" spans="1:4" ht="67.5">
      <c r="A3559" s="337">
        <v>89748</v>
      </c>
      <c r="B3559" s="338" t="s">
        <v>4175</v>
      </c>
      <c r="C3559" s="337" t="s">
        <v>474</v>
      </c>
      <c r="D3559" s="339">
        <v>24.8</v>
      </c>
    </row>
    <row r="3560" spans="1:4" ht="54">
      <c r="A3560" s="337">
        <v>89749</v>
      </c>
      <c r="B3560" s="338" t="s">
        <v>4176</v>
      </c>
      <c r="C3560" s="337" t="s">
        <v>474</v>
      </c>
      <c r="D3560" s="339">
        <v>10.55</v>
      </c>
    </row>
    <row r="3561" spans="1:4" ht="67.5">
      <c r="A3561" s="337">
        <v>89750</v>
      </c>
      <c r="B3561" s="338" t="s">
        <v>4177</v>
      </c>
      <c r="C3561" s="337" t="s">
        <v>474</v>
      </c>
      <c r="D3561" s="339">
        <v>43.39</v>
      </c>
    </row>
    <row r="3562" spans="1:4" ht="54">
      <c r="A3562" s="337">
        <v>89751</v>
      </c>
      <c r="B3562" s="338" t="s">
        <v>4178</v>
      </c>
      <c r="C3562" s="337" t="s">
        <v>474</v>
      </c>
      <c r="D3562" s="339">
        <v>3.79</v>
      </c>
    </row>
    <row r="3563" spans="1:4" ht="67.5">
      <c r="A3563" s="337">
        <v>89752</v>
      </c>
      <c r="B3563" s="338" t="s">
        <v>4179</v>
      </c>
      <c r="C3563" s="337" t="s">
        <v>474</v>
      </c>
      <c r="D3563" s="339">
        <v>4.34</v>
      </c>
    </row>
    <row r="3564" spans="1:4" ht="67.5">
      <c r="A3564" s="337">
        <v>89753</v>
      </c>
      <c r="B3564" s="338" t="s">
        <v>4180</v>
      </c>
      <c r="C3564" s="337" t="s">
        <v>474</v>
      </c>
      <c r="D3564" s="339">
        <v>6.04</v>
      </c>
    </row>
    <row r="3565" spans="1:4" ht="67.5">
      <c r="A3565" s="337">
        <v>89754</v>
      </c>
      <c r="B3565" s="338" t="s">
        <v>4181</v>
      </c>
      <c r="C3565" s="337" t="s">
        <v>474</v>
      </c>
      <c r="D3565" s="339">
        <v>10.78</v>
      </c>
    </row>
    <row r="3566" spans="1:4" ht="54">
      <c r="A3566" s="337">
        <v>89755</v>
      </c>
      <c r="B3566" s="338" t="s">
        <v>4182</v>
      </c>
      <c r="C3566" s="337" t="s">
        <v>474</v>
      </c>
      <c r="D3566" s="339">
        <v>8.06</v>
      </c>
    </row>
    <row r="3567" spans="1:4" ht="54">
      <c r="A3567" s="337">
        <v>89756</v>
      </c>
      <c r="B3567" s="338" t="s">
        <v>4183</v>
      </c>
      <c r="C3567" s="337" t="s">
        <v>474</v>
      </c>
      <c r="D3567" s="339">
        <v>14.33</v>
      </c>
    </row>
    <row r="3568" spans="1:4" ht="54">
      <c r="A3568" s="337">
        <v>89757</v>
      </c>
      <c r="B3568" s="338" t="s">
        <v>4184</v>
      </c>
      <c r="C3568" s="337" t="s">
        <v>474</v>
      </c>
      <c r="D3568" s="339">
        <v>22.31</v>
      </c>
    </row>
    <row r="3569" spans="1:4" ht="54">
      <c r="A3569" s="337">
        <v>89758</v>
      </c>
      <c r="B3569" s="338" t="s">
        <v>4185</v>
      </c>
      <c r="C3569" s="337" t="s">
        <v>474</v>
      </c>
      <c r="D3569" s="339">
        <v>35.340000000000003</v>
      </c>
    </row>
    <row r="3570" spans="1:4" ht="54">
      <c r="A3570" s="337">
        <v>89759</v>
      </c>
      <c r="B3570" s="338" t="s">
        <v>4186</v>
      </c>
      <c r="C3570" s="337" t="s">
        <v>474</v>
      </c>
      <c r="D3570" s="339">
        <v>5.28</v>
      </c>
    </row>
    <row r="3571" spans="1:4" ht="54">
      <c r="A3571" s="337">
        <v>89760</v>
      </c>
      <c r="B3571" s="338" t="s">
        <v>4187</v>
      </c>
      <c r="C3571" s="337" t="s">
        <v>474</v>
      </c>
      <c r="D3571" s="339">
        <v>13.5</v>
      </c>
    </row>
    <row r="3572" spans="1:4" ht="54">
      <c r="A3572" s="337">
        <v>89761</v>
      </c>
      <c r="B3572" s="338" t="s">
        <v>4188</v>
      </c>
      <c r="C3572" s="337" t="s">
        <v>474</v>
      </c>
      <c r="D3572" s="339">
        <v>22.86</v>
      </c>
    </row>
    <row r="3573" spans="1:4" ht="54">
      <c r="A3573" s="337">
        <v>89762</v>
      </c>
      <c r="B3573" s="338" t="s">
        <v>4189</v>
      </c>
      <c r="C3573" s="337" t="s">
        <v>474</v>
      </c>
      <c r="D3573" s="339">
        <v>32.9</v>
      </c>
    </row>
    <row r="3574" spans="1:4" ht="54">
      <c r="A3574" s="337">
        <v>89763</v>
      </c>
      <c r="B3574" s="338" t="s">
        <v>4190</v>
      </c>
      <c r="C3574" s="337" t="s">
        <v>474</v>
      </c>
      <c r="D3574" s="339">
        <v>132.22</v>
      </c>
    </row>
    <row r="3575" spans="1:4" ht="54">
      <c r="A3575" s="337">
        <v>89764</v>
      </c>
      <c r="B3575" s="338" t="s">
        <v>4191</v>
      </c>
      <c r="C3575" s="337" t="s">
        <v>474</v>
      </c>
      <c r="D3575" s="339">
        <v>24.88</v>
      </c>
    </row>
    <row r="3576" spans="1:4" ht="40.5">
      <c r="A3576" s="337">
        <v>89765</v>
      </c>
      <c r="B3576" s="338" t="s">
        <v>4192</v>
      </c>
      <c r="C3576" s="337" t="s">
        <v>474</v>
      </c>
      <c r="D3576" s="339">
        <v>9.85</v>
      </c>
    </row>
    <row r="3577" spans="1:4" ht="54">
      <c r="A3577" s="337">
        <v>89766</v>
      </c>
      <c r="B3577" s="338" t="s">
        <v>4193</v>
      </c>
      <c r="C3577" s="337" t="s">
        <v>474</v>
      </c>
      <c r="D3577" s="339">
        <v>15.1</v>
      </c>
    </row>
    <row r="3578" spans="1:4" ht="54">
      <c r="A3578" s="337">
        <v>89767</v>
      </c>
      <c r="B3578" s="338" t="s">
        <v>4194</v>
      </c>
      <c r="C3578" s="337" t="s">
        <v>474</v>
      </c>
      <c r="D3578" s="339">
        <v>15.1</v>
      </c>
    </row>
    <row r="3579" spans="1:4" ht="40.5">
      <c r="A3579" s="337">
        <v>89768</v>
      </c>
      <c r="B3579" s="338" t="s">
        <v>4195</v>
      </c>
      <c r="C3579" s="337" t="s">
        <v>474</v>
      </c>
      <c r="D3579" s="339">
        <v>14.96</v>
      </c>
    </row>
    <row r="3580" spans="1:4" ht="40.5">
      <c r="A3580" s="337">
        <v>89769</v>
      </c>
      <c r="B3580" s="338" t="s">
        <v>4196</v>
      </c>
      <c r="C3580" s="337" t="s">
        <v>474</v>
      </c>
      <c r="D3580" s="339">
        <v>37</v>
      </c>
    </row>
    <row r="3581" spans="1:4" ht="40.5">
      <c r="A3581" s="337">
        <v>89772</v>
      </c>
      <c r="B3581" s="338" t="s">
        <v>4197</v>
      </c>
      <c r="C3581" s="337" t="s">
        <v>172</v>
      </c>
      <c r="D3581" s="339">
        <v>58.38</v>
      </c>
    </row>
    <row r="3582" spans="1:4" ht="67.5">
      <c r="A3582" s="337">
        <v>89774</v>
      </c>
      <c r="B3582" s="338" t="s">
        <v>4198</v>
      </c>
      <c r="C3582" s="337" t="s">
        <v>474</v>
      </c>
      <c r="D3582" s="339">
        <v>10.11</v>
      </c>
    </row>
    <row r="3583" spans="1:4" ht="67.5">
      <c r="A3583" s="337">
        <v>89776</v>
      </c>
      <c r="B3583" s="338" t="s">
        <v>4199</v>
      </c>
      <c r="C3583" s="337" t="s">
        <v>474</v>
      </c>
      <c r="D3583" s="339">
        <v>13.44</v>
      </c>
    </row>
    <row r="3584" spans="1:4" ht="40.5">
      <c r="A3584" s="337">
        <v>89777</v>
      </c>
      <c r="B3584" s="338" t="s">
        <v>4200</v>
      </c>
      <c r="C3584" s="337" t="s">
        <v>474</v>
      </c>
      <c r="D3584" s="339">
        <v>18.91</v>
      </c>
    </row>
    <row r="3585" spans="1:4" ht="67.5">
      <c r="A3585" s="337">
        <v>89778</v>
      </c>
      <c r="B3585" s="338" t="s">
        <v>4201</v>
      </c>
      <c r="C3585" s="337" t="s">
        <v>474</v>
      </c>
      <c r="D3585" s="339">
        <v>12.69</v>
      </c>
    </row>
    <row r="3586" spans="1:4" ht="67.5">
      <c r="A3586" s="337">
        <v>89779</v>
      </c>
      <c r="B3586" s="338" t="s">
        <v>4202</v>
      </c>
      <c r="C3586" s="337" t="s">
        <v>474</v>
      </c>
      <c r="D3586" s="339">
        <v>19.350000000000001</v>
      </c>
    </row>
    <row r="3587" spans="1:4" ht="40.5">
      <c r="A3587" s="337">
        <v>89780</v>
      </c>
      <c r="B3587" s="338" t="s">
        <v>4203</v>
      </c>
      <c r="C3587" s="337" t="s">
        <v>474</v>
      </c>
      <c r="D3587" s="339">
        <v>18.91</v>
      </c>
    </row>
    <row r="3588" spans="1:4" ht="40.5">
      <c r="A3588" s="337">
        <v>89781</v>
      </c>
      <c r="B3588" s="338" t="s">
        <v>4204</v>
      </c>
      <c r="C3588" s="337" t="s">
        <v>474</v>
      </c>
      <c r="D3588" s="339">
        <v>28.52</v>
      </c>
    </row>
    <row r="3589" spans="1:4" ht="67.5">
      <c r="A3589" s="337">
        <v>89782</v>
      </c>
      <c r="B3589" s="338" t="s">
        <v>4205</v>
      </c>
      <c r="C3589" s="337" t="s">
        <v>474</v>
      </c>
      <c r="D3589" s="339">
        <v>7.98</v>
      </c>
    </row>
    <row r="3590" spans="1:4" ht="67.5">
      <c r="A3590" s="337">
        <v>89783</v>
      </c>
      <c r="B3590" s="338" t="s">
        <v>4206</v>
      </c>
      <c r="C3590" s="337" t="s">
        <v>474</v>
      </c>
      <c r="D3590" s="339">
        <v>8.35</v>
      </c>
    </row>
    <row r="3591" spans="1:4" ht="67.5">
      <c r="A3591" s="337">
        <v>89784</v>
      </c>
      <c r="B3591" s="338" t="s">
        <v>4207</v>
      </c>
      <c r="C3591" s="337" t="s">
        <v>474</v>
      </c>
      <c r="D3591" s="339">
        <v>12.94</v>
      </c>
    </row>
    <row r="3592" spans="1:4" ht="67.5">
      <c r="A3592" s="337">
        <v>89785</v>
      </c>
      <c r="B3592" s="338" t="s">
        <v>4208</v>
      </c>
      <c r="C3592" s="337" t="s">
        <v>474</v>
      </c>
      <c r="D3592" s="339">
        <v>13.76</v>
      </c>
    </row>
    <row r="3593" spans="1:4" ht="67.5">
      <c r="A3593" s="337">
        <v>89786</v>
      </c>
      <c r="B3593" s="338" t="s">
        <v>4209</v>
      </c>
      <c r="C3593" s="337" t="s">
        <v>474</v>
      </c>
      <c r="D3593" s="339">
        <v>21.46</v>
      </c>
    </row>
    <row r="3594" spans="1:4" ht="40.5">
      <c r="A3594" s="337">
        <v>89787</v>
      </c>
      <c r="B3594" s="338" t="s">
        <v>4210</v>
      </c>
      <c r="C3594" s="337" t="s">
        <v>474</v>
      </c>
      <c r="D3594" s="339">
        <v>28.52</v>
      </c>
    </row>
    <row r="3595" spans="1:4" ht="40.5">
      <c r="A3595" s="337">
        <v>89788</v>
      </c>
      <c r="B3595" s="338" t="s">
        <v>4211</v>
      </c>
      <c r="C3595" s="337" t="s">
        <v>474</v>
      </c>
      <c r="D3595" s="339">
        <v>56.7</v>
      </c>
    </row>
    <row r="3596" spans="1:4" ht="40.5">
      <c r="A3596" s="337">
        <v>89789</v>
      </c>
      <c r="B3596" s="338" t="s">
        <v>4212</v>
      </c>
      <c r="C3596" s="337" t="s">
        <v>474</v>
      </c>
      <c r="D3596" s="339">
        <v>57.62</v>
      </c>
    </row>
    <row r="3597" spans="1:4" ht="40.5">
      <c r="A3597" s="337">
        <v>89790</v>
      </c>
      <c r="B3597" s="338" t="s">
        <v>4213</v>
      </c>
      <c r="C3597" s="337" t="s">
        <v>474</v>
      </c>
      <c r="D3597" s="339">
        <v>142.16999999999999</v>
      </c>
    </row>
    <row r="3598" spans="1:4" ht="40.5">
      <c r="A3598" s="337">
        <v>89791</v>
      </c>
      <c r="B3598" s="338" t="s">
        <v>4214</v>
      </c>
      <c r="C3598" s="337" t="s">
        <v>474</v>
      </c>
      <c r="D3598" s="339">
        <v>145.57</v>
      </c>
    </row>
    <row r="3599" spans="1:4" ht="40.5">
      <c r="A3599" s="337">
        <v>89792</v>
      </c>
      <c r="B3599" s="338" t="s">
        <v>4215</v>
      </c>
      <c r="C3599" s="337" t="s">
        <v>474</v>
      </c>
      <c r="D3599" s="339">
        <v>166.61</v>
      </c>
    </row>
    <row r="3600" spans="1:4" ht="40.5">
      <c r="A3600" s="337">
        <v>89793</v>
      </c>
      <c r="B3600" s="338" t="s">
        <v>4216</v>
      </c>
      <c r="C3600" s="337" t="s">
        <v>474</v>
      </c>
      <c r="D3600" s="339">
        <v>171.17</v>
      </c>
    </row>
    <row r="3601" spans="1:4" ht="40.5">
      <c r="A3601" s="337">
        <v>89794</v>
      </c>
      <c r="B3601" s="338" t="s">
        <v>4217</v>
      </c>
      <c r="C3601" s="337" t="s">
        <v>474</v>
      </c>
      <c r="D3601" s="339">
        <v>12.76</v>
      </c>
    </row>
    <row r="3602" spans="1:4" ht="67.5">
      <c r="A3602" s="337">
        <v>89795</v>
      </c>
      <c r="B3602" s="338" t="s">
        <v>4218</v>
      </c>
      <c r="C3602" s="337" t="s">
        <v>474</v>
      </c>
      <c r="D3602" s="339">
        <v>22.6</v>
      </c>
    </row>
    <row r="3603" spans="1:4" ht="67.5">
      <c r="A3603" s="337">
        <v>89796</v>
      </c>
      <c r="B3603" s="338" t="s">
        <v>4219</v>
      </c>
      <c r="C3603" s="337" t="s">
        <v>474</v>
      </c>
      <c r="D3603" s="339">
        <v>26.62</v>
      </c>
    </row>
    <row r="3604" spans="1:4" ht="67.5">
      <c r="A3604" s="337">
        <v>89797</v>
      </c>
      <c r="B3604" s="338" t="s">
        <v>4220</v>
      </c>
      <c r="C3604" s="337" t="s">
        <v>474</v>
      </c>
      <c r="D3604" s="339">
        <v>30.92</v>
      </c>
    </row>
    <row r="3605" spans="1:4" ht="67.5">
      <c r="A3605" s="337">
        <v>89801</v>
      </c>
      <c r="B3605" s="338" t="s">
        <v>4221</v>
      </c>
      <c r="C3605" s="337" t="s">
        <v>474</v>
      </c>
      <c r="D3605" s="339">
        <v>4.3</v>
      </c>
    </row>
    <row r="3606" spans="1:4" ht="67.5">
      <c r="A3606" s="337">
        <v>89802</v>
      </c>
      <c r="B3606" s="338" t="s">
        <v>4222</v>
      </c>
      <c r="C3606" s="337" t="s">
        <v>474</v>
      </c>
      <c r="D3606" s="339">
        <v>4.83</v>
      </c>
    </row>
    <row r="3607" spans="1:4" ht="67.5">
      <c r="A3607" s="337">
        <v>89803</v>
      </c>
      <c r="B3607" s="338" t="s">
        <v>4223</v>
      </c>
      <c r="C3607" s="337" t="s">
        <v>474</v>
      </c>
      <c r="D3607" s="339">
        <v>9.24</v>
      </c>
    </row>
    <row r="3608" spans="1:4" ht="67.5">
      <c r="A3608" s="337">
        <v>89804</v>
      </c>
      <c r="B3608" s="338" t="s">
        <v>4224</v>
      </c>
      <c r="C3608" s="337" t="s">
        <v>474</v>
      </c>
      <c r="D3608" s="339">
        <v>9.14</v>
      </c>
    </row>
    <row r="3609" spans="1:4" ht="67.5">
      <c r="A3609" s="337">
        <v>89805</v>
      </c>
      <c r="B3609" s="338" t="s">
        <v>4225</v>
      </c>
      <c r="C3609" s="337" t="s">
        <v>474</v>
      </c>
      <c r="D3609" s="339">
        <v>8.85</v>
      </c>
    </row>
    <row r="3610" spans="1:4" ht="67.5">
      <c r="A3610" s="337">
        <v>89806</v>
      </c>
      <c r="B3610" s="338" t="s">
        <v>4226</v>
      </c>
      <c r="C3610" s="337" t="s">
        <v>474</v>
      </c>
      <c r="D3610" s="339">
        <v>9.6199999999999992</v>
      </c>
    </row>
    <row r="3611" spans="1:4" ht="67.5">
      <c r="A3611" s="337">
        <v>89807</v>
      </c>
      <c r="B3611" s="338" t="s">
        <v>4227</v>
      </c>
      <c r="C3611" s="337" t="s">
        <v>474</v>
      </c>
      <c r="D3611" s="339">
        <v>17.89</v>
      </c>
    </row>
    <row r="3612" spans="1:4" ht="67.5">
      <c r="A3612" s="337">
        <v>89808</v>
      </c>
      <c r="B3612" s="338" t="s">
        <v>4228</v>
      </c>
      <c r="C3612" s="337" t="s">
        <v>474</v>
      </c>
      <c r="D3612" s="339">
        <v>24.97</v>
      </c>
    </row>
    <row r="3613" spans="1:4" ht="67.5">
      <c r="A3613" s="337">
        <v>89809</v>
      </c>
      <c r="B3613" s="338" t="s">
        <v>4229</v>
      </c>
      <c r="C3613" s="337" t="s">
        <v>474</v>
      </c>
      <c r="D3613" s="339">
        <v>12.16</v>
      </c>
    </row>
    <row r="3614" spans="1:4" ht="67.5">
      <c r="A3614" s="337">
        <v>89810</v>
      </c>
      <c r="B3614" s="338" t="s">
        <v>4230</v>
      </c>
      <c r="C3614" s="337" t="s">
        <v>474</v>
      </c>
      <c r="D3614" s="339">
        <v>12.23</v>
      </c>
    </row>
    <row r="3615" spans="1:4" ht="67.5">
      <c r="A3615" s="337">
        <v>89811</v>
      </c>
      <c r="B3615" s="338" t="s">
        <v>4231</v>
      </c>
      <c r="C3615" s="337" t="s">
        <v>474</v>
      </c>
      <c r="D3615" s="339">
        <v>20.62</v>
      </c>
    </row>
    <row r="3616" spans="1:4" ht="67.5">
      <c r="A3616" s="337">
        <v>89812</v>
      </c>
      <c r="B3616" s="338" t="s">
        <v>4232</v>
      </c>
      <c r="C3616" s="337" t="s">
        <v>474</v>
      </c>
      <c r="D3616" s="339">
        <v>39.21</v>
      </c>
    </row>
    <row r="3617" spans="1:4" ht="67.5">
      <c r="A3617" s="337">
        <v>89813</v>
      </c>
      <c r="B3617" s="338" t="s">
        <v>4233</v>
      </c>
      <c r="C3617" s="337" t="s">
        <v>474</v>
      </c>
      <c r="D3617" s="339">
        <v>4.4400000000000004</v>
      </c>
    </row>
    <row r="3618" spans="1:4" ht="67.5">
      <c r="A3618" s="337">
        <v>89814</v>
      </c>
      <c r="B3618" s="338" t="s">
        <v>4234</v>
      </c>
      <c r="C3618" s="337" t="s">
        <v>474</v>
      </c>
      <c r="D3618" s="339">
        <v>9.18</v>
      </c>
    </row>
    <row r="3619" spans="1:4" ht="40.5">
      <c r="A3619" s="337">
        <v>89815</v>
      </c>
      <c r="B3619" s="338" t="s">
        <v>4235</v>
      </c>
      <c r="C3619" s="337" t="s">
        <v>474</v>
      </c>
      <c r="D3619" s="339">
        <v>22.12</v>
      </c>
    </row>
    <row r="3620" spans="1:4" ht="40.5">
      <c r="A3620" s="337">
        <v>89816</v>
      </c>
      <c r="B3620" s="338" t="s">
        <v>4236</v>
      </c>
      <c r="C3620" s="337" t="s">
        <v>474</v>
      </c>
      <c r="D3620" s="339">
        <v>32.159999999999997</v>
      </c>
    </row>
    <row r="3621" spans="1:4" ht="67.5">
      <c r="A3621" s="337">
        <v>89817</v>
      </c>
      <c r="B3621" s="338" t="s">
        <v>4237</v>
      </c>
      <c r="C3621" s="337" t="s">
        <v>474</v>
      </c>
      <c r="D3621" s="339">
        <v>7.86</v>
      </c>
    </row>
    <row r="3622" spans="1:4" ht="40.5">
      <c r="A3622" s="337">
        <v>89818</v>
      </c>
      <c r="B3622" s="338" t="s">
        <v>4238</v>
      </c>
      <c r="C3622" s="337" t="s">
        <v>474</v>
      </c>
      <c r="D3622" s="339">
        <v>131.47999999999999</v>
      </c>
    </row>
    <row r="3623" spans="1:4" ht="67.5">
      <c r="A3623" s="337">
        <v>89819</v>
      </c>
      <c r="B3623" s="338" t="s">
        <v>4239</v>
      </c>
      <c r="C3623" s="337" t="s">
        <v>474</v>
      </c>
      <c r="D3623" s="339">
        <v>11.19</v>
      </c>
    </row>
    <row r="3624" spans="1:4" ht="54">
      <c r="A3624" s="337">
        <v>89820</v>
      </c>
      <c r="B3624" s="338" t="s">
        <v>4240</v>
      </c>
      <c r="C3624" s="337" t="s">
        <v>474</v>
      </c>
      <c r="D3624" s="339">
        <v>24.14</v>
      </c>
    </row>
    <row r="3625" spans="1:4" ht="67.5">
      <c r="A3625" s="337">
        <v>89821</v>
      </c>
      <c r="B3625" s="338" t="s">
        <v>4241</v>
      </c>
      <c r="C3625" s="337" t="s">
        <v>474</v>
      </c>
      <c r="D3625" s="339">
        <v>9.7899999999999991</v>
      </c>
    </row>
    <row r="3626" spans="1:4" ht="40.5">
      <c r="A3626" s="337">
        <v>89822</v>
      </c>
      <c r="B3626" s="338" t="s">
        <v>4242</v>
      </c>
      <c r="C3626" s="337" t="s">
        <v>474</v>
      </c>
      <c r="D3626" s="339">
        <v>16.89</v>
      </c>
    </row>
    <row r="3627" spans="1:4" ht="67.5">
      <c r="A3627" s="337">
        <v>89823</v>
      </c>
      <c r="B3627" s="338" t="s">
        <v>4243</v>
      </c>
      <c r="C3627" s="337" t="s">
        <v>474</v>
      </c>
      <c r="D3627" s="339">
        <v>16.45</v>
      </c>
    </row>
    <row r="3628" spans="1:4" ht="40.5">
      <c r="A3628" s="337">
        <v>89824</v>
      </c>
      <c r="B3628" s="338" t="s">
        <v>4244</v>
      </c>
      <c r="C3628" s="337" t="s">
        <v>474</v>
      </c>
      <c r="D3628" s="339">
        <v>30.23</v>
      </c>
    </row>
    <row r="3629" spans="1:4" ht="67.5">
      <c r="A3629" s="337">
        <v>89825</v>
      </c>
      <c r="B3629" s="338" t="s">
        <v>4245</v>
      </c>
      <c r="C3629" s="337" t="s">
        <v>474</v>
      </c>
      <c r="D3629" s="339">
        <v>9.4</v>
      </c>
    </row>
    <row r="3630" spans="1:4" ht="54">
      <c r="A3630" s="337">
        <v>89826</v>
      </c>
      <c r="B3630" s="338" t="s">
        <v>4246</v>
      </c>
      <c r="C3630" s="337" t="s">
        <v>474</v>
      </c>
      <c r="D3630" s="339">
        <v>134.09</v>
      </c>
    </row>
    <row r="3631" spans="1:4" ht="67.5">
      <c r="A3631" s="337">
        <v>89827</v>
      </c>
      <c r="B3631" s="338" t="s">
        <v>4247</v>
      </c>
      <c r="C3631" s="337" t="s">
        <v>474</v>
      </c>
      <c r="D3631" s="339">
        <v>10.220000000000001</v>
      </c>
    </row>
    <row r="3632" spans="1:4" ht="40.5">
      <c r="A3632" s="337">
        <v>89828</v>
      </c>
      <c r="B3632" s="338" t="s">
        <v>4248</v>
      </c>
      <c r="C3632" s="337" t="s">
        <v>474</v>
      </c>
      <c r="D3632" s="339">
        <v>46.69</v>
      </c>
    </row>
    <row r="3633" spans="1:4" ht="67.5">
      <c r="A3633" s="337">
        <v>89829</v>
      </c>
      <c r="B3633" s="338" t="s">
        <v>4249</v>
      </c>
      <c r="C3633" s="337" t="s">
        <v>474</v>
      </c>
      <c r="D3633" s="339">
        <v>16.96</v>
      </c>
    </row>
    <row r="3634" spans="1:4" ht="67.5">
      <c r="A3634" s="337">
        <v>89830</v>
      </c>
      <c r="B3634" s="338" t="s">
        <v>4250</v>
      </c>
      <c r="C3634" s="337" t="s">
        <v>474</v>
      </c>
      <c r="D3634" s="339">
        <v>18.100000000000001</v>
      </c>
    </row>
    <row r="3635" spans="1:4" ht="40.5">
      <c r="A3635" s="337">
        <v>89831</v>
      </c>
      <c r="B3635" s="338" t="s">
        <v>4251</v>
      </c>
      <c r="C3635" s="337" t="s">
        <v>474</v>
      </c>
      <c r="D3635" s="339">
        <v>160.57</v>
      </c>
    </row>
    <row r="3636" spans="1:4" ht="54">
      <c r="A3636" s="337">
        <v>89832</v>
      </c>
      <c r="B3636" s="338" t="s">
        <v>4252</v>
      </c>
      <c r="C3636" s="337" t="s">
        <v>474</v>
      </c>
      <c r="D3636" s="339">
        <v>31.75</v>
      </c>
    </row>
    <row r="3637" spans="1:4" ht="67.5">
      <c r="A3637" s="337">
        <v>89833</v>
      </c>
      <c r="B3637" s="338" t="s">
        <v>4253</v>
      </c>
      <c r="C3637" s="337" t="s">
        <v>474</v>
      </c>
      <c r="D3637" s="339">
        <v>21.16</v>
      </c>
    </row>
    <row r="3638" spans="1:4" ht="67.5">
      <c r="A3638" s="337">
        <v>89834</v>
      </c>
      <c r="B3638" s="338" t="s">
        <v>4254</v>
      </c>
      <c r="C3638" s="337" t="s">
        <v>474</v>
      </c>
      <c r="D3638" s="339">
        <v>25.46</v>
      </c>
    </row>
    <row r="3639" spans="1:4" ht="40.5">
      <c r="A3639" s="337">
        <v>89835</v>
      </c>
      <c r="B3639" s="338" t="s">
        <v>4255</v>
      </c>
      <c r="C3639" s="337" t="s">
        <v>474</v>
      </c>
      <c r="D3639" s="339">
        <v>30.95</v>
      </c>
    </row>
    <row r="3640" spans="1:4" ht="40.5">
      <c r="A3640" s="337">
        <v>89836</v>
      </c>
      <c r="B3640" s="338" t="s">
        <v>4256</v>
      </c>
      <c r="C3640" s="337" t="s">
        <v>474</v>
      </c>
      <c r="D3640" s="339">
        <v>217.09</v>
      </c>
    </row>
    <row r="3641" spans="1:4" ht="40.5">
      <c r="A3641" s="337">
        <v>89837</v>
      </c>
      <c r="B3641" s="338" t="s">
        <v>4257</v>
      </c>
      <c r="C3641" s="337" t="s">
        <v>474</v>
      </c>
      <c r="D3641" s="339">
        <v>107.33</v>
      </c>
    </row>
    <row r="3642" spans="1:4" ht="40.5">
      <c r="A3642" s="337">
        <v>89838</v>
      </c>
      <c r="B3642" s="338" t="s">
        <v>4258</v>
      </c>
      <c r="C3642" s="337" t="s">
        <v>474</v>
      </c>
      <c r="D3642" s="339">
        <v>117.05</v>
      </c>
    </row>
    <row r="3643" spans="1:4" ht="40.5">
      <c r="A3643" s="337">
        <v>89839</v>
      </c>
      <c r="B3643" s="338" t="s">
        <v>4259</v>
      </c>
      <c r="C3643" s="337" t="s">
        <v>474</v>
      </c>
      <c r="D3643" s="339">
        <v>155.53</v>
      </c>
    </row>
    <row r="3644" spans="1:4" ht="40.5">
      <c r="A3644" s="337">
        <v>89840</v>
      </c>
      <c r="B3644" s="338" t="s">
        <v>4260</v>
      </c>
      <c r="C3644" s="337" t="s">
        <v>474</v>
      </c>
      <c r="D3644" s="339">
        <v>134.01</v>
      </c>
    </row>
    <row r="3645" spans="1:4" ht="40.5">
      <c r="A3645" s="337">
        <v>89841</v>
      </c>
      <c r="B3645" s="338" t="s">
        <v>4261</v>
      </c>
      <c r="C3645" s="337" t="s">
        <v>474</v>
      </c>
      <c r="D3645" s="339">
        <v>228.37</v>
      </c>
    </row>
    <row r="3646" spans="1:4" ht="40.5">
      <c r="A3646" s="337">
        <v>89842</v>
      </c>
      <c r="B3646" s="338" t="s">
        <v>4262</v>
      </c>
      <c r="C3646" s="337" t="s">
        <v>474</v>
      </c>
      <c r="D3646" s="339">
        <v>35.53</v>
      </c>
    </row>
    <row r="3647" spans="1:4" ht="40.5">
      <c r="A3647" s="337">
        <v>89844</v>
      </c>
      <c r="B3647" s="338" t="s">
        <v>4263</v>
      </c>
      <c r="C3647" s="337" t="s">
        <v>474</v>
      </c>
      <c r="D3647" s="339">
        <v>45.42</v>
      </c>
    </row>
    <row r="3648" spans="1:4" ht="40.5">
      <c r="A3648" s="337">
        <v>89845</v>
      </c>
      <c r="B3648" s="338" t="s">
        <v>4264</v>
      </c>
      <c r="C3648" s="337" t="s">
        <v>474</v>
      </c>
      <c r="D3648" s="339">
        <v>71.150000000000006</v>
      </c>
    </row>
    <row r="3649" spans="1:4" ht="40.5">
      <c r="A3649" s="337">
        <v>89846</v>
      </c>
      <c r="B3649" s="338" t="s">
        <v>4265</v>
      </c>
      <c r="C3649" s="337" t="s">
        <v>474</v>
      </c>
      <c r="D3649" s="339">
        <v>162.38999999999999</v>
      </c>
    </row>
    <row r="3650" spans="1:4" ht="40.5">
      <c r="A3650" s="337">
        <v>89847</v>
      </c>
      <c r="B3650" s="338" t="s">
        <v>4266</v>
      </c>
      <c r="C3650" s="337" t="s">
        <v>474</v>
      </c>
      <c r="D3650" s="339">
        <v>198.94</v>
      </c>
    </row>
    <row r="3651" spans="1:4" ht="67.5">
      <c r="A3651" s="337">
        <v>89850</v>
      </c>
      <c r="B3651" s="338" t="s">
        <v>4267</v>
      </c>
      <c r="C3651" s="337" t="s">
        <v>474</v>
      </c>
      <c r="D3651" s="339">
        <v>16.010000000000002</v>
      </c>
    </row>
    <row r="3652" spans="1:4" ht="67.5">
      <c r="A3652" s="337">
        <v>89851</v>
      </c>
      <c r="B3652" s="338" t="s">
        <v>4268</v>
      </c>
      <c r="C3652" s="337" t="s">
        <v>474</v>
      </c>
      <c r="D3652" s="339">
        <v>16.079999999999998</v>
      </c>
    </row>
    <row r="3653" spans="1:4" ht="67.5">
      <c r="A3653" s="337">
        <v>89852</v>
      </c>
      <c r="B3653" s="338" t="s">
        <v>4269</v>
      </c>
      <c r="C3653" s="337" t="s">
        <v>474</v>
      </c>
      <c r="D3653" s="339">
        <v>24.47</v>
      </c>
    </row>
    <row r="3654" spans="1:4" ht="67.5">
      <c r="A3654" s="337">
        <v>89853</v>
      </c>
      <c r="B3654" s="338" t="s">
        <v>4270</v>
      </c>
      <c r="C3654" s="337" t="s">
        <v>474</v>
      </c>
      <c r="D3654" s="339">
        <v>43.06</v>
      </c>
    </row>
    <row r="3655" spans="1:4" ht="67.5">
      <c r="A3655" s="337">
        <v>89854</v>
      </c>
      <c r="B3655" s="338" t="s">
        <v>4271</v>
      </c>
      <c r="C3655" s="337" t="s">
        <v>474</v>
      </c>
      <c r="D3655" s="339">
        <v>47</v>
      </c>
    </row>
    <row r="3656" spans="1:4" ht="67.5">
      <c r="A3656" s="337">
        <v>89855</v>
      </c>
      <c r="B3656" s="338" t="s">
        <v>4272</v>
      </c>
      <c r="C3656" s="337" t="s">
        <v>474</v>
      </c>
      <c r="D3656" s="339">
        <v>50.23</v>
      </c>
    </row>
    <row r="3657" spans="1:4" ht="54">
      <c r="A3657" s="337">
        <v>89856</v>
      </c>
      <c r="B3657" s="338" t="s">
        <v>4273</v>
      </c>
      <c r="C3657" s="337" t="s">
        <v>474</v>
      </c>
      <c r="D3657" s="339">
        <v>12.36</v>
      </c>
    </row>
    <row r="3658" spans="1:4" ht="67.5">
      <c r="A3658" s="337">
        <v>89857</v>
      </c>
      <c r="B3658" s="338" t="s">
        <v>4274</v>
      </c>
      <c r="C3658" s="337" t="s">
        <v>474</v>
      </c>
      <c r="D3658" s="339">
        <v>19.02</v>
      </c>
    </row>
    <row r="3659" spans="1:4" ht="67.5">
      <c r="A3659" s="337">
        <v>89859</v>
      </c>
      <c r="B3659" s="338" t="s">
        <v>4275</v>
      </c>
      <c r="C3659" s="337" t="s">
        <v>474</v>
      </c>
      <c r="D3659" s="339">
        <v>31.92</v>
      </c>
    </row>
    <row r="3660" spans="1:4" ht="54">
      <c r="A3660" s="337">
        <v>89860</v>
      </c>
      <c r="B3660" s="338" t="s">
        <v>4276</v>
      </c>
      <c r="C3660" s="337" t="s">
        <v>474</v>
      </c>
      <c r="D3660" s="339">
        <v>26.3</v>
      </c>
    </row>
    <row r="3661" spans="1:4" ht="67.5">
      <c r="A3661" s="337">
        <v>89861</v>
      </c>
      <c r="B3661" s="338" t="s">
        <v>4277</v>
      </c>
      <c r="C3661" s="337" t="s">
        <v>474</v>
      </c>
      <c r="D3661" s="339">
        <v>30.6</v>
      </c>
    </row>
    <row r="3662" spans="1:4" ht="54">
      <c r="A3662" s="337">
        <v>89862</v>
      </c>
      <c r="B3662" s="338" t="s">
        <v>4278</v>
      </c>
      <c r="C3662" s="337" t="s">
        <v>474</v>
      </c>
      <c r="D3662" s="339">
        <v>76.12</v>
      </c>
    </row>
    <row r="3663" spans="1:4" ht="67.5">
      <c r="A3663" s="337">
        <v>89863</v>
      </c>
      <c r="B3663" s="338" t="s">
        <v>4279</v>
      </c>
      <c r="C3663" s="337" t="s">
        <v>474</v>
      </c>
      <c r="D3663" s="339">
        <v>125.67</v>
      </c>
    </row>
    <row r="3664" spans="1:4" ht="54">
      <c r="A3664" s="337">
        <v>89866</v>
      </c>
      <c r="B3664" s="338" t="s">
        <v>4280</v>
      </c>
      <c r="C3664" s="337" t="s">
        <v>474</v>
      </c>
      <c r="D3664" s="339">
        <v>3.53</v>
      </c>
    </row>
    <row r="3665" spans="1:4" ht="54">
      <c r="A3665" s="337">
        <v>89867</v>
      </c>
      <c r="B3665" s="338" t="s">
        <v>4281</v>
      </c>
      <c r="C3665" s="337" t="s">
        <v>474</v>
      </c>
      <c r="D3665" s="339">
        <v>3.97</v>
      </c>
    </row>
    <row r="3666" spans="1:4" ht="40.5">
      <c r="A3666" s="337">
        <v>89868</v>
      </c>
      <c r="B3666" s="338" t="s">
        <v>4282</v>
      </c>
      <c r="C3666" s="337" t="s">
        <v>474</v>
      </c>
      <c r="D3666" s="339">
        <v>2.6</v>
      </c>
    </row>
    <row r="3667" spans="1:4" ht="40.5">
      <c r="A3667" s="337">
        <v>89869</v>
      </c>
      <c r="B3667" s="338" t="s">
        <v>4283</v>
      </c>
      <c r="C3667" s="337" t="s">
        <v>474</v>
      </c>
      <c r="D3667" s="339">
        <v>5.59</v>
      </c>
    </row>
    <row r="3668" spans="1:4" ht="54">
      <c r="A3668" s="337">
        <v>89979</v>
      </c>
      <c r="B3668" s="338" t="s">
        <v>4284</v>
      </c>
      <c r="C3668" s="337" t="s">
        <v>474</v>
      </c>
      <c r="D3668" s="339">
        <v>16.78</v>
      </c>
    </row>
    <row r="3669" spans="1:4" ht="54">
      <c r="A3669" s="337">
        <v>89980</v>
      </c>
      <c r="B3669" s="338" t="s">
        <v>4285</v>
      </c>
      <c r="C3669" s="337" t="s">
        <v>474</v>
      </c>
      <c r="D3669" s="339">
        <v>7.17</v>
      </c>
    </row>
    <row r="3670" spans="1:4" ht="54">
      <c r="A3670" s="337">
        <v>89981</v>
      </c>
      <c r="B3670" s="338" t="s">
        <v>4286</v>
      </c>
      <c r="C3670" s="337" t="s">
        <v>474</v>
      </c>
      <c r="D3670" s="339">
        <v>14.46</v>
      </c>
    </row>
    <row r="3671" spans="1:4" ht="54">
      <c r="A3671" s="337">
        <v>90373</v>
      </c>
      <c r="B3671" s="338" t="s">
        <v>4287</v>
      </c>
      <c r="C3671" s="337" t="s">
        <v>474</v>
      </c>
      <c r="D3671" s="339">
        <v>9.92</v>
      </c>
    </row>
    <row r="3672" spans="1:4" ht="54">
      <c r="A3672" s="337">
        <v>90374</v>
      </c>
      <c r="B3672" s="338" t="s">
        <v>4288</v>
      </c>
      <c r="C3672" s="337" t="s">
        <v>474</v>
      </c>
      <c r="D3672" s="339">
        <v>14.98</v>
      </c>
    </row>
    <row r="3673" spans="1:4" ht="54">
      <c r="A3673" s="337">
        <v>90375</v>
      </c>
      <c r="B3673" s="338" t="s">
        <v>4289</v>
      </c>
      <c r="C3673" s="337" t="s">
        <v>474</v>
      </c>
      <c r="D3673" s="339">
        <v>6.47</v>
      </c>
    </row>
    <row r="3674" spans="1:4" ht="40.5">
      <c r="A3674" s="337">
        <v>92287</v>
      </c>
      <c r="B3674" s="338" t="s">
        <v>4290</v>
      </c>
      <c r="C3674" s="337" t="s">
        <v>474</v>
      </c>
      <c r="D3674" s="339">
        <v>9.15</v>
      </c>
    </row>
    <row r="3675" spans="1:4" ht="40.5">
      <c r="A3675" s="337">
        <v>92288</v>
      </c>
      <c r="B3675" s="338" t="s">
        <v>4291</v>
      </c>
      <c r="C3675" s="337" t="s">
        <v>474</v>
      </c>
      <c r="D3675" s="339">
        <v>13.75</v>
      </c>
    </row>
    <row r="3676" spans="1:4" ht="40.5">
      <c r="A3676" s="337">
        <v>92289</v>
      </c>
      <c r="B3676" s="338" t="s">
        <v>4292</v>
      </c>
      <c r="C3676" s="337" t="s">
        <v>474</v>
      </c>
      <c r="D3676" s="339">
        <v>23.42</v>
      </c>
    </row>
    <row r="3677" spans="1:4" ht="40.5">
      <c r="A3677" s="337">
        <v>92290</v>
      </c>
      <c r="B3677" s="338" t="s">
        <v>4293</v>
      </c>
      <c r="C3677" s="337" t="s">
        <v>474</v>
      </c>
      <c r="D3677" s="339">
        <v>35.049999999999997</v>
      </c>
    </row>
    <row r="3678" spans="1:4" ht="40.5">
      <c r="A3678" s="337">
        <v>92291</v>
      </c>
      <c r="B3678" s="338" t="s">
        <v>4294</v>
      </c>
      <c r="C3678" s="337" t="s">
        <v>474</v>
      </c>
      <c r="D3678" s="339">
        <v>53.2</v>
      </c>
    </row>
    <row r="3679" spans="1:4" ht="40.5">
      <c r="A3679" s="337">
        <v>92292</v>
      </c>
      <c r="B3679" s="338" t="s">
        <v>4295</v>
      </c>
      <c r="C3679" s="337" t="s">
        <v>474</v>
      </c>
      <c r="D3679" s="339">
        <v>162.19</v>
      </c>
    </row>
    <row r="3680" spans="1:4" ht="40.5">
      <c r="A3680" s="337">
        <v>92293</v>
      </c>
      <c r="B3680" s="338" t="s">
        <v>4296</v>
      </c>
      <c r="C3680" s="337" t="s">
        <v>474</v>
      </c>
      <c r="D3680" s="339">
        <v>5.37</v>
      </c>
    </row>
    <row r="3681" spans="1:4" ht="40.5">
      <c r="A3681" s="337">
        <v>92294</v>
      </c>
      <c r="B3681" s="338" t="s">
        <v>4297</v>
      </c>
      <c r="C3681" s="337" t="s">
        <v>474</v>
      </c>
      <c r="D3681" s="339">
        <v>8.5</v>
      </c>
    </row>
    <row r="3682" spans="1:4" ht="40.5">
      <c r="A3682" s="337">
        <v>92295</v>
      </c>
      <c r="B3682" s="338" t="s">
        <v>4298</v>
      </c>
      <c r="C3682" s="337" t="s">
        <v>474</v>
      </c>
      <c r="D3682" s="339">
        <v>15.27</v>
      </c>
    </row>
    <row r="3683" spans="1:4" ht="40.5">
      <c r="A3683" s="337">
        <v>92296</v>
      </c>
      <c r="B3683" s="338" t="s">
        <v>4299</v>
      </c>
      <c r="C3683" s="337" t="s">
        <v>474</v>
      </c>
      <c r="D3683" s="339">
        <v>20.170000000000002</v>
      </c>
    </row>
    <row r="3684" spans="1:4" ht="40.5">
      <c r="A3684" s="337">
        <v>92297</v>
      </c>
      <c r="B3684" s="338" t="s">
        <v>4300</v>
      </c>
      <c r="C3684" s="337" t="s">
        <v>474</v>
      </c>
      <c r="D3684" s="339">
        <v>30.84</v>
      </c>
    </row>
    <row r="3685" spans="1:4" ht="40.5">
      <c r="A3685" s="337">
        <v>92298</v>
      </c>
      <c r="B3685" s="338" t="s">
        <v>4301</v>
      </c>
      <c r="C3685" s="337" t="s">
        <v>474</v>
      </c>
      <c r="D3685" s="339">
        <v>84.32</v>
      </c>
    </row>
    <row r="3686" spans="1:4" ht="40.5">
      <c r="A3686" s="337">
        <v>92299</v>
      </c>
      <c r="B3686" s="338" t="s">
        <v>4302</v>
      </c>
      <c r="C3686" s="337" t="s">
        <v>474</v>
      </c>
      <c r="D3686" s="339">
        <v>12.08</v>
      </c>
    </row>
    <row r="3687" spans="1:4" ht="40.5">
      <c r="A3687" s="337">
        <v>92300</v>
      </c>
      <c r="B3687" s="338" t="s">
        <v>4303</v>
      </c>
      <c r="C3687" s="337" t="s">
        <v>474</v>
      </c>
      <c r="D3687" s="339">
        <v>17.600000000000001</v>
      </c>
    </row>
    <row r="3688" spans="1:4" ht="40.5">
      <c r="A3688" s="337">
        <v>92301</v>
      </c>
      <c r="B3688" s="338" t="s">
        <v>4304</v>
      </c>
      <c r="C3688" s="337" t="s">
        <v>474</v>
      </c>
      <c r="D3688" s="339">
        <v>33.21</v>
      </c>
    </row>
    <row r="3689" spans="1:4" ht="40.5">
      <c r="A3689" s="337">
        <v>92302</v>
      </c>
      <c r="B3689" s="338" t="s">
        <v>4305</v>
      </c>
      <c r="C3689" s="337" t="s">
        <v>474</v>
      </c>
      <c r="D3689" s="339">
        <v>43.64</v>
      </c>
    </row>
    <row r="3690" spans="1:4" ht="40.5">
      <c r="A3690" s="337">
        <v>92303</v>
      </c>
      <c r="B3690" s="338" t="s">
        <v>4306</v>
      </c>
      <c r="C3690" s="337" t="s">
        <v>474</v>
      </c>
      <c r="D3690" s="339">
        <v>78.58</v>
      </c>
    </row>
    <row r="3691" spans="1:4" ht="40.5">
      <c r="A3691" s="337">
        <v>92304</v>
      </c>
      <c r="B3691" s="338" t="s">
        <v>4307</v>
      </c>
      <c r="C3691" s="337" t="s">
        <v>474</v>
      </c>
      <c r="D3691" s="339">
        <v>200.42</v>
      </c>
    </row>
    <row r="3692" spans="1:4" ht="54">
      <c r="A3692" s="337">
        <v>92311</v>
      </c>
      <c r="B3692" s="338" t="s">
        <v>4308</v>
      </c>
      <c r="C3692" s="337" t="s">
        <v>474</v>
      </c>
      <c r="D3692" s="339">
        <v>7.23</v>
      </c>
    </row>
    <row r="3693" spans="1:4" ht="54">
      <c r="A3693" s="337">
        <v>92312</v>
      </c>
      <c r="B3693" s="338" t="s">
        <v>4309</v>
      </c>
      <c r="C3693" s="337" t="s">
        <v>474</v>
      </c>
      <c r="D3693" s="339">
        <v>11.16</v>
      </c>
    </row>
    <row r="3694" spans="1:4" ht="54">
      <c r="A3694" s="337">
        <v>92313</v>
      </c>
      <c r="B3694" s="338" t="s">
        <v>4310</v>
      </c>
      <c r="C3694" s="337" t="s">
        <v>474</v>
      </c>
      <c r="D3694" s="339">
        <v>15.76</v>
      </c>
    </row>
    <row r="3695" spans="1:4" ht="54">
      <c r="A3695" s="337">
        <v>92314</v>
      </c>
      <c r="B3695" s="338" t="s">
        <v>4311</v>
      </c>
      <c r="C3695" s="337" t="s">
        <v>474</v>
      </c>
      <c r="D3695" s="339">
        <v>4.72</v>
      </c>
    </row>
    <row r="3696" spans="1:4" ht="54">
      <c r="A3696" s="337">
        <v>92315</v>
      </c>
      <c r="B3696" s="338" t="s">
        <v>4312</v>
      </c>
      <c r="C3696" s="337" t="s">
        <v>474</v>
      </c>
      <c r="D3696" s="339">
        <v>6.73</v>
      </c>
    </row>
    <row r="3697" spans="1:4" ht="54">
      <c r="A3697" s="337">
        <v>92316</v>
      </c>
      <c r="B3697" s="338" t="s">
        <v>4313</v>
      </c>
      <c r="C3697" s="337" t="s">
        <v>474</v>
      </c>
      <c r="D3697" s="339">
        <v>9.86</v>
      </c>
    </row>
    <row r="3698" spans="1:4" ht="54">
      <c r="A3698" s="337">
        <v>92317</v>
      </c>
      <c r="B3698" s="338" t="s">
        <v>4314</v>
      </c>
      <c r="C3698" s="337" t="s">
        <v>474</v>
      </c>
      <c r="D3698" s="339">
        <v>9.8000000000000007</v>
      </c>
    </row>
    <row r="3699" spans="1:4" ht="54">
      <c r="A3699" s="337">
        <v>92318</v>
      </c>
      <c r="B3699" s="338" t="s">
        <v>4315</v>
      </c>
      <c r="C3699" s="337" t="s">
        <v>474</v>
      </c>
      <c r="D3699" s="339">
        <v>14.78</v>
      </c>
    </row>
    <row r="3700" spans="1:4" ht="54">
      <c r="A3700" s="337">
        <v>92319</v>
      </c>
      <c r="B3700" s="338" t="s">
        <v>4316</v>
      </c>
      <c r="C3700" s="337" t="s">
        <v>474</v>
      </c>
      <c r="D3700" s="339">
        <v>20.29</v>
      </c>
    </row>
    <row r="3701" spans="1:4" ht="54">
      <c r="A3701" s="337">
        <v>92326</v>
      </c>
      <c r="B3701" s="338" t="s">
        <v>4317</v>
      </c>
      <c r="C3701" s="337" t="s">
        <v>474</v>
      </c>
      <c r="D3701" s="339">
        <v>8.4499999999999993</v>
      </c>
    </row>
    <row r="3702" spans="1:4" ht="54">
      <c r="A3702" s="337">
        <v>92327</v>
      </c>
      <c r="B3702" s="338" t="s">
        <v>4318</v>
      </c>
      <c r="C3702" s="337" t="s">
        <v>474</v>
      </c>
      <c r="D3702" s="339">
        <v>13.02</v>
      </c>
    </row>
    <row r="3703" spans="1:4" ht="54">
      <c r="A3703" s="337">
        <v>92328</v>
      </c>
      <c r="B3703" s="338" t="s">
        <v>4319</v>
      </c>
      <c r="C3703" s="337" t="s">
        <v>474</v>
      </c>
      <c r="D3703" s="339">
        <v>19.07</v>
      </c>
    </row>
    <row r="3704" spans="1:4" ht="40.5">
      <c r="A3704" s="337">
        <v>92329</v>
      </c>
      <c r="B3704" s="338" t="s">
        <v>4320</v>
      </c>
      <c r="C3704" s="337" t="s">
        <v>474</v>
      </c>
      <c r="D3704" s="339">
        <v>4.8600000000000003</v>
      </c>
    </row>
    <row r="3705" spans="1:4" ht="40.5">
      <c r="A3705" s="337">
        <v>92330</v>
      </c>
      <c r="B3705" s="338" t="s">
        <v>4321</v>
      </c>
      <c r="C3705" s="337" t="s">
        <v>474</v>
      </c>
      <c r="D3705" s="339">
        <v>7.94</v>
      </c>
    </row>
    <row r="3706" spans="1:4" ht="40.5">
      <c r="A3706" s="337">
        <v>92331</v>
      </c>
      <c r="B3706" s="338" t="s">
        <v>4322</v>
      </c>
      <c r="C3706" s="337" t="s">
        <v>474</v>
      </c>
      <c r="D3706" s="339">
        <v>12.08</v>
      </c>
    </row>
    <row r="3707" spans="1:4" ht="40.5">
      <c r="A3707" s="337">
        <v>92332</v>
      </c>
      <c r="B3707" s="338" t="s">
        <v>4323</v>
      </c>
      <c r="C3707" s="337" t="s">
        <v>474</v>
      </c>
      <c r="D3707" s="339">
        <v>9.99</v>
      </c>
    </row>
    <row r="3708" spans="1:4" ht="40.5">
      <c r="A3708" s="337">
        <v>92333</v>
      </c>
      <c r="B3708" s="338" t="s">
        <v>4324</v>
      </c>
      <c r="C3708" s="337" t="s">
        <v>474</v>
      </c>
      <c r="D3708" s="339">
        <v>17.23</v>
      </c>
    </row>
    <row r="3709" spans="1:4" ht="40.5">
      <c r="A3709" s="337">
        <v>92334</v>
      </c>
      <c r="B3709" s="338" t="s">
        <v>4325</v>
      </c>
      <c r="C3709" s="337" t="s">
        <v>474</v>
      </c>
      <c r="D3709" s="339">
        <v>24.69</v>
      </c>
    </row>
    <row r="3710" spans="1:4" ht="54">
      <c r="A3710" s="337">
        <v>92344</v>
      </c>
      <c r="B3710" s="338" t="s">
        <v>4326</v>
      </c>
      <c r="C3710" s="337" t="s">
        <v>474</v>
      </c>
      <c r="D3710" s="339">
        <v>38.869999999999997</v>
      </c>
    </row>
    <row r="3711" spans="1:4" ht="54">
      <c r="A3711" s="337">
        <v>92345</v>
      </c>
      <c r="B3711" s="338" t="s">
        <v>4327</v>
      </c>
      <c r="C3711" s="337" t="s">
        <v>474</v>
      </c>
      <c r="D3711" s="339">
        <v>38.86</v>
      </c>
    </row>
    <row r="3712" spans="1:4" ht="54">
      <c r="A3712" s="337">
        <v>92346</v>
      </c>
      <c r="B3712" s="338" t="s">
        <v>4328</v>
      </c>
      <c r="C3712" s="337" t="s">
        <v>474</v>
      </c>
      <c r="D3712" s="339">
        <v>50.23</v>
      </c>
    </row>
    <row r="3713" spans="1:4" ht="54">
      <c r="A3713" s="337">
        <v>92347</v>
      </c>
      <c r="B3713" s="338" t="s">
        <v>4329</v>
      </c>
      <c r="C3713" s="337" t="s">
        <v>474</v>
      </c>
      <c r="D3713" s="339">
        <v>55.43</v>
      </c>
    </row>
    <row r="3714" spans="1:4" ht="54">
      <c r="A3714" s="337">
        <v>92348</v>
      </c>
      <c r="B3714" s="338" t="s">
        <v>4330</v>
      </c>
      <c r="C3714" s="337" t="s">
        <v>474</v>
      </c>
      <c r="D3714" s="339">
        <v>69.150000000000006</v>
      </c>
    </row>
    <row r="3715" spans="1:4" ht="54">
      <c r="A3715" s="337">
        <v>92349</v>
      </c>
      <c r="B3715" s="338" t="s">
        <v>4331</v>
      </c>
      <c r="C3715" s="337" t="s">
        <v>474</v>
      </c>
      <c r="D3715" s="339">
        <v>73.77</v>
      </c>
    </row>
    <row r="3716" spans="1:4" ht="54">
      <c r="A3716" s="337">
        <v>92350</v>
      </c>
      <c r="B3716" s="338" t="s">
        <v>4332</v>
      </c>
      <c r="C3716" s="337" t="s">
        <v>474</v>
      </c>
      <c r="D3716" s="339">
        <v>57.84</v>
      </c>
    </row>
    <row r="3717" spans="1:4" ht="54">
      <c r="A3717" s="337">
        <v>92351</v>
      </c>
      <c r="B3717" s="338" t="s">
        <v>4333</v>
      </c>
      <c r="C3717" s="337" t="s">
        <v>474</v>
      </c>
      <c r="D3717" s="339">
        <v>56.68</v>
      </c>
    </row>
    <row r="3718" spans="1:4" ht="54">
      <c r="A3718" s="337">
        <v>92352</v>
      </c>
      <c r="B3718" s="338" t="s">
        <v>4334</v>
      </c>
      <c r="C3718" s="337" t="s">
        <v>474</v>
      </c>
      <c r="D3718" s="339">
        <v>85.27</v>
      </c>
    </row>
    <row r="3719" spans="1:4" ht="54">
      <c r="A3719" s="337">
        <v>92353</v>
      </c>
      <c r="B3719" s="338" t="s">
        <v>4335</v>
      </c>
      <c r="C3719" s="337" t="s">
        <v>474</v>
      </c>
      <c r="D3719" s="339">
        <v>80.19</v>
      </c>
    </row>
    <row r="3720" spans="1:4" ht="54">
      <c r="A3720" s="337">
        <v>92354</v>
      </c>
      <c r="B3720" s="338" t="s">
        <v>4336</v>
      </c>
      <c r="C3720" s="337" t="s">
        <v>474</v>
      </c>
      <c r="D3720" s="339">
        <v>111.64</v>
      </c>
    </row>
    <row r="3721" spans="1:4" ht="54">
      <c r="A3721" s="337">
        <v>92355</v>
      </c>
      <c r="B3721" s="338" t="s">
        <v>4337</v>
      </c>
      <c r="C3721" s="337" t="s">
        <v>474</v>
      </c>
      <c r="D3721" s="339">
        <v>101.84</v>
      </c>
    </row>
    <row r="3722" spans="1:4" ht="54">
      <c r="A3722" s="337">
        <v>92356</v>
      </c>
      <c r="B3722" s="338" t="s">
        <v>4338</v>
      </c>
      <c r="C3722" s="337" t="s">
        <v>474</v>
      </c>
      <c r="D3722" s="339">
        <v>75.56</v>
      </c>
    </row>
    <row r="3723" spans="1:4" ht="54">
      <c r="A3723" s="337">
        <v>92357</v>
      </c>
      <c r="B3723" s="338" t="s">
        <v>4339</v>
      </c>
      <c r="C3723" s="337" t="s">
        <v>474</v>
      </c>
      <c r="D3723" s="339">
        <v>109.5</v>
      </c>
    </row>
    <row r="3724" spans="1:4" ht="54">
      <c r="A3724" s="337">
        <v>92358</v>
      </c>
      <c r="B3724" s="338" t="s">
        <v>4340</v>
      </c>
      <c r="C3724" s="337" t="s">
        <v>474</v>
      </c>
      <c r="D3724" s="339">
        <v>134.87</v>
      </c>
    </row>
    <row r="3725" spans="1:4" ht="54">
      <c r="A3725" s="337">
        <v>92369</v>
      </c>
      <c r="B3725" s="338" t="s">
        <v>4341</v>
      </c>
      <c r="C3725" s="337" t="s">
        <v>474</v>
      </c>
      <c r="D3725" s="339">
        <v>21.77</v>
      </c>
    </row>
    <row r="3726" spans="1:4" ht="54">
      <c r="A3726" s="337">
        <v>92370</v>
      </c>
      <c r="B3726" s="338" t="s">
        <v>4342</v>
      </c>
      <c r="C3726" s="337" t="s">
        <v>474</v>
      </c>
      <c r="D3726" s="339">
        <v>22.71</v>
      </c>
    </row>
    <row r="3727" spans="1:4" ht="54">
      <c r="A3727" s="337">
        <v>92371</v>
      </c>
      <c r="B3727" s="338" t="s">
        <v>4343</v>
      </c>
      <c r="C3727" s="337" t="s">
        <v>474</v>
      </c>
      <c r="D3727" s="339">
        <v>25.98</v>
      </c>
    </row>
    <row r="3728" spans="1:4" ht="54">
      <c r="A3728" s="337">
        <v>92372</v>
      </c>
      <c r="B3728" s="338" t="s">
        <v>4344</v>
      </c>
      <c r="C3728" s="337" t="s">
        <v>474</v>
      </c>
      <c r="D3728" s="339">
        <v>26.85</v>
      </c>
    </row>
    <row r="3729" spans="1:4" ht="54">
      <c r="A3729" s="337">
        <v>92373</v>
      </c>
      <c r="B3729" s="338" t="s">
        <v>4345</v>
      </c>
      <c r="C3729" s="337" t="s">
        <v>474</v>
      </c>
      <c r="D3729" s="339">
        <v>30.43</v>
      </c>
    </row>
    <row r="3730" spans="1:4" ht="54">
      <c r="A3730" s="337">
        <v>92374</v>
      </c>
      <c r="B3730" s="338" t="s">
        <v>4346</v>
      </c>
      <c r="C3730" s="337" t="s">
        <v>474</v>
      </c>
      <c r="D3730" s="339">
        <v>30.6</v>
      </c>
    </row>
    <row r="3731" spans="1:4" ht="54">
      <c r="A3731" s="337">
        <v>92375</v>
      </c>
      <c r="B3731" s="338" t="s">
        <v>4347</v>
      </c>
      <c r="C3731" s="337" t="s">
        <v>474</v>
      </c>
      <c r="D3731" s="339">
        <v>38.840000000000003</v>
      </c>
    </row>
    <row r="3732" spans="1:4" ht="54">
      <c r="A3732" s="337">
        <v>92376</v>
      </c>
      <c r="B3732" s="338" t="s">
        <v>4348</v>
      </c>
      <c r="C3732" s="337" t="s">
        <v>474</v>
      </c>
      <c r="D3732" s="339">
        <v>38.83</v>
      </c>
    </row>
    <row r="3733" spans="1:4" ht="54">
      <c r="A3733" s="337">
        <v>92377</v>
      </c>
      <c r="B3733" s="338" t="s">
        <v>4349</v>
      </c>
      <c r="C3733" s="337" t="s">
        <v>474</v>
      </c>
      <c r="D3733" s="339">
        <v>51.32</v>
      </c>
    </row>
    <row r="3734" spans="1:4" ht="54">
      <c r="A3734" s="337">
        <v>92378</v>
      </c>
      <c r="B3734" s="338" t="s">
        <v>4350</v>
      </c>
      <c r="C3734" s="337" t="s">
        <v>474</v>
      </c>
      <c r="D3734" s="339">
        <v>56.52</v>
      </c>
    </row>
    <row r="3735" spans="1:4" ht="54">
      <c r="A3735" s="337">
        <v>92379</v>
      </c>
      <c r="B3735" s="338" t="s">
        <v>4351</v>
      </c>
      <c r="C3735" s="337" t="s">
        <v>474</v>
      </c>
      <c r="D3735" s="339">
        <v>71.41</v>
      </c>
    </row>
    <row r="3736" spans="1:4" ht="54">
      <c r="A3736" s="337">
        <v>92380</v>
      </c>
      <c r="B3736" s="338" t="s">
        <v>4352</v>
      </c>
      <c r="C3736" s="337" t="s">
        <v>474</v>
      </c>
      <c r="D3736" s="339">
        <v>76.03</v>
      </c>
    </row>
    <row r="3737" spans="1:4" ht="67.5">
      <c r="A3737" s="337">
        <v>92381</v>
      </c>
      <c r="B3737" s="338" t="s">
        <v>4353</v>
      </c>
      <c r="C3737" s="337" t="s">
        <v>474</v>
      </c>
      <c r="D3737" s="339">
        <v>32.92</v>
      </c>
    </row>
    <row r="3738" spans="1:4" ht="67.5">
      <c r="A3738" s="337">
        <v>92382</v>
      </c>
      <c r="B3738" s="338" t="s">
        <v>4354</v>
      </c>
      <c r="C3738" s="337" t="s">
        <v>474</v>
      </c>
      <c r="D3738" s="339">
        <v>31.68</v>
      </c>
    </row>
    <row r="3739" spans="1:4" ht="67.5">
      <c r="A3739" s="337">
        <v>92383</v>
      </c>
      <c r="B3739" s="338" t="s">
        <v>4355</v>
      </c>
      <c r="C3739" s="337" t="s">
        <v>474</v>
      </c>
      <c r="D3739" s="339">
        <v>40.74</v>
      </c>
    </row>
    <row r="3740" spans="1:4" ht="67.5">
      <c r="A3740" s="337">
        <v>92384</v>
      </c>
      <c r="B3740" s="338" t="s">
        <v>4356</v>
      </c>
      <c r="C3740" s="337" t="s">
        <v>474</v>
      </c>
      <c r="D3740" s="339">
        <v>38.270000000000003</v>
      </c>
    </row>
    <row r="3741" spans="1:4" ht="67.5">
      <c r="A3741" s="337">
        <v>92385</v>
      </c>
      <c r="B3741" s="338" t="s">
        <v>4357</v>
      </c>
      <c r="C3741" s="337" t="s">
        <v>474</v>
      </c>
      <c r="D3741" s="339">
        <v>46.45</v>
      </c>
    </row>
    <row r="3742" spans="1:4" ht="67.5">
      <c r="A3742" s="337">
        <v>92386</v>
      </c>
      <c r="B3742" s="338" t="s">
        <v>4358</v>
      </c>
      <c r="C3742" s="337" t="s">
        <v>474</v>
      </c>
      <c r="D3742" s="339">
        <v>44.75</v>
      </c>
    </row>
    <row r="3743" spans="1:4" ht="67.5">
      <c r="A3743" s="337">
        <v>92387</v>
      </c>
      <c r="B3743" s="338" t="s">
        <v>4359</v>
      </c>
      <c r="C3743" s="337" t="s">
        <v>474</v>
      </c>
      <c r="D3743" s="339">
        <v>57.77</v>
      </c>
    </row>
    <row r="3744" spans="1:4" ht="67.5">
      <c r="A3744" s="337">
        <v>92388</v>
      </c>
      <c r="B3744" s="338" t="s">
        <v>4360</v>
      </c>
      <c r="C3744" s="337" t="s">
        <v>474</v>
      </c>
      <c r="D3744" s="339">
        <v>56.61</v>
      </c>
    </row>
    <row r="3745" spans="1:4" ht="67.5">
      <c r="A3745" s="337">
        <v>92389</v>
      </c>
      <c r="B3745" s="338" t="s">
        <v>4361</v>
      </c>
      <c r="C3745" s="337" t="s">
        <v>474</v>
      </c>
      <c r="D3745" s="339">
        <v>86.94</v>
      </c>
    </row>
    <row r="3746" spans="1:4" ht="67.5">
      <c r="A3746" s="337">
        <v>92390</v>
      </c>
      <c r="B3746" s="338" t="s">
        <v>4362</v>
      </c>
      <c r="C3746" s="337" t="s">
        <v>474</v>
      </c>
      <c r="D3746" s="339">
        <v>81.86</v>
      </c>
    </row>
    <row r="3747" spans="1:4" ht="67.5">
      <c r="A3747" s="337">
        <v>92635</v>
      </c>
      <c r="B3747" s="338" t="s">
        <v>4363</v>
      </c>
      <c r="C3747" s="337" t="s">
        <v>474</v>
      </c>
      <c r="D3747" s="339">
        <v>115.02</v>
      </c>
    </row>
    <row r="3748" spans="1:4" ht="67.5">
      <c r="A3748" s="337">
        <v>92636</v>
      </c>
      <c r="B3748" s="338" t="s">
        <v>4364</v>
      </c>
      <c r="C3748" s="337" t="s">
        <v>474</v>
      </c>
      <c r="D3748" s="339">
        <v>105.22</v>
      </c>
    </row>
    <row r="3749" spans="1:4" ht="54">
      <c r="A3749" s="337">
        <v>92637</v>
      </c>
      <c r="B3749" s="338" t="s">
        <v>4365</v>
      </c>
      <c r="C3749" s="337" t="s">
        <v>474</v>
      </c>
      <c r="D3749" s="339">
        <v>42.72</v>
      </c>
    </row>
    <row r="3750" spans="1:4" ht="54">
      <c r="A3750" s="337">
        <v>92638</v>
      </c>
      <c r="B3750" s="338" t="s">
        <v>4366</v>
      </c>
      <c r="C3750" s="337" t="s">
        <v>474</v>
      </c>
      <c r="D3750" s="339">
        <v>51.35</v>
      </c>
    </row>
    <row r="3751" spans="1:4" ht="54">
      <c r="A3751" s="337">
        <v>92639</v>
      </c>
      <c r="B3751" s="338" t="s">
        <v>4367</v>
      </c>
      <c r="C3751" s="337" t="s">
        <v>474</v>
      </c>
      <c r="D3751" s="339">
        <v>59.04</v>
      </c>
    </row>
    <row r="3752" spans="1:4" ht="54">
      <c r="A3752" s="337">
        <v>92640</v>
      </c>
      <c r="B3752" s="338" t="s">
        <v>4368</v>
      </c>
      <c r="C3752" s="337" t="s">
        <v>474</v>
      </c>
      <c r="D3752" s="339">
        <v>75.47</v>
      </c>
    </row>
    <row r="3753" spans="1:4" ht="54">
      <c r="A3753" s="337">
        <v>92642</v>
      </c>
      <c r="B3753" s="338" t="s">
        <v>4369</v>
      </c>
      <c r="C3753" s="337" t="s">
        <v>474</v>
      </c>
      <c r="D3753" s="339">
        <v>111.68</v>
      </c>
    </row>
    <row r="3754" spans="1:4" ht="54">
      <c r="A3754" s="337">
        <v>92644</v>
      </c>
      <c r="B3754" s="338" t="s">
        <v>4370</v>
      </c>
      <c r="C3754" s="337" t="s">
        <v>474</v>
      </c>
      <c r="D3754" s="339">
        <v>139.38</v>
      </c>
    </row>
    <row r="3755" spans="1:4" ht="54">
      <c r="A3755" s="337">
        <v>92657</v>
      </c>
      <c r="B3755" s="338" t="s">
        <v>4371</v>
      </c>
      <c r="C3755" s="337" t="s">
        <v>474</v>
      </c>
      <c r="D3755" s="339">
        <v>15.71</v>
      </c>
    </row>
    <row r="3756" spans="1:4" ht="54">
      <c r="A3756" s="337">
        <v>92658</v>
      </c>
      <c r="B3756" s="338" t="s">
        <v>4372</v>
      </c>
      <c r="C3756" s="337" t="s">
        <v>474</v>
      </c>
      <c r="D3756" s="339">
        <v>16.649999999999999</v>
      </c>
    </row>
    <row r="3757" spans="1:4" ht="54">
      <c r="A3757" s="337">
        <v>92659</v>
      </c>
      <c r="B3757" s="338" t="s">
        <v>4373</v>
      </c>
      <c r="C3757" s="337" t="s">
        <v>474</v>
      </c>
      <c r="D3757" s="339">
        <v>19.079999999999998</v>
      </c>
    </row>
    <row r="3758" spans="1:4" ht="54">
      <c r="A3758" s="337">
        <v>92660</v>
      </c>
      <c r="B3758" s="338" t="s">
        <v>4374</v>
      </c>
      <c r="C3758" s="337" t="s">
        <v>474</v>
      </c>
      <c r="D3758" s="339">
        <v>19.95</v>
      </c>
    </row>
    <row r="3759" spans="1:4" ht="54">
      <c r="A3759" s="337">
        <v>92661</v>
      </c>
      <c r="B3759" s="338" t="s">
        <v>4375</v>
      </c>
      <c r="C3759" s="337" t="s">
        <v>474</v>
      </c>
      <c r="D3759" s="339">
        <v>22.56</v>
      </c>
    </row>
    <row r="3760" spans="1:4" ht="54">
      <c r="A3760" s="337">
        <v>92662</v>
      </c>
      <c r="B3760" s="338" t="s">
        <v>4376</v>
      </c>
      <c r="C3760" s="337" t="s">
        <v>474</v>
      </c>
      <c r="D3760" s="339">
        <v>22.73</v>
      </c>
    </row>
    <row r="3761" spans="1:4" ht="54">
      <c r="A3761" s="337">
        <v>92663</v>
      </c>
      <c r="B3761" s="338" t="s">
        <v>4377</v>
      </c>
      <c r="C3761" s="337" t="s">
        <v>474</v>
      </c>
      <c r="D3761" s="339">
        <v>29.78</v>
      </c>
    </row>
    <row r="3762" spans="1:4" ht="54">
      <c r="A3762" s="337">
        <v>92664</v>
      </c>
      <c r="B3762" s="338" t="s">
        <v>4378</v>
      </c>
      <c r="C3762" s="337" t="s">
        <v>474</v>
      </c>
      <c r="D3762" s="339">
        <v>29.77</v>
      </c>
    </row>
    <row r="3763" spans="1:4" ht="54">
      <c r="A3763" s="337">
        <v>92665</v>
      </c>
      <c r="B3763" s="338" t="s">
        <v>4379</v>
      </c>
      <c r="C3763" s="337" t="s">
        <v>474</v>
      </c>
      <c r="D3763" s="339">
        <v>40.450000000000003</v>
      </c>
    </row>
    <row r="3764" spans="1:4" ht="54">
      <c r="A3764" s="337">
        <v>92666</v>
      </c>
      <c r="B3764" s="338" t="s">
        <v>4380</v>
      </c>
      <c r="C3764" s="337" t="s">
        <v>474</v>
      </c>
      <c r="D3764" s="339">
        <v>45.65</v>
      </c>
    </row>
    <row r="3765" spans="1:4" ht="54">
      <c r="A3765" s="337">
        <v>92667</v>
      </c>
      <c r="B3765" s="338" t="s">
        <v>4381</v>
      </c>
      <c r="C3765" s="337" t="s">
        <v>474</v>
      </c>
      <c r="D3765" s="339">
        <v>58.77</v>
      </c>
    </row>
    <row r="3766" spans="1:4" ht="54">
      <c r="A3766" s="337">
        <v>92668</v>
      </c>
      <c r="B3766" s="338" t="s">
        <v>4382</v>
      </c>
      <c r="C3766" s="337" t="s">
        <v>474</v>
      </c>
      <c r="D3766" s="339">
        <v>63.39</v>
      </c>
    </row>
    <row r="3767" spans="1:4" ht="67.5">
      <c r="A3767" s="337">
        <v>92669</v>
      </c>
      <c r="B3767" s="338" t="s">
        <v>4383</v>
      </c>
      <c r="C3767" s="337" t="s">
        <v>474</v>
      </c>
      <c r="D3767" s="339">
        <v>23.79</v>
      </c>
    </row>
    <row r="3768" spans="1:4" ht="67.5">
      <c r="A3768" s="337">
        <v>92670</v>
      </c>
      <c r="B3768" s="338" t="s">
        <v>4384</v>
      </c>
      <c r="C3768" s="337" t="s">
        <v>474</v>
      </c>
      <c r="D3768" s="339">
        <v>22.55</v>
      </c>
    </row>
    <row r="3769" spans="1:4" ht="67.5">
      <c r="A3769" s="337">
        <v>92671</v>
      </c>
      <c r="B3769" s="338" t="s">
        <v>4385</v>
      </c>
      <c r="C3769" s="337" t="s">
        <v>474</v>
      </c>
      <c r="D3769" s="339">
        <v>30.39</v>
      </c>
    </row>
    <row r="3770" spans="1:4" ht="67.5">
      <c r="A3770" s="337">
        <v>92672</v>
      </c>
      <c r="B3770" s="338" t="s">
        <v>4386</v>
      </c>
      <c r="C3770" s="337" t="s">
        <v>474</v>
      </c>
      <c r="D3770" s="339">
        <v>27.92</v>
      </c>
    </row>
    <row r="3771" spans="1:4" ht="67.5">
      <c r="A3771" s="337">
        <v>92673</v>
      </c>
      <c r="B3771" s="338" t="s">
        <v>4387</v>
      </c>
      <c r="C3771" s="337" t="s">
        <v>474</v>
      </c>
      <c r="D3771" s="339">
        <v>34.65</v>
      </c>
    </row>
    <row r="3772" spans="1:4" ht="67.5">
      <c r="A3772" s="337">
        <v>92674</v>
      </c>
      <c r="B3772" s="338" t="s">
        <v>4388</v>
      </c>
      <c r="C3772" s="337" t="s">
        <v>474</v>
      </c>
      <c r="D3772" s="339">
        <v>32.950000000000003</v>
      </c>
    </row>
    <row r="3773" spans="1:4" ht="67.5">
      <c r="A3773" s="337">
        <v>92675</v>
      </c>
      <c r="B3773" s="338" t="s">
        <v>4389</v>
      </c>
      <c r="C3773" s="337" t="s">
        <v>474</v>
      </c>
      <c r="D3773" s="339">
        <v>44.21</v>
      </c>
    </row>
    <row r="3774" spans="1:4" ht="67.5">
      <c r="A3774" s="337">
        <v>92676</v>
      </c>
      <c r="B3774" s="338" t="s">
        <v>4390</v>
      </c>
      <c r="C3774" s="337" t="s">
        <v>474</v>
      </c>
      <c r="D3774" s="339">
        <v>43.05</v>
      </c>
    </row>
    <row r="3775" spans="1:4" ht="67.5">
      <c r="A3775" s="337">
        <v>92677</v>
      </c>
      <c r="B3775" s="338" t="s">
        <v>4391</v>
      </c>
      <c r="C3775" s="337" t="s">
        <v>474</v>
      </c>
      <c r="D3775" s="339">
        <v>70.680000000000007</v>
      </c>
    </row>
    <row r="3776" spans="1:4" ht="67.5">
      <c r="A3776" s="337">
        <v>92678</v>
      </c>
      <c r="B3776" s="338" t="s">
        <v>4392</v>
      </c>
      <c r="C3776" s="337" t="s">
        <v>474</v>
      </c>
      <c r="D3776" s="339">
        <v>65.599999999999994</v>
      </c>
    </row>
    <row r="3777" spans="1:4" ht="67.5">
      <c r="A3777" s="337">
        <v>92679</v>
      </c>
      <c r="B3777" s="338" t="s">
        <v>4393</v>
      </c>
      <c r="C3777" s="337" t="s">
        <v>474</v>
      </c>
      <c r="D3777" s="339">
        <v>96.09</v>
      </c>
    </row>
    <row r="3778" spans="1:4" ht="67.5">
      <c r="A3778" s="337">
        <v>92680</v>
      </c>
      <c r="B3778" s="338" t="s">
        <v>4394</v>
      </c>
      <c r="C3778" s="337" t="s">
        <v>474</v>
      </c>
      <c r="D3778" s="339">
        <v>86.29</v>
      </c>
    </row>
    <row r="3779" spans="1:4" ht="54">
      <c r="A3779" s="337">
        <v>92681</v>
      </c>
      <c r="B3779" s="338" t="s">
        <v>4395</v>
      </c>
      <c r="C3779" s="337" t="s">
        <v>474</v>
      </c>
      <c r="D3779" s="339">
        <v>30.55</v>
      </c>
    </row>
    <row r="3780" spans="1:4" ht="54">
      <c r="A3780" s="337">
        <v>92682</v>
      </c>
      <c r="B3780" s="338" t="s">
        <v>4396</v>
      </c>
      <c r="C3780" s="337" t="s">
        <v>474</v>
      </c>
      <c r="D3780" s="339">
        <v>37.5</v>
      </c>
    </row>
    <row r="3781" spans="1:4" ht="54">
      <c r="A3781" s="337">
        <v>92683</v>
      </c>
      <c r="B3781" s="338" t="s">
        <v>4397</v>
      </c>
      <c r="C3781" s="337" t="s">
        <v>474</v>
      </c>
      <c r="D3781" s="339">
        <v>43.33</v>
      </c>
    </row>
    <row r="3782" spans="1:4" ht="54">
      <c r="A3782" s="337">
        <v>92684</v>
      </c>
      <c r="B3782" s="338" t="s">
        <v>4398</v>
      </c>
      <c r="C3782" s="337" t="s">
        <v>474</v>
      </c>
      <c r="D3782" s="339">
        <v>57.37</v>
      </c>
    </row>
    <row r="3783" spans="1:4" ht="54">
      <c r="A3783" s="337">
        <v>92685</v>
      </c>
      <c r="B3783" s="338" t="s">
        <v>4399</v>
      </c>
      <c r="C3783" s="337" t="s">
        <v>474</v>
      </c>
      <c r="D3783" s="339">
        <v>90.02</v>
      </c>
    </row>
    <row r="3784" spans="1:4" ht="54">
      <c r="A3784" s="337">
        <v>92686</v>
      </c>
      <c r="B3784" s="338" t="s">
        <v>4400</v>
      </c>
      <c r="C3784" s="337" t="s">
        <v>474</v>
      </c>
      <c r="D3784" s="339">
        <v>114.11</v>
      </c>
    </row>
    <row r="3785" spans="1:4" ht="54">
      <c r="A3785" s="337">
        <v>92692</v>
      </c>
      <c r="B3785" s="338" t="s">
        <v>4401</v>
      </c>
      <c r="C3785" s="337" t="s">
        <v>474</v>
      </c>
      <c r="D3785" s="339">
        <v>8.52</v>
      </c>
    </row>
    <row r="3786" spans="1:4" ht="54">
      <c r="A3786" s="337">
        <v>92693</v>
      </c>
      <c r="B3786" s="338" t="s">
        <v>4402</v>
      </c>
      <c r="C3786" s="337" t="s">
        <v>474</v>
      </c>
      <c r="D3786" s="339">
        <v>8.73</v>
      </c>
    </row>
    <row r="3787" spans="1:4" ht="54">
      <c r="A3787" s="337">
        <v>92694</v>
      </c>
      <c r="B3787" s="338" t="s">
        <v>4403</v>
      </c>
      <c r="C3787" s="337" t="s">
        <v>474</v>
      </c>
      <c r="D3787" s="339">
        <v>13.68</v>
      </c>
    </row>
    <row r="3788" spans="1:4" ht="54">
      <c r="A3788" s="337">
        <v>92695</v>
      </c>
      <c r="B3788" s="338" t="s">
        <v>4404</v>
      </c>
      <c r="C3788" s="337" t="s">
        <v>474</v>
      </c>
      <c r="D3788" s="339">
        <v>13.89</v>
      </c>
    </row>
    <row r="3789" spans="1:4" ht="54">
      <c r="A3789" s="337">
        <v>92696</v>
      </c>
      <c r="B3789" s="338" t="s">
        <v>4405</v>
      </c>
      <c r="C3789" s="337" t="s">
        <v>474</v>
      </c>
      <c r="D3789" s="339">
        <v>21.52</v>
      </c>
    </row>
    <row r="3790" spans="1:4" ht="54">
      <c r="A3790" s="337">
        <v>92697</v>
      </c>
      <c r="B3790" s="338" t="s">
        <v>4406</v>
      </c>
      <c r="C3790" s="337" t="s">
        <v>474</v>
      </c>
      <c r="D3790" s="339">
        <v>22.46</v>
      </c>
    </row>
    <row r="3791" spans="1:4" ht="54">
      <c r="A3791" s="337">
        <v>92698</v>
      </c>
      <c r="B3791" s="338" t="s">
        <v>4407</v>
      </c>
      <c r="C3791" s="337" t="s">
        <v>474</v>
      </c>
      <c r="D3791" s="339">
        <v>12.61</v>
      </c>
    </row>
    <row r="3792" spans="1:4" ht="54">
      <c r="A3792" s="337">
        <v>92699</v>
      </c>
      <c r="B3792" s="338" t="s">
        <v>4408</v>
      </c>
      <c r="C3792" s="337" t="s">
        <v>474</v>
      </c>
      <c r="D3792" s="339">
        <v>11.93</v>
      </c>
    </row>
    <row r="3793" spans="1:4" ht="54">
      <c r="A3793" s="337">
        <v>92700</v>
      </c>
      <c r="B3793" s="338" t="s">
        <v>4409</v>
      </c>
      <c r="C3793" s="337" t="s">
        <v>474</v>
      </c>
      <c r="D3793" s="339">
        <v>20.72</v>
      </c>
    </row>
    <row r="3794" spans="1:4" ht="54">
      <c r="A3794" s="337">
        <v>92701</v>
      </c>
      <c r="B3794" s="338" t="s">
        <v>4410</v>
      </c>
      <c r="C3794" s="337" t="s">
        <v>474</v>
      </c>
      <c r="D3794" s="339">
        <v>19.71</v>
      </c>
    </row>
    <row r="3795" spans="1:4" ht="54">
      <c r="A3795" s="337">
        <v>92702</v>
      </c>
      <c r="B3795" s="338" t="s">
        <v>4411</v>
      </c>
      <c r="C3795" s="337" t="s">
        <v>474</v>
      </c>
      <c r="D3795" s="339">
        <v>32.57</v>
      </c>
    </row>
    <row r="3796" spans="1:4" ht="54">
      <c r="A3796" s="337">
        <v>92703</v>
      </c>
      <c r="B3796" s="338" t="s">
        <v>4412</v>
      </c>
      <c r="C3796" s="337" t="s">
        <v>474</v>
      </c>
      <c r="D3796" s="339">
        <v>31.33</v>
      </c>
    </row>
    <row r="3797" spans="1:4" ht="54">
      <c r="A3797" s="337">
        <v>92704</v>
      </c>
      <c r="B3797" s="338" t="s">
        <v>4413</v>
      </c>
      <c r="C3797" s="337" t="s">
        <v>474</v>
      </c>
      <c r="D3797" s="339">
        <v>16.07</v>
      </c>
    </row>
    <row r="3798" spans="1:4" ht="54">
      <c r="A3798" s="337">
        <v>92705</v>
      </c>
      <c r="B3798" s="338" t="s">
        <v>4414</v>
      </c>
      <c r="C3798" s="337" t="s">
        <v>474</v>
      </c>
      <c r="D3798" s="339">
        <v>26.08</v>
      </c>
    </row>
    <row r="3799" spans="1:4" ht="54">
      <c r="A3799" s="337">
        <v>92706</v>
      </c>
      <c r="B3799" s="338" t="s">
        <v>4415</v>
      </c>
      <c r="C3799" s="337" t="s">
        <v>474</v>
      </c>
      <c r="D3799" s="339">
        <v>42.24</v>
      </c>
    </row>
    <row r="3800" spans="1:4" ht="54">
      <c r="A3800" s="337">
        <v>92889</v>
      </c>
      <c r="B3800" s="338" t="s">
        <v>4416</v>
      </c>
      <c r="C3800" s="337" t="s">
        <v>474</v>
      </c>
      <c r="D3800" s="339">
        <v>72.599999999999994</v>
      </c>
    </row>
    <row r="3801" spans="1:4" ht="54">
      <c r="A3801" s="337">
        <v>92890</v>
      </c>
      <c r="B3801" s="338" t="s">
        <v>4417</v>
      </c>
      <c r="C3801" s="337" t="s">
        <v>474</v>
      </c>
      <c r="D3801" s="339">
        <v>108.25</v>
      </c>
    </row>
    <row r="3802" spans="1:4" ht="54">
      <c r="A3802" s="337">
        <v>92891</v>
      </c>
      <c r="B3802" s="338" t="s">
        <v>4418</v>
      </c>
      <c r="C3802" s="337" t="s">
        <v>474</v>
      </c>
      <c r="D3802" s="339">
        <v>156.91</v>
      </c>
    </row>
    <row r="3803" spans="1:4" ht="54">
      <c r="A3803" s="337">
        <v>92892</v>
      </c>
      <c r="B3803" s="338" t="s">
        <v>4419</v>
      </c>
      <c r="C3803" s="337" t="s">
        <v>474</v>
      </c>
      <c r="D3803" s="339">
        <v>32.75</v>
      </c>
    </row>
    <row r="3804" spans="1:4" ht="54">
      <c r="A3804" s="337">
        <v>92893</v>
      </c>
      <c r="B3804" s="338" t="s">
        <v>4420</v>
      </c>
      <c r="C3804" s="337" t="s">
        <v>474</v>
      </c>
      <c r="D3804" s="339">
        <v>45.52</v>
      </c>
    </row>
    <row r="3805" spans="1:4" ht="54">
      <c r="A3805" s="337">
        <v>92894</v>
      </c>
      <c r="B3805" s="338" t="s">
        <v>4421</v>
      </c>
      <c r="C3805" s="337" t="s">
        <v>474</v>
      </c>
      <c r="D3805" s="339">
        <v>54.03</v>
      </c>
    </row>
    <row r="3806" spans="1:4" ht="54">
      <c r="A3806" s="337">
        <v>92895</v>
      </c>
      <c r="B3806" s="338" t="s">
        <v>4422</v>
      </c>
      <c r="C3806" s="337" t="s">
        <v>474</v>
      </c>
      <c r="D3806" s="339">
        <v>72.569999999999993</v>
      </c>
    </row>
    <row r="3807" spans="1:4" ht="54">
      <c r="A3807" s="337">
        <v>92896</v>
      </c>
      <c r="B3807" s="338" t="s">
        <v>4423</v>
      </c>
      <c r="C3807" s="337" t="s">
        <v>474</v>
      </c>
      <c r="D3807" s="339">
        <v>109.34</v>
      </c>
    </row>
    <row r="3808" spans="1:4" ht="54">
      <c r="A3808" s="337">
        <v>92897</v>
      </c>
      <c r="B3808" s="338" t="s">
        <v>4424</v>
      </c>
      <c r="C3808" s="337" t="s">
        <v>474</v>
      </c>
      <c r="D3808" s="339">
        <v>159.16999999999999</v>
      </c>
    </row>
    <row r="3809" spans="1:4" ht="54">
      <c r="A3809" s="337">
        <v>92898</v>
      </c>
      <c r="B3809" s="338" t="s">
        <v>4425</v>
      </c>
      <c r="C3809" s="337" t="s">
        <v>474</v>
      </c>
      <c r="D3809" s="339">
        <v>26.69</v>
      </c>
    </row>
    <row r="3810" spans="1:4" ht="54">
      <c r="A3810" s="337">
        <v>92899</v>
      </c>
      <c r="B3810" s="338" t="s">
        <v>4426</v>
      </c>
      <c r="C3810" s="337" t="s">
        <v>474</v>
      </c>
      <c r="D3810" s="339">
        <v>38.619999999999997</v>
      </c>
    </row>
    <row r="3811" spans="1:4" ht="54">
      <c r="A3811" s="337">
        <v>92900</v>
      </c>
      <c r="B3811" s="338" t="s">
        <v>4427</v>
      </c>
      <c r="C3811" s="337" t="s">
        <v>474</v>
      </c>
      <c r="D3811" s="339">
        <v>46.16</v>
      </c>
    </row>
    <row r="3812" spans="1:4" ht="54">
      <c r="A3812" s="337">
        <v>92901</v>
      </c>
      <c r="B3812" s="338" t="s">
        <v>4428</v>
      </c>
      <c r="C3812" s="337" t="s">
        <v>474</v>
      </c>
      <c r="D3812" s="339">
        <v>63.51</v>
      </c>
    </row>
    <row r="3813" spans="1:4" ht="54">
      <c r="A3813" s="337">
        <v>92902</v>
      </c>
      <c r="B3813" s="338" t="s">
        <v>4429</v>
      </c>
      <c r="C3813" s="337" t="s">
        <v>474</v>
      </c>
      <c r="D3813" s="339">
        <v>98.47</v>
      </c>
    </row>
    <row r="3814" spans="1:4" ht="54">
      <c r="A3814" s="337">
        <v>92903</v>
      </c>
      <c r="B3814" s="338" t="s">
        <v>4430</v>
      </c>
      <c r="C3814" s="337" t="s">
        <v>474</v>
      </c>
      <c r="D3814" s="339">
        <v>146.53</v>
      </c>
    </row>
    <row r="3815" spans="1:4" ht="54">
      <c r="A3815" s="337">
        <v>92904</v>
      </c>
      <c r="B3815" s="338" t="s">
        <v>4431</v>
      </c>
      <c r="C3815" s="337" t="s">
        <v>474</v>
      </c>
      <c r="D3815" s="339">
        <v>17.95</v>
      </c>
    </row>
    <row r="3816" spans="1:4" ht="54">
      <c r="A3816" s="337">
        <v>92905</v>
      </c>
      <c r="B3816" s="338" t="s">
        <v>4432</v>
      </c>
      <c r="C3816" s="337" t="s">
        <v>474</v>
      </c>
      <c r="D3816" s="339">
        <v>25.98</v>
      </c>
    </row>
    <row r="3817" spans="1:4" ht="54">
      <c r="A3817" s="337">
        <v>92906</v>
      </c>
      <c r="B3817" s="338" t="s">
        <v>4433</v>
      </c>
      <c r="C3817" s="337" t="s">
        <v>474</v>
      </c>
      <c r="D3817" s="339">
        <v>32.5</v>
      </c>
    </row>
    <row r="3818" spans="1:4" ht="54">
      <c r="A3818" s="337">
        <v>92907</v>
      </c>
      <c r="B3818" s="338" t="s">
        <v>4434</v>
      </c>
      <c r="C3818" s="337" t="s">
        <v>474</v>
      </c>
      <c r="D3818" s="339">
        <v>40.82</v>
      </c>
    </row>
    <row r="3819" spans="1:4" ht="54">
      <c r="A3819" s="337">
        <v>92908</v>
      </c>
      <c r="B3819" s="338" t="s">
        <v>4435</v>
      </c>
      <c r="C3819" s="337" t="s">
        <v>474</v>
      </c>
      <c r="D3819" s="339">
        <v>40.82</v>
      </c>
    </row>
    <row r="3820" spans="1:4" ht="54">
      <c r="A3820" s="337">
        <v>92909</v>
      </c>
      <c r="B3820" s="338" t="s">
        <v>4436</v>
      </c>
      <c r="C3820" s="337" t="s">
        <v>474</v>
      </c>
      <c r="D3820" s="339">
        <v>40.82</v>
      </c>
    </row>
    <row r="3821" spans="1:4" ht="54">
      <c r="A3821" s="337">
        <v>92910</v>
      </c>
      <c r="B3821" s="338" t="s">
        <v>4437</v>
      </c>
      <c r="C3821" s="337" t="s">
        <v>474</v>
      </c>
      <c r="D3821" s="339">
        <v>57.63</v>
      </c>
    </row>
    <row r="3822" spans="1:4" ht="54">
      <c r="A3822" s="337">
        <v>92911</v>
      </c>
      <c r="B3822" s="338" t="s">
        <v>4438</v>
      </c>
      <c r="C3822" s="337" t="s">
        <v>474</v>
      </c>
      <c r="D3822" s="339">
        <v>57.63</v>
      </c>
    </row>
    <row r="3823" spans="1:4" ht="54">
      <c r="A3823" s="337">
        <v>92912</v>
      </c>
      <c r="B3823" s="338" t="s">
        <v>4439</v>
      </c>
      <c r="C3823" s="337" t="s">
        <v>474</v>
      </c>
      <c r="D3823" s="339">
        <v>75.739999999999995</v>
      </c>
    </row>
    <row r="3824" spans="1:4" ht="54">
      <c r="A3824" s="337">
        <v>92913</v>
      </c>
      <c r="B3824" s="338" t="s">
        <v>4440</v>
      </c>
      <c r="C3824" s="337" t="s">
        <v>474</v>
      </c>
      <c r="D3824" s="339">
        <v>77.599999999999994</v>
      </c>
    </row>
    <row r="3825" spans="1:4" ht="54">
      <c r="A3825" s="337">
        <v>92914</v>
      </c>
      <c r="B3825" s="338" t="s">
        <v>4441</v>
      </c>
      <c r="C3825" s="337" t="s">
        <v>474</v>
      </c>
      <c r="D3825" s="339">
        <v>77.599999999999994</v>
      </c>
    </row>
    <row r="3826" spans="1:4" ht="54">
      <c r="A3826" s="337">
        <v>92918</v>
      </c>
      <c r="B3826" s="338" t="s">
        <v>4442</v>
      </c>
      <c r="C3826" s="337" t="s">
        <v>474</v>
      </c>
      <c r="D3826" s="339">
        <v>22.63</v>
      </c>
    </row>
    <row r="3827" spans="1:4" ht="54">
      <c r="A3827" s="337">
        <v>92920</v>
      </c>
      <c r="B3827" s="338" t="s">
        <v>4443</v>
      </c>
      <c r="C3827" s="337" t="s">
        <v>474</v>
      </c>
      <c r="D3827" s="339">
        <v>22.76</v>
      </c>
    </row>
    <row r="3828" spans="1:4" ht="67.5">
      <c r="A3828" s="337">
        <v>92925</v>
      </c>
      <c r="B3828" s="338" t="s">
        <v>4444</v>
      </c>
      <c r="C3828" s="337" t="s">
        <v>474</v>
      </c>
      <c r="D3828" s="339">
        <v>27.55</v>
      </c>
    </row>
    <row r="3829" spans="1:4" ht="67.5">
      <c r="A3829" s="337">
        <v>92926</v>
      </c>
      <c r="B3829" s="338" t="s">
        <v>4445</v>
      </c>
      <c r="C3829" s="337" t="s">
        <v>474</v>
      </c>
      <c r="D3829" s="339">
        <v>27.54</v>
      </c>
    </row>
    <row r="3830" spans="1:4" ht="67.5">
      <c r="A3830" s="337">
        <v>92927</v>
      </c>
      <c r="B3830" s="338" t="s">
        <v>4446</v>
      </c>
      <c r="C3830" s="337" t="s">
        <v>474</v>
      </c>
      <c r="D3830" s="339">
        <v>27.54</v>
      </c>
    </row>
    <row r="3831" spans="1:4" ht="67.5">
      <c r="A3831" s="337">
        <v>92928</v>
      </c>
      <c r="B3831" s="338" t="s">
        <v>4447</v>
      </c>
      <c r="C3831" s="337" t="s">
        <v>474</v>
      </c>
      <c r="D3831" s="339">
        <v>31.32</v>
      </c>
    </row>
    <row r="3832" spans="1:4" ht="67.5">
      <c r="A3832" s="337">
        <v>92929</v>
      </c>
      <c r="B3832" s="338" t="s">
        <v>4448</v>
      </c>
      <c r="C3832" s="337" t="s">
        <v>474</v>
      </c>
      <c r="D3832" s="339">
        <v>31.32</v>
      </c>
    </row>
    <row r="3833" spans="1:4" ht="67.5">
      <c r="A3833" s="337">
        <v>92930</v>
      </c>
      <c r="B3833" s="338" t="s">
        <v>4449</v>
      </c>
      <c r="C3833" s="337" t="s">
        <v>474</v>
      </c>
      <c r="D3833" s="339">
        <v>31.32</v>
      </c>
    </row>
    <row r="3834" spans="1:4" ht="67.5">
      <c r="A3834" s="337">
        <v>92931</v>
      </c>
      <c r="B3834" s="338" t="s">
        <v>4450</v>
      </c>
      <c r="C3834" s="337" t="s">
        <v>474</v>
      </c>
      <c r="D3834" s="339">
        <v>40.79</v>
      </c>
    </row>
    <row r="3835" spans="1:4" ht="67.5">
      <c r="A3835" s="337">
        <v>92932</v>
      </c>
      <c r="B3835" s="338" t="s">
        <v>4451</v>
      </c>
      <c r="C3835" s="337" t="s">
        <v>474</v>
      </c>
      <c r="D3835" s="339">
        <v>40.79</v>
      </c>
    </row>
    <row r="3836" spans="1:4" ht="54">
      <c r="A3836" s="337">
        <v>92933</v>
      </c>
      <c r="B3836" s="338" t="s">
        <v>4452</v>
      </c>
      <c r="C3836" s="337" t="s">
        <v>474</v>
      </c>
      <c r="D3836" s="339">
        <v>40.79</v>
      </c>
    </row>
    <row r="3837" spans="1:4" ht="67.5">
      <c r="A3837" s="337">
        <v>92934</v>
      </c>
      <c r="B3837" s="338" t="s">
        <v>4453</v>
      </c>
      <c r="C3837" s="337" t="s">
        <v>474</v>
      </c>
      <c r="D3837" s="339">
        <v>58.72</v>
      </c>
    </row>
    <row r="3838" spans="1:4" ht="67.5">
      <c r="A3838" s="337">
        <v>92935</v>
      </c>
      <c r="B3838" s="338" t="s">
        <v>4454</v>
      </c>
      <c r="C3838" s="337" t="s">
        <v>474</v>
      </c>
      <c r="D3838" s="339">
        <v>58.72</v>
      </c>
    </row>
    <row r="3839" spans="1:4" ht="67.5">
      <c r="A3839" s="337">
        <v>92936</v>
      </c>
      <c r="B3839" s="338" t="s">
        <v>4455</v>
      </c>
      <c r="C3839" s="337" t="s">
        <v>474</v>
      </c>
      <c r="D3839" s="339">
        <v>79.86</v>
      </c>
    </row>
    <row r="3840" spans="1:4" ht="54">
      <c r="A3840" s="337">
        <v>92937</v>
      </c>
      <c r="B3840" s="338" t="s">
        <v>4456</v>
      </c>
      <c r="C3840" s="337" t="s">
        <v>474</v>
      </c>
      <c r="D3840" s="339">
        <v>79.86</v>
      </c>
    </row>
    <row r="3841" spans="1:4" ht="54">
      <c r="A3841" s="337">
        <v>92938</v>
      </c>
      <c r="B3841" s="338" t="s">
        <v>4457</v>
      </c>
      <c r="C3841" s="337" t="s">
        <v>474</v>
      </c>
      <c r="D3841" s="339">
        <v>16.57</v>
      </c>
    </row>
    <row r="3842" spans="1:4" ht="54">
      <c r="A3842" s="337">
        <v>92939</v>
      </c>
      <c r="B3842" s="338" t="s">
        <v>4458</v>
      </c>
      <c r="C3842" s="337" t="s">
        <v>474</v>
      </c>
      <c r="D3842" s="339">
        <v>16.7</v>
      </c>
    </row>
    <row r="3843" spans="1:4" ht="67.5">
      <c r="A3843" s="337">
        <v>92940</v>
      </c>
      <c r="B3843" s="338" t="s">
        <v>4459</v>
      </c>
      <c r="C3843" s="337" t="s">
        <v>474</v>
      </c>
      <c r="D3843" s="339">
        <v>20.65</v>
      </c>
    </row>
    <row r="3844" spans="1:4" ht="67.5">
      <c r="A3844" s="337">
        <v>92941</v>
      </c>
      <c r="B3844" s="338" t="s">
        <v>4460</v>
      </c>
      <c r="C3844" s="337" t="s">
        <v>474</v>
      </c>
      <c r="D3844" s="339">
        <v>20.64</v>
      </c>
    </row>
    <row r="3845" spans="1:4" ht="67.5">
      <c r="A3845" s="337">
        <v>92942</v>
      </c>
      <c r="B3845" s="338" t="s">
        <v>4461</v>
      </c>
      <c r="C3845" s="337" t="s">
        <v>474</v>
      </c>
      <c r="D3845" s="339">
        <v>20.64</v>
      </c>
    </row>
    <row r="3846" spans="1:4" ht="67.5">
      <c r="A3846" s="337">
        <v>92943</v>
      </c>
      <c r="B3846" s="338" t="s">
        <v>4462</v>
      </c>
      <c r="C3846" s="337" t="s">
        <v>474</v>
      </c>
      <c r="D3846" s="339">
        <v>23.45</v>
      </c>
    </row>
    <row r="3847" spans="1:4" ht="67.5">
      <c r="A3847" s="337">
        <v>92944</v>
      </c>
      <c r="B3847" s="338" t="s">
        <v>4463</v>
      </c>
      <c r="C3847" s="337" t="s">
        <v>474</v>
      </c>
      <c r="D3847" s="339">
        <v>23.45</v>
      </c>
    </row>
    <row r="3848" spans="1:4" ht="67.5">
      <c r="A3848" s="337">
        <v>92945</v>
      </c>
      <c r="B3848" s="338" t="s">
        <v>4464</v>
      </c>
      <c r="C3848" s="337" t="s">
        <v>474</v>
      </c>
      <c r="D3848" s="339">
        <v>23.45</v>
      </c>
    </row>
    <row r="3849" spans="1:4" ht="67.5">
      <c r="A3849" s="337">
        <v>92946</v>
      </c>
      <c r="B3849" s="338" t="s">
        <v>4465</v>
      </c>
      <c r="C3849" s="337" t="s">
        <v>474</v>
      </c>
      <c r="D3849" s="339">
        <v>31.73</v>
      </c>
    </row>
    <row r="3850" spans="1:4" ht="67.5">
      <c r="A3850" s="337">
        <v>92947</v>
      </c>
      <c r="B3850" s="338" t="s">
        <v>4466</v>
      </c>
      <c r="C3850" s="337" t="s">
        <v>474</v>
      </c>
      <c r="D3850" s="339">
        <v>31.73</v>
      </c>
    </row>
    <row r="3851" spans="1:4" ht="54">
      <c r="A3851" s="337">
        <v>92948</v>
      </c>
      <c r="B3851" s="338" t="s">
        <v>4467</v>
      </c>
      <c r="C3851" s="337" t="s">
        <v>474</v>
      </c>
      <c r="D3851" s="339">
        <v>31.73</v>
      </c>
    </row>
    <row r="3852" spans="1:4" ht="67.5">
      <c r="A3852" s="337">
        <v>92949</v>
      </c>
      <c r="B3852" s="338" t="s">
        <v>4468</v>
      </c>
      <c r="C3852" s="337" t="s">
        <v>474</v>
      </c>
      <c r="D3852" s="339">
        <v>47.85</v>
      </c>
    </row>
    <row r="3853" spans="1:4" ht="67.5">
      <c r="A3853" s="337">
        <v>92950</v>
      </c>
      <c r="B3853" s="338" t="s">
        <v>4469</v>
      </c>
      <c r="C3853" s="337" t="s">
        <v>474</v>
      </c>
      <c r="D3853" s="339">
        <v>47.85</v>
      </c>
    </row>
    <row r="3854" spans="1:4" ht="67.5">
      <c r="A3854" s="337">
        <v>92951</v>
      </c>
      <c r="B3854" s="338" t="s">
        <v>4470</v>
      </c>
      <c r="C3854" s="337" t="s">
        <v>474</v>
      </c>
      <c r="D3854" s="339">
        <v>67.22</v>
      </c>
    </row>
    <row r="3855" spans="1:4" ht="54">
      <c r="A3855" s="337">
        <v>92952</v>
      </c>
      <c r="B3855" s="338" t="s">
        <v>4471</v>
      </c>
      <c r="C3855" s="337" t="s">
        <v>474</v>
      </c>
      <c r="D3855" s="339">
        <v>67.22</v>
      </c>
    </row>
    <row r="3856" spans="1:4" ht="54">
      <c r="A3856" s="337">
        <v>92953</v>
      </c>
      <c r="B3856" s="338" t="s">
        <v>4472</v>
      </c>
      <c r="C3856" s="337" t="s">
        <v>474</v>
      </c>
      <c r="D3856" s="339">
        <v>14.56</v>
      </c>
    </row>
    <row r="3857" spans="1:4" ht="40.5">
      <c r="A3857" s="337">
        <v>93050</v>
      </c>
      <c r="B3857" s="338" t="s">
        <v>4473</v>
      </c>
      <c r="C3857" s="337" t="s">
        <v>474</v>
      </c>
      <c r="D3857" s="339">
        <v>5.96</v>
      </c>
    </row>
    <row r="3858" spans="1:4" ht="54">
      <c r="A3858" s="337">
        <v>93051</v>
      </c>
      <c r="B3858" s="338" t="s">
        <v>4474</v>
      </c>
      <c r="C3858" s="337" t="s">
        <v>474</v>
      </c>
      <c r="D3858" s="339">
        <v>5.56</v>
      </c>
    </row>
    <row r="3859" spans="1:4" ht="40.5">
      <c r="A3859" s="337">
        <v>93052</v>
      </c>
      <c r="B3859" s="338" t="s">
        <v>4475</v>
      </c>
      <c r="C3859" s="337" t="s">
        <v>474</v>
      </c>
      <c r="D3859" s="339">
        <v>235.05</v>
      </c>
    </row>
    <row r="3860" spans="1:4" ht="54">
      <c r="A3860" s="337">
        <v>93054</v>
      </c>
      <c r="B3860" s="338" t="s">
        <v>4476</v>
      </c>
      <c r="C3860" s="337" t="s">
        <v>474</v>
      </c>
      <c r="D3860" s="339">
        <v>10.74</v>
      </c>
    </row>
    <row r="3861" spans="1:4" ht="54">
      <c r="A3861" s="337">
        <v>93055</v>
      </c>
      <c r="B3861" s="338" t="s">
        <v>4477</v>
      </c>
      <c r="C3861" s="337" t="s">
        <v>474</v>
      </c>
      <c r="D3861" s="339">
        <v>21.13</v>
      </c>
    </row>
    <row r="3862" spans="1:4" ht="40.5">
      <c r="A3862" s="337">
        <v>93056</v>
      </c>
      <c r="B3862" s="338" t="s">
        <v>4478</v>
      </c>
      <c r="C3862" s="337" t="s">
        <v>474</v>
      </c>
      <c r="D3862" s="339">
        <v>8.5</v>
      </c>
    </row>
    <row r="3863" spans="1:4" ht="54">
      <c r="A3863" s="337">
        <v>93057</v>
      </c>
      <c r="B3863" s="338" t="s">
        <v>4479</v>
      </c>
      <c r="C3863" s="337" t="s">
        <v>474</v>
      </c>
      <c r="D3863" s="339">
        <v>7.53</v>
      </c>
    </row>
    <row r="3864" spans="1:4" ht="40.5">
      <c r="A3864" s="337">
        <v>93058</v>
      </c>
      <c r="B3864" s="338" t="s">
        <v>4480</v>
      </c>
      <c r="C3864" s="337" t="s">
        <v>474</v>
      </c>
      <c r="D3864" s="339">
        <v>258.52999999999997</v>
      </c>
    </row>
    <row r="3865" spans="1:4" ht="54">
      <c r="A3865" s="337">
        <v>93059</v>
      </c>
      <c r="B3865" s="338" t="s">
        <v>4481</v>
      </c>
      <c r="C3865" s="337" t="s">
        <v>474</v>
      </c>
      <c r="D3865" s="339">
        <v>14.6</v>
      </c>
    </row>
    <row r="3866" spans="1:4" ht="54">
      <c r="A3866" s="337">
        <v>93060</v>
      </c>
      <c r="B3866" s="338" t="s">
        <v>4482</v>
      </c>
      <c r="C3866" s="337" t="s">
        <v>474</v>
      </c>
      <c r="D3866" s="339">
        <v>36.4</v>
      </c>
    </row>
    <row r="3867" spans="1:4" ht="40.5">
      <c r="A3867" s="337">
        <v>93061</v>
      </c>
      <c r="B3867" s="338" t="s">
        <v>4483</v>
      </c>
      <c r="C3867" s="337" t="s">
        <v>474</v>
      </c>
      <c r="D3867" s="339">
        <v>15.32</v>
      </c>
    </row>
    <row r="3868" spans="1:4" ht="54">
      <c r="A3868" s="337">
        <v>93062</v>
      </c>
      <c r="B3868" s="338" t="s">
        <v>4484</v>
      </c>
      <c r="C3868" s="337" t="s">
        <v>474</v>
      </c>
      <c r="D3868" s="339">
        <v>13.44</v>
      </c>
    </row>
    <row r="3869" spans="1:4" ht="54">
      <c r="A3869" s="337">
        <v>93063</v>
      </c>
      <c r="B3869" s="338" t="s">
        <v>4485</v>
      </c>
      <c r="C3869" s="337" t="s">
        <v>474</v>
      </c>
      <c r="D3869" s="339">
        <v>296.14</v>
      </c>
    </row>
    <row r="3870" spans="1:4" ht="40.5">
      <c r="A3870" s="337">
        <v>93064</v>
      </c>
      <c r="B3870" s="338" t="s">
        <v>4486</v>
      </c>
      <c r="C3870" s="337" t="s">
        <v>474</v>
      </c>
      <c r="D3870" s="339">
        <v>23.27</v>
      </c>
    </row>
    <row r="3871" spans="1:4" ht="54">
      <c r="A3871" s="337">
        <v>93065</v>
      </c>
      <c r="B3871" s="338" t="s">
        <v>4487</v>
      </c>
      <c r="C3871" s="337" t="s">
        <v>474</v>
      </c>
      <c r="D3871" s="339">
        <v>21.87</v>
      </c>
    </row>
    <row r="3872" spans="1:4" ht="54">
      <c r="A3872" s="337">
        <v>93066</v>
      </c>
      <c r="B3872" s="338" t="s">
        <v>4488</v>
      </c>
      <c r="C3872" s="337" t="s">
        <v>474</v>
      </c>
      <c r="D3872" s="339">
        <v>371.65</v>
      </c>
    </row>
    <row r="3873" spans="1:4" ht="40.5">
      <c r="A3873" s="337">
        <v>93067</v>
      </c>
      <c r="B3873" s="338" t="s">
        <v>4489</v>
      </c>
      <c r="C3873" s="337" t="s">
        <v>474</v>
      </c>
      <c r="D3873" s="339">
        <v>34.21</v>
      </c>
    </row>
    <row r="3874" spans="1:4" ht="54">
      <c r="A3874" s="337">
        <v>93068</v>
      </c>
      <c r="B3874" s="338" t="s">
        <v>4490</v>
      </c>
      <c r="C3874" s="337" t="s">
        <v>474</v>
      </c>
      <c r="D3874" s="339">
        <v>30.12</v>
      </c>
    </row>
    <row r="3875" spans="1:4" ht="54">
      <c r="A3875" s="337">
        <v>93069</v>
      </c>
      <c r="B3875" s="338" t="s">
        <v>4491</v>
      </c>
      <c r="C3875" s="337" t="s">
        <v>474</v>
      </c>
      <c r="D3875" s="339">
        <v>514.9</v>
      </c>
    </row>
    <row r="3876" spans="1:4" ht="40.5">
      <c r="A3876" s="337">
        <v>93070</v>
      </c>
      <c r="B3876" s="338" t="s">
        <v>4492</v>
      </c>
      <c r="C3876" s="337" t="s">
        <v>474</v>
      </c>
      <c r="D3876" s="339">
        <v>84.32</v>
      </c>
    </row>
    <row r="3877" spans="1:4" ht="54">
      <c r="A3877" s="337">
        <v>93071</v>
      </c>
      <c r="B3877" s="338" t="s">
        <v>4493</v>
      </c>
      <c r="C3877" s="337" t="s">
        <v>474</v>
      </c>
      <c r="D3877" s="339">
        <v>78.430000000000007</v>
      </c>
    </row>
    <row r="3878" spans="1:4" ht="54">
      <c r="A3878" s="337">
        <v>93072</v>
      </c>
      <c r="B3878" s="338" t="s">
        <v>4494</v>
      </c>
      <c r="C3878" s="337" t="s">
        <v>474</v>
      </c>
      <c r="D3878" s="339">
        <v>679.14</v>
      </c>
    </row>
    <row r="3879" spans="1:4" ht="67.5">
      <c r="A3879" s="337">
        <v>93073</v>
      </c>
      <c r="B3879" s="338" t="s">
        <v>4495</v>
      </c>
      <c r="C3879" s="337" t="s">
        <v>474</v>
      </c>
      <c r="D3879" s="339">
        <v>38.76</v>
      </c>
    </row>
    <row r="3880" spans="1:4" ht="54">
      <c r="A3880" s="337">
        <v>93074</v>
      </c>
      <c r="B3880" s="338" t="s">
        <v>4496</v>
      </c>
      <c r="C3880" s="337" t="s">
        <v>474</v>
      </c>
      <c r="D3880" s="339">
        <v>7.21</v>
      </c>
    </row>
    <row r="3881" spans="1:4" ht="67.5">
      <c r="A3881" s="337">
        <v>93075</v>
      </c>
      <c r="B3881" s="338" t="s">
        <v>4497</v>
      </c>
      <c r="C3881" s="337" t="s">
        <v>474</v>
      </c>
      <c r="D3881" s="339">
        <v>11.1</v>
      </c>
    </row>
    <row r="3882" spans="1:4" ht="54">
      <c r="A3882" s="337">
        <v>93076</v>
      </c>
      <c r="B3882" s="338" t="s">
        <v>4498</v>
      </c>
      <c r="C3882" s="337" t="s">
        <v>474</v>
      </c>
      <c r="D3882" s="339">
        <v>11.03</v>
      </c>
    </row>
    <row r="3883" spans="1:4" ht="67.5">
      <c r="A3883" s="337">
        <v>93077</v>
      </c>
      <c r="B3883" s="338" t="s">
        <v>4499</v>
      </c>
      <c r="C3883" s="337" t="s">
        <v>474</v>
      </c>
      <c r="D3883" s="339">
        <v>15.4</v>
      </c>
    </row>
    <row r="3884" spans="1:4" ht="67.5">
      <c r="A3884" s="337">
        <v>93078</v>
      </c>
      <c r="B3884" s="338" t="s">
        <v>4500</v>
      </c>
      <c r="C3884" s="337" t="s">
        <v>474</v>
      </c>
      <c r="D3884" s="339">
        <v>16.54</v>
      </c>
    </row>
    <row r="3885" spans="1:4" ht="54">
      <c r="A3885" s="337">
        <v>93079</v>
      </c>
      <c r="B3885" s="338" t="s">
        <v>4501</v>
      </c>
      <c r="C3885" s="337" t="s">
        <v>474</v>
      </c>
      <c r="D3885" s="339">
        <v>14.96</v>
      </c>
    </row>
    <row r="3886" spans="1:4" ht="54">
      <c r="A3886" s="337">
        <v>93080</v>
      </c>
      <c r="B3886" s="338" t="s">
        <v>4502</v>
      </c>
      <c r="C3886" s="337" t="s">
        <v>474</v>
      </c>
      <c r="D3886" s="339">
        <v>4.7300000000000004</v>
      </c>
    </row>
    <row r="3887" spans="1:4" ht="54">
      <c r="A3887" s="337">
        <v>93081</v>
      </c>
      <c r="B3887" s="338" t="s">
        <v>4503</v>
      </c>
      <c r="C3887" s="337" t="s">
        <v>474</v>
      </c>
      <c r="D3887" s="339">
        <v>9.67</v>
      </c>
    </row>
    <row r="3888" spans="1:4" ht="67.5">
      <c r="A3888" s="337">
        <v>93082</v>
      </c>
      <c r="B3888" s="338" t="s">
        <v>4504</v>
      </c>
      <c r="C3888" s="337" t="s">
        <v>474</v>
      </c>
      <c r="D3888" s="339">
        <v>11.64</v>
      </c>
    </row>
    <row r="3889" spans="1:4" ht="54">
      <c r="A3889" s="337">
        <v>93083</v>
      </c>
      <c r="B3889" s="338" t="s">
        <v>4505</v>
      </c>
      <c r="C3889" s="337" t="s">
        <v>474</v>
      </c>
      <c r="D3889" s="339">
        <v>203.58</v>
      </c>
    </row>
    <row r="3890" spans="1:4" ht="54">
      <c r="A3890" s="337">
        <v>93084</v>
      </c>
      <c r="B3890" s="338" t="s">
        <v>4506</v>
      </c>
      <c r="C3890" s="337" t="s">
        <v>474</v>
      </c>
      <c r="D3890" s="339">
        <v>7.32</v>
      </c>
    </row>
    <row r="3891" spans="1:4" ht="67.5">
      <c r="A3891" s="337">
        <v>93085</v>
      </c>
      <c r="B3891" s="338" t="s">
        <v>4507</v>
      </c>
      <c r="C3891" s="337" t="s">
        <v>474</v>
      </c>
      <c r="D3891" s="339">
        <v>6.92</v>
      </c>
    </row>
    <row r="3892" spans="1:4" ht="54">
      <c r="A3892" s="337">
        <v>93086</v>
      </c>
      <c r="B3892" s="338" t="s">
        <v>4508</v>
      </c>
      <c r="C3892" s="337" t="s">
        <v>474</v>
      </c>
      <c r="D3892" s="339">
        <v>236.41</v>
      </c>
    </row>
    <row r="3893" spans="1:4" ht="54">
      <c r="A3893" s="337">
        <v>93087</v>
      </c>
      <c r="B3893" s="338" t="s">
        <v>4509</v>
      </c>
      <c r="C3893" s="337" t="s">
        <v>474</v>
      </c>
      <c r="D3893" s="339">
        <v>10.57</v>
      </c>
    </row>
    <row r="3894" spans="1:4" ht="54">
      <c r="A3894" s="337">
        <v>93088</v>
      </c>
      <c r="B3894" s="338" t="s">
        <v>4510</v>
      </c>
      <c r="C3894" s="337" t="s">
        <v>474</v>
      </c>
      <c r="D3894" s="339">
        <v>12.21</v>
      </c>
    </row>
    <row r="3895" spans="1:4" ht="67.5">
      <c r="A3895" s="337">
        <v>93089</v>
      </c>
      <c r="B3895" s="338" t="s">
        <v>4511</v>
      </c>
      <c r="C3895" s="337" t="s">
        <v>474</v>
      </c>
      <c r="D3895" s="339">
        <v>22.49</v>
      </c>
    </row>
    <row r="3896" spans="1:4" ht="54">
      <c r="A3896" s="337">
        <v>93090</v>
      </c>
      <c r="B3896" s="338" t="s">
        <v>4512</v>
      </c>
      <c r="C3896" s="337" t="s">
        <v>474</v>
      </c>
      <c r="D3896" s="339">
        <v>9.86</v>
      </c>
    </row>
    <row r="3897" spans="1:4" ht="54">
      <c r="A3897" s="337">
        <v>93091</v>
      </c>
      <c r="B3897" s="338" t="s">
        <v>4513</v>
      </c>
      <c r="C3897" s="337" t="s">
        <v>474</v>
      </c>
      <c r="D3897" s="339">
        <v>8.89</v>
      </c>
    </row>
    <row r="3898" spans="1:4" ht="54">
      <c r="A3898" s="337">
        <v>93092</v>
      </c>
      <c r="B3898" s="338" t="s">
        <v>4514</v>
      </c>
      <c r="C3898" s="337" t="s">
        <v>474</v>
      </c>
      <c r="D3898" s="339">
        <v>259.89</v>
      </c>
    </row>
    <row r="3899" spans="1:4" ht="54">
      <c r="A3899" s="337">
        <v>93093</v>
      </c>
      <c r="B3899" s="338" t="s">
        <v>4515</v>
      </c>
      <c r="C3899" s="337" t="s">
        <v>474</v>
      </c>
      <c r="D3899" s="339">
        <v>15.96</v>
      </c>
    </row>
    <row r="3900" spans="1:4" ht="67.5">
      <c r="A3900" s="337">
        <v>93094</v>
      </c>
      <c r="B3900" s="338" t="s">
        <v>4516</v>
      </c>
      <c r="C3900" s="337" t="s">
        <v>474</v>
      </c>
      <c r="D3900" s="339">
        <v>37.76</v>
      </c>
    </row>
    <row r="3901" spans="1:4" ht="67.5">
      <c r="A3901" s="337">
        <v>93095</v>
      </c>
      <c r="B3901" s="338" t="s">
        <v>4517</v>
      </c>
      <c r="C3901" s="337" t="s">
        <v>474</v>
      </c>
      <c r="D3901" s="339">
        <v>29.44</v>
      </c>
    </row>
    <row r="3902" spans="1:4" ht="67.5">
      <c r="A3902" s="337">
        <v>93096</v>
      </c>
      <c r="B3902" s="338" t="s">
        <v>4518</v>
      </c>
      <c r="C3902" s="337" t="s">
        <v>474</v>
      </c>
      <c r="D3902" s="339">
        <v>41.46</v>
      </c>
    </row>
    <row r="3903" spans="1:4" ht="54">
      <c r="A3903" s="337">
        <v>93097</v>
      </c>
      <c r="B3903" s="338" t="s">
        <v>4519</v>
      </c>
      <c r="C3903" s="337" t="s">
        <v>474</v>
      </c>
      <c r="D3903" s="339">
        <v>7.37</v>
      </c>
    </row>
    <row r="3904" spans="1:4" ht="67.5">
      <c r="A3904" s="337">
        <v>93098</v>
      </c>
      <c r="B3904" s="338" t="s">
        <v>4520</v>
      </c>
      <c r="C3904" s="337" t="s">
        <v>474</v>
      </c>
      <c r="D3904" s="339">
        <v>11.26</v>
      </c>
    </row>
    <row r="3905" spans="1:4" ht="54">
      <c r="A3905" s="337">
        <v>93099</v>
      </c>
      <c r="B3905" s="338" t="s">
        <v>4521</v>
      </c>
      <c r="C3905" s="337" t="s">
        <v>474</v>
      </c>
      <c r="D3905" s="339">
        <v>12.89</v>
      </c>
    </row>
    <row r="3906" spans="1:4" ht="67.5">
      <c r="A3906" s="337">
        <v>93100</v>
      </c>
      <c r="B3906" s="338" t="s">
        <v>4522</v>
      </c>
      <c r="C3906" s="337" t="s">
        <v>474</v>
      </c>
      <c r="D3906" s="339">
        <v>17.260000000000002</v>
      </c>
    </row>
    <row r="3907" spans="1:4" ht="67.5">
      <c r="A3907" s="337">
        <v>93101</v>
      </c>
      <c r="B3907" s="338" t="s">
        <v>4523</v>
      </c>
      <c r="C3907" s="337" t="s">
        <v>474</v>
      </c>
      <c r="D3907" s="339">
        <v>18.399999999999999</v>
      </c>
    </row>
    <row r="3908" spans="1:4" ht="54">
      <c r="A3908" s="337">
        <v>93102</v>
      </c>
      <c r="B3908" s="338" t="s">
        <v>4524</v>
      </c>
      <c r="C3908" s="337" t="s">
        <v>474</v>
      </c>
      <c r="D3908" s="339">
        <v>16.66</v>
      </c>
    </row>
    <row r="3909" spans="1:4" ht="54">
      <c r="A3909" s="337">
        <v>93103</v>
      </c>
      <c r="B3909" s="338" t="s">
        <v>4525</v>
      </c>
      <c r="C3909" s="337" t="s">
        <v>474</v>
      </c>
      <c r="D3909" s="339">
        <v>4.87</v>
      </c>
    </row>
    <row r="3910" spans="1:4" ht="54">
      <c r="A3910" s="337">
        <v>93104</v>
      </c>
      <c r="B3910" s="338" t="s">
        <v>4526</v>
      </c>
      <c r="C3910" s="337" t="s">
        <v>474</v>
      </c>
      <c r="D3910" s="339">
        <v>9.81</v>
      </c>
    </row>
    <row r="3911" spans="1:4" ht="54">
      <c r="A3911" s="337">
        <v>93105</v>
      </c>
      <c r="B3911" s="338" t="s">
        <v>4527</v>
      </c>
      <c r="C3911" s="337" t="s">
        <v>474</v>
      </c>
      <c r="D3911" s="339">
        <v>11.78</v>
      </c>
    </row>
    <row r="3912" spans="1:4" ht="54">
      <c r="A3912" s="337">
        <v>93106</v>
      </c>
      <c r="B3912" s="338" t="s">
        <v>4528</v>
      </c>
      <c r="C3912" s="337" t="s">
        <v>474</v>
      </c>
      <c r="D3912" s="339">
        <v>203.72</v>
      </c>
    </row>
    <row r="3913" spans="1:4" ht="54">
      <c r="A3913" s="337">
        <v>93107</v>
      </c>
      <c r="B3913" s="338" t="s">
        <v>4529</v>
      </c>
      <c r="C3913" s="337" t="s">
        <v>474</v>
      </c>
      <c r="D3913" s="339">
        <v>8.5299999999999994</v>
      </c>
    </row>
    <row r="3914" spans="1:4" ht="54">
      <c r="A3914" s="337">
        <v>93108</v>
      </c>
      <c r="B3914" s="338" t="s">
        <v>4530</v>
      </c>
      <c r="C3914" s="337" t="s">
        <v>474</v>
      </c>
      <c r="D3914" s="339">
        <v>8.1300000000000008</v>
      </c>
    </row>
    <row r="3915" spans="1:4" ht="54">
      <c r="A3915" s="337">
        <v>93109</v>
      </c>
      <c r="B3915" s="338" t="s">
        <v>4531</v>
      </c>
      <c r="C3915" s="337" t="s">
        <v>474</v>
      </c>
      <c r="D3915" s="339">
        <v>237.62</v>
      </c>
    </row>
    <row r="3916" spans="1:4" ht="54">
      <c r="A3916" s="337">
        <v>93110</v>
      </c>
      <c r="B3916" s="338" t="s">
        <v>4532</v>
      </c>
      <c r="C3916" s="337" t="s">
        <v>474</v>
      </c>
      <c r="D3916" s="339">
        <v>11.78</v>
      </c>
    </row>
    <row r="3917" spans="1:4" ht="54">
      <c r="A3917" s="337">
        <v>93111</v>
      </c>
      <c r="B3917" s="338" t="s">
        <v>4533</v>
      </c>
      <c r="C3917" s="337" t="s">
        <v>474</v>
      </c>
      <c r="D3917" s="339">
        <v>13.31</v>
      </c>
    </row>
    <row r="3918" spans="1:4" ht="54">
      <c r="A3918" s="337">
        <v>93112</v>
      </c>
      <c r="B3918" s="338" t="s">
        <v>4534</v>
      </c>
      <c r="C3918" s="337" t="s">
        <v>474</v>
      </c>
      <c r="D3918" s="339">
        <v>23.7</v>
      </c>
    </row>
    <row r="3919" spans="1:4" ht="54">
      <c r="A3919" s="337">
        <v>93113</v>
      </c>
      <c r="B3919" s="338" t="s">
        <v>4535</v>
      </c>
      <c r="C3919" s="337" t="s">
        <v>474</v>
      </c>
      <c r="D3919" s="339">
        <v>12.08</v>
      </c>
    </row>
    <row r="3920" spans="1:4" ht="54">
      <c r="A3920" s="337">
        <v>93114</v>
      </c>
      <c r="B3920" s="338" t="s">
        <v>4536</v>
      </c>
      <c r="C3920" s="337" t="s">
        <v>474</v>
      </c>
      <c r="D3920" s="339">
        <v>18.18</v>
      </c>
    </row>
    <row r="3921" spans="1:4" ht="54">
      <c r="A3921" s="337">
        <v>93115</v>
      </c>
      <c r="B3921" s="338" t="s">
        <v>4537</v>
      </c>
      <c r="C3921" s="337" t="s">
        <v>474</v>
      </c>
      <c r="D3921" s="339">
        <v>39.979999999999997</v>
      </c>
    </row>
    <row r="3922" spans="1:4" ht="54">
      <c r="A3922" s="337">
        <v>93116</v>
      </c>
      <c r="B3922" s="338" t="s">
        <v>4538</v>
      </c>
      <c r="C3922" s="337" t="s">
        <v>474</v>
      </c>
      <c r="D3922" s="339">
        <v>262.11</v>
      </c>
    </row>
    <row r="3923" spans="1:4" ht="67.5">
      <c r="A3923" s="337">
        <v>93117</v>
      </c>
      <c r="B3923" s="338" t="s">
        <v>4539</v>
      </c>
      <c r="C3923" s="337" t="s">
        <v>474</v>
      </c>
      <c r="D3923" s="339">
        <v>29.63</v>
      </c>
    </row>
    <row r="3924" spans="1:4" ht="67.5">
      <c r="A3924" s="337">
        <v>93118</v>
      </c>
      <c r="B3924" s="338" t="s">
        <v>4540</v>
      </c>
      <c r="C3924" s="337" t="s">
        <v>474</v>
      </c>
      <c r="D3924" s="339">
        <v>43.91</v>
      </c>
    </row>
    <row r="3925" spans="1:4" ht="54">
      <c r="A3925" s="337">
        <v>93119</v>
      </c>
      <c r="B3925" s="338" t="s">
        <v>4541</v>
      </c>
      <c r="C3925" s="337" t="s">
        <v>474</v>
      </c>
      <c r="D3925" s="339">
        <v>9.02</v>
      </c>
    </row>
    <row r="3926" spans="1:4" ht="54">
      <c r="A3926" s="337">
        <v>93120</v>
      </c>
      <c r="B3926" s="338" t="s">
        <v>4542</v>
      </c>
      <c r="C3926" s="337" t="s">
        <v>474</v>
      </c>
      <c r="D3926" s="339">
        <v>13.39</v>
      </c>
    </row>
    <row r="3927" spans="1:4" ht="54">
      <c r="A3927" s="337">
        <v>93121</v>
      </c>
      <c r="B3927" s="338" t="s">
        <v>4543</v>
      </c>
      <c r="C3927" s="337" t="s">
        <v>474</v>
      </c>
      <c r="D3927" s="339">
        <v>14.53</v>
      </c>
    </row>
    <row r="3928" spans="1:4" ht="54">
      <c r="A3928" s="337">
        <v>93122</v>
      </c>
      <c r="B3928" s="338" t="s">
        <v>4544</v>
      </c>
      <c r="C3928" s="337" t="s">
        <v>474</v>
      </c>
      <c r="D3928" s="339">
        <v>12.95</v>
      </c>
    </row>
    <row r="3929" spans="1:4" ht="54">
      <c r="A3929" s="337">
        <v>93123</v>
      </c>
      <c r="B3929" s="338" t="s">
        <v>4545</v>
      </c>
      <c r="C3929" s="337" t="s">
        <v>474</v>
      </c>
      <c r="D3929" s="339">
        <v>27.33</v>
      </c>
    </row>
    <row r="3930" spans="1:4" ht="54">
      <c r="A3930" s="337">
        <v>93124</v>
      </c>
      <c r="B3930" s="338" t="s">
        <v>4546</v>
      </c>
      <c r="C3930" s="337" t="s">
        <v>474</v>
      </c>
      <c r="D3930" s="339">
        <v>42.4</v>
      </c>
    </row>
    <row r="3931" spans="1:4" ht="54">
      <c r="A3931" s="337">
        <v>93125</v>
      </c>
      <c r="B3931" s="338" t="s">
        <v>4547</v>
      </c>
      <c r="C3931" s="337" t="s">
        <v>474</v>
      </c>
      <c r="D3931" s="339">
        <v>61.34</v>
      </c>
    </row>
    <row r="3932" spans="1:4" ht="54">
      <c r="A3932" s="337">
        <v>93126</v>
      </c>
      <c r="B3932" s="338" t="s">
        <v>4548</v>
      </c>
      <c r="C3932" s="337" t="s">
        <v>474</v>
      </c>
      <c r="D3932" s="339">
        <v>133.88999999999999</v>
      </c>
    </row>
    <row r="3933" spans="1:4" ht="54">
      <c r="A3933" s="337">
        <v>93133</v>
      </c>
      <c r="B3933" s="338" t="s">
        <v>4549</v>
      </c>
      <c r="C3933" s="337" t="s">
        <v>474</v>
      </c>
      <c r="D3933" s="339">
        <v>11.11</v>
      </c>
    </row>
    <row r="3934" spans="1:4" ht="81">
      <c r="A3934" s="337">
        <v>94465</v>
      </c>
      <c r="B3934" s="338" t="s">
        <v>4550</v>
      </c>
      <c r="C3934" s="337" t="s">
        <v>474</v>
      </c>
      <c r="D3934" s="339">
        <v>29.29</v>
      </c>
    </row>
    <row r="3935" spans="1:4" ht="81">
      <c r="A3935" s="337">
        <v>94466</v>
      </c>
      <c r="B3935" s="338" t="s">
        <v>4551</v>
      </c>
      <c r="C3935" s="337" t="s">
        <v>474</v>
      </c>
      <c r="D3935" s="339">
        <v>29.3</v>
      </c>
    </row>
    <row r="3936" spans="1:4" ht="81">
      <c r="A3936" s="337">
        <v>94467</v>
      </c>
      <c r="B3936" s="338" t="s">
        <v>4552</v>
      </c>
      <c r="C3936" s="337" t="s">
        <v>474</v>
      </c>
      <c r="D3936" s="339">
        <v>43.93</v>
      </c>
    </row>
    <row r="3937" spans="1:4" ht="81">
      <c r="A3937" s="337">
        <v>94468</v>
      </c>
      <c r="B3937" s="338" t="s">
        <v>4553</v>
      </c>
      <c r="C3937" s="337" t="s">
        <v>474</v>
      </c>
      <c r="D3937" s="339">
        <v>38.729999999999997</v>
      </c>
    </row>
    <row r="3938" spans="1:4" ht="81">
      <c r="A3938" s="337">
        <v>94469</v>
      </c>
      <c r="B3938" s="338" t="s">
        <v>4554</v>
      </c>
      <c r="C3938" s="337" t="s">
        <v>474</v>
      </c>
      <c r="D3938" s="339">
        <v>63.31</v>
      </c>
    </row>
    <row r="3939" spans="1:4" ht="81">
      <c r="A3939" s="337">
        <v>94470</v>
      </c>
      <c r="B3939" s="338" t="s">
        <v>4555</v>
      </c>
      <c r="C3939" s="337" t="s">
        <v>474</v>
      </c>
      <c r="D3939" s="339">
        <v>58.69</v>
      </c>
    </row>
    <row r="3940" spans="1:4" ht="81">
      <c r="A3940" s="337">
        <v>94471</v>
      </c>
      <c r="B3940" s="338" t="s">
        <v>4556</v>
      </c>
      <c r="C3940" s="337" t="s">
        <v>474</v>
      </c>
      <c r="D3940" s="339">
        <v>42.35</v>
      </c>
    </row>
    <row r="3941" spans="1:4" ht="81">
      <c r="A3941" s="337">
        <v>94472</v>
      </c>
      <c r="B3941" s="338" t="s">
        <v>4557</v>
      </c>
      <c r="C3941" s="337" t="s">
        <v>474</v>
      </c>
      <c r="D3941" s="339">
        <v>43.51</v>
      </c>
    </row>
    <row r="3942" spans="1:4" ht="81">
      <c r="A3942" s="337">
        <v>94473</v>
      </c>
      <c r="B3942" s="338" t="s">
        <v>4558</v>
      </c>
      <c r="C3942" s="337" t="s">
        <v>474</v>
      </c>
      <c r="D3942" s="339">
        <v>63.04</v>
      </c>
    </row>
    <row r="3943" spans="1:4" ht="81">
      <c r="A3943" s="337">
        <v>94474</v>
      </c>
      <c r="B3943" s="338" t="s">
        <v>4559</v>
      </c>
      <c r="C3943" s="337" t="s">
        <v>474</v>
      </c>
      <c r="D3943" s="339">
        <v>68.12</v>
      </c>
    </row>
    <row r="3944" spans="1:4" ht="81">
      <c r="A3944" s="337">
        <v>94475</v>
      </c>
      <c r="B3944" s="338" t="s">
        <v>4560</v>
      </c>
      <c r="C3944" s="337" t="s">
        <v>474</v>
      </c>
      <c r="D3944" s="339">
        <v>86.17</v>
      </c>
    </row>
    <row r="3945" spans="1:4" ht="81">
      <c r="A3945" s="337">
        <v>94476</v>
      </c>
      <c r="B3945" s="338" t="s">
        <v>4561</v>
      </c>
      <c r="C3945" s="337" t="s">
        <v>474</v>
      </c>
      <c r="D3945" s="339">
        <v>95.97</v>
      </c>
    </row>
    <row r="3946" spans="1:4" ht="81">
      <c r="A3946" s="337">
        <v>94477</v>
      </c>
      <c r="B3946" s="338" t="s">
        <v>4562</v>
      </c>
      <c r="C3946" s="337" t="s">
        <v>474</v>
      </c>
      <c r="D3946" s="339">
        <v>56.38</v>
      </c>
    </row>
    <row r="3947" spans="1:4" ht="81">
      <c r="A3947" s="337">
        <v>94478</v>
      </c>
      <c r="B3947" s="338" t="s">
        <v>4563</v>
      </c>
      <c r="C3947" s="337" t="s">
        <v>474</v>
      </c>
      <c r="D3947" s="339">
        <v>86.54</v>
      </c>
    </row>
    <row r="3948" spans="1:4" ht="81">
      <c r="A3948" s="337">
        <v>94479</v>
      </c>
      <c r="B3948" s="338" t="s">
        <v>4564</v>
      </c>
      <c r="C3948" s="337" t="s">
        <v>474</v>
      </c>
      <c r="D3948" s="339">
        <v>113.89</v>
      </c>
    </row>
    <row r="3949" spans="1:4" ht="67.5">
      <c r="A3949" s="337">
        <v>94606</v>
      </c>
      <c r="B3949" s="338" t="s">
        <v>4565</v>
      </c>
      <c r="C3949" s="337" t="s">
        <v>474</v>
      </c>
      <c r="D3949" s="339">
        <v>40.270000000000003</v>
      </c>
    </row>
    <row r="3950" spans="1:4" ht="67.5">
      <c r="A3950" s="337">
        <v>94608</v>
      </c>
      <c r="B3950" s="338" t="s">
        <v>4566</v>
      </c>
      <c r="C3950" s="337" t="s">
        <v>474</v>
      </c>
      <c r="D3950" s="339">
        <v>92.11</v>
      </c>
    </row>
    <row r="3951" spans="1:4" ht="67.5">
      <c r="A3951" s="337">
        <v>94610</v>
      </c>
      <c r="B3951" s="338" t="s">
        <v>4567</v>
      </c>
      <c r="C3951" s="337" t="s">
        <v>474</v>
      </c>
      <c r="D3951" s="339">
        <v>134.97</v>
      </c>
    </row>
    <row r="3952" spans="1:4" ht="67.5">
      <c r="A3952" s="337">
        <v>94612</v>
      </c>
      <c r="B3952" s="338" t="s">
        <v>4568</v>
      </c>
      <c r="C3952" s="337" t="s">
        <v>474</v>
      </c>
      <c r="D3952" s="339">
        <v>187.3</v>
      </c>
    </row>
    <row r="3953" spans="1:4" ht="81">
      <c r="A3953" s="337">
        <v>94614</v>
      </c>
      <c r="B3953" s="338" t="s">
        <v>4569</v>
      </c>
      <c r="C3953" s="337" t="s">
        <v>474</v>
      </c>
      <c r="D3953" s="339">
        <v>67.22</v>
      </c>
    </row>
    <row r="3954" spans="1:4" ht="81">
      <c r="A3954" s="337">
        <v>94615</v>
      </c>
      <c r="B3954" s="338" t="s">
        <v>4570</v>
      </c>
      <c r="C3954" s="337" t="s">
        <v>474</v>
      </c>
      <c r="D3954" s="339">
        <v>75.36</v>
      </c>
    </row>
    <row r="3955" spans="1:4" ht="81">
      <c r="A3955" s="337">
        <v>94616</v>
      </c>
      <c r="B3955" s="338" t="s">
        <v>4571</v>
      </c>
      <c r="C3955" s="337" t="s">
        <v>474</v>
      </c>
      <c r="D3955" s="339">
        <v>174.19</v>
      </c>
    </row>
    <row r="3956" spans="1:4" ht="81">
      <c r="A3956" s="337">
        <v>94617</v>
      </c>
      <c r="B3956" s="338" t="s">
        <v>4572</v>
      </c>
      <c r="C3956" s="337" t="s">
        <v>474</v>
      </c>
      <c r="D3956" s="339">
        <v>145.88999999999999</v>
      </c>
    </row>
    <row r="3957" spans="1:4" ht="81">
      <c r="A3957" s="337">
        <v>94618</v>
      </c>
      <c r="B3957" s="338" t="s">
        <v>4573</v>
      </c>
      <c r="C3957" s="337" t="s">
        <v>474</v>
      </c>
      <c r="D3957" s="339">
        <v>171.81</v>
      </c>
    </row>
    <row r="3958" spans="1:4" ht="81">
      <c r="A3958" s="337">
        <v>94620</v>
      </c>
      <c r="B3958" s="338" t="s">
        <v>4574</v>
      </c>
      <c r="C3958" s="337" t="s">
        <v>474</v>
      </c>
      <c r="D3958" s="339">
        <v>383.48</v>
      </c>
    </row>
    <row r="3959" spans="1:4" ht="67.5">
      <c r="A3959" s="337">
        <v>94622</v>
      </c>
      <c r="B3959" s="338" t="s">
        <v>4575</v>
      </c>
      <c r="C3959" s="337" t="s">
        <v>474</v>
      </c>
      <c r="D3959" s="339">
        <v>97.46</v>
      </c>
    </row>
    <row r="3960" spans="1:4" ht="67.5">
      <c r="A3960" s="337">
        <v>94623</v>
      </c>
      <c r="B3960" s="338" t="s">
        <v>4576</v>
      </c>
      <c r="C3960" s="337" t="s">
        <v>474</v>
      </c>
      <c r="D3960" s="339">
        <v>216.44</v>
      </c>
    </row>
    <row r="3961" spans="1:4" ht="67.5">
      <c r="A3961" s="337">
        <v>94624</v>
      </c>
      <c r="B3961" s="338" t="s">
        <v>4577</v>
      </c>
      <c r="C3961" s="337" t="s">
        <v>474</v>
      </c>
      <c r="D3961" s="339">
        <v>325.27</v>
      </c>
    </row>
    <row r="3962" spans="1:4" ht="67.5">
      <c r="A3962" s="337">
        <v>94625</v>
      </c>
      <c r="B3962" s="338" t="s">
        <v>4578</v>
      </c>
      <c r="C3962" s="337" t="s">
        <v>474</v>
      </c>
      <c r="D3962" s="339">
        <v>665.72</v>
      </c>
    </row>
    <row r="3963" spans="1:4" ht="81">
      <c r="A3963" s="337">
        <v>94656</v>
      </c>
      <c r="B3963" s="338" t="s">
        <v>4579</v>
      </c>
      <c r="C3963" s="337" t="s">
        <v>474</v>
      </c>
      <c r="D3963" s="339">
        <v>4.45</v>
      </c>
    </row>
    <row r="3964" spans="1:4" ht="67.5">
      <c r="A3964" s="337">
        <v>94657</v>
      </c>
      <c r="B3964" s="338" t="s">
        <v>4580</v>
      </c>
      <c r="C3964" s="337" t="s">
        <v>474</v>
      </c>
      <c r="D3964" s="339">
        <v>4.2300000000000004</v>
      </c>
    </row>
    <row r="3965" spans="1:4" ht="81">
      <c r="A3965" s="337">
        <v>94658</v>
      </c>
      <c r="B3965" s="338" t="s">
        <v>4581</v>
      </c>
      <c r="C3965" s="337" t="s">
        <v>474</v>
      </c>
      <c r="D3965" s="339">
        <v>5.25</v>
      </c>
    </row>
    <row r="3966" spans="1:4" ht="67.5">
      <c r="A3966" s="337">
        <v>94659</v>
      </c>
      <c r="B3966" s="338" t="s">
        <v>4582</v>
      </c>
      <c r="C3966" s="337" t="s">
        <v>474</v>
      </c>
      <c r="D3966" s="339">
        <v>4.9000000000000004</v>
      </c>
    </row>
    <row r="3967" spans="1:4" ht="81">
      <c r="A3967" s="337">
        <v>94660</v>
      </c>
      <c r="B3967" s="338" t="s">
        <v>4583</v>
      </c>
      <c r="C3967" s="337" t="s">
        <v>474</v>
      </c>
      <c r="D3967" s="339">
        <v>8.4600000000000009</v>
      </c>
    </row>
    <row r="3968" spans="1:4" ht="67.5">
      <c r="A3968" s="337">
        <v>94661</v>
      </c>
      <c r="B3968" s="338" t="s">
        <v>4584</v>
      </c>
      <c r="C3968" s="337" t="s">
        <v>474</v>
      </c>
      <c r="D3968" s="339">
        <v>8.36</v>
      </c>
    </row>
    <row r="3969" spans="1:4" ht="81">
      <c r="A3969" s="337">
        <v>94662</v>
      </c>
      <c r="B3969" s="338" t="s">
        <v>4585</v>
      </c>
      <c r="C3969" s="337" t="s">
        <v>474</v>
      </c>
      <c r="D3969" s="339">
        <v>9.14</v>
      </c>
    </row>
    <row r="3970" spans="1:4" ht="67.5">
      <c r="A3970" s="337">
        <v>94663</v>
      </c>
      <c r="B3970" s="338" t="s">
        <v>4586</v>
      </c>
      <c r="C3970" s="337" t="s">
        <v>474</v>
      </c>
      <c r="D3970" s="339">
        <v>8.85</v>
      </c>
    </row>
    <row r="3971" spans="1:4" ht="81">
      <c r="A3971" s="337">
        <v>94664</v>
      </c>
      <c r="B3971" s="338" t="s">
        <v>4587</v>
      </c>
      <c r="C3971" s="337" t="s">
        <v>474</v>
      </c>
      <c r="D3971" s="339">
        <v>19.260000000000002</v>
      </c>
    </row>
    <row r="3972" spans="1:4" ht="67.5">
      <c r="A3972" s="337">
        <v>94665</v>
      </c>
      <c r="B3972" s="338" t="s">
        <v>4588</v>
      </c>
      <c r="C3972" s="337" t="s">
        <v>474</v>
      </c>
      <c r="D3972" s="339">
        <v>19.149999999999999</v>
      </c>
    </row>
    <row r="3973" spans="1:4" ht="81">
      <c r="A3973" s="337">
        <v>94666</v>
      </c>
      <c r="B3973" s="338" t="s">
        <v>4589</v>
      </c>
      <c r="C3973" s="337" t="s">
        <v>474</v>
      </c>
      <c r="D3973" s="339">
        <v>25.91</v>
      </c>
    </row>
    <row r="3974" spans="1:4" ht="67.5">
      <c r="A3974" s="337">
        <v>94667</v>
      </c>
      <c r="B3974" s="338" t="s">
        <v>4590</v>
      </c>
      <c r="C3974" s="337" t="s">
        <v>474</v>
      </c>
      <c r="D3974" s="339">
        <v>23.64</v>
      </c>
    </row>
    <row r="3975" spans="1:4" ht="81">
      <c r="A3975" s="337">
        <v>94668</v>
      </c>
      <c r="B3975" s="338" t="s">
        <v>4591</v>
      </c>
      <c r="C3975" s="337" t="s">
        <v>474</v>
      </c>
      <c r="D3975" s="339">
        <v>42.01</v>
      </c>
    </row>
    <row r="3976" spans="1:4" ht="67.5">
      <c r="A3976" s="337">
        <v>94669</v>
      </c>
      <c r="B3976" s="338" t="s">
        <v>4592</v>
      </c>
      <c r="C3976" s="337" t="s">
        <v>474</v>
      </c>
      <c r="D3976" s="339">
        <v>49.11</v>
      </c>
    </row>
    <row r="3977" spans="1:4" ht="81">
      <c r="A3977" s="337">
        <v>94670</v>
      </c>
      <c r="B3977" s="338" t="s">
        <v>4593</v>
      </c>
      <c r="C3977" s="337" t="s">
        <v>474</v>
      </c>
      <c r="D3977" s="339">
        <v>56.52</v>
      </c>
    </row>
    <row r="3978" spans="1:4" ht="67.5">
      <c r="A3978" s="337">
        <v>94671</v>
      </c>
      <c r="B3978" s="338" t="s">
        <v>4594</v>
      </c>
      <c r="C3978" s="337" t="s">
        <v>474</v>
      </c>
      <c r="D3978" s="339">
        <v>70.77</v>
      </c>
    </row>
    <row r="3979" spans="1:4" ht="81">
      <c r="A3979" s="337">
        <v>94672</v>
      </c>
      <c r="B3979" s="338" t="s">
        <v>4595</v>
      </c>
      <c r="C3979" s="337" t="s">
        <v>474</v>
      </c>
      <c r="D3979" s="339">
        <v>7.12</v>
      </c>
    </row>
    <row r="3980" spans="1:4" ht="67.5">
      <c r="A3980" s="337">
        <v>94673</v>
      </c>
      <c r="B3980" s="338" t="s">
        <v>4596</v>
      </c>
      <c r="C3980" s="337" t="s">
        <v>474</v>
      </c>
      <c r="D3980" s="339">
        <v>7.01</v>
      </c>
    </row>
    <row r="3981" spans="1:4" ht="67.5">
      <c r="A3981" s="337">
        <v>94674</v>
      </c>
      <c r="B3981" s="338" t="s">
        <v>4597</v>
      </c>
      <c r="C3981" s="337" t="s">
        <v>474</v>
      </c>
      <c r="D3981" s="339">
        <v>6.39</v>
      </c>
    </row>
    <row r="3982" spans="1:4" ht="67.5">
      <c r="A3982" s="337">
        <v>94675</v>
      </c>
      <c r="B3982" s="338" t="s">
        <v>4598</v>
      </c>
      <c r="C3982" s="337" t="s">
        <v>474</v>
      </c>
      <c r="D3982" s="339">
        <v>9.15</v>
      </c>
    </row>
    <row r="3983" spans="1:4" ht="67.5">
      <c r="A3983" s="337">
        <v>94676</v>
      </c>
      <c r="B3983" s="338" t="s">
        <v>4599</v>
      </c>
      <c r="C3983" s="337" t="s">
        <v>474</v>
      </c>
      <c r="D3983" s="339">
        <v>10.99</v>
      </c>
    </row>
    <row r="3984" spans="1:4" ht="67.5">
      <c r="A3984" s="337">
        <v>94677</v>
      </c>
      <c r="B3984" s="338" t="s">
        <v>4600</v>
      </c>
      <c r="C3984" s="337" t="s">
        <v>474</v>
      </c>
      <c r="D3984" s="339">
        <v>15.07</v>
      </c>
    </row>
    <row r="3985" spans="1:4" ht="67.5">
      <c r="A3985" s="337">
        <v>94678</v>
      </c>
      <c r="B3985" s="338" t="s">
        <v>4601</v>
      </c>
      <c r="C3985" s="337" t="s">
        <v>474</v>
      </c>
      <c r="D3985" s="339">
        <v>11.39</v>
      </c>
    </row>
    <row r="3986" spans="1:4" ht="67.5">
      <c r="A3986" s="337">
        <v>94679</v>
      </c>
      <c r="B3986" s="338" t="s">
        <v>4602</v>
      </c>
      <c r="C3986" s="337" t="s">
        <v>474</v>
      </c>
      <c r="D3986" s="339">
        <v>15.86</v>
      </c>
    </row>
    <row r="3987" spans="1:4" ht="67.5">
      <c r="A3987" s="337">
        <v>94680</v>
      </c>
      <c r="B3987" s="338" t="s">
        <v>4603</v>
      </c>
      <c r="C3987" s="337" t="s">
        <v>474</v>
      </c>
      <c r="D3987" s="339">
        <v>31.38</v>
      </c>
    </row>
    <row r="3988" spans="1:4" ht="67.5">
      <c r="A3988" s="337">
        <v>94681</v>
      </c>
      <c r="B3988" s="338" t="s">
        <v>4604</v>
      </c>
      <c r="C3988" s="337" t="s">
        <v>474</v>
      </c>
      <c r="D3988" s="339">
        <v>32.65</v>
      </c>
    </row>
    <row r="3989" spans="1:4" ht="67.5">
      <c r="A3989" s="337">
        <v>94682</v>
      </c>
      <c r="B3989" s="338" t="s">
        <v>4605</v>
      </c>
      <c r="C3989" s="337" t="s">
        <v>474</v>
      </c>
      <c r="D3989" s="339">
        <v>71.03</v>
      </c>
    </row>
    <row r="3990" spans="1:4" ht="67.5">
      <c r="A3990" s="337">
        <v>94683</v>
      </c>
      <c r="B3990" s="338" t="s">
        <v>4606</v>
      </c>
      <c r="C3990" s="337" t="s">
        <v>474</v>
      </c>
      <c r="D3990" s="339">
        <v>46.87</v>
      </c>
    </row>
    <row r="3991" spans="1:4" ht="67.5">
      <c r="A3991" s="337">
        <v>94684</v>
      </c>
      <c r="B3991" s="338" t="s">
        <v>4607</v>
      </c>
      <c r="C3991" s="337" t="s">
        <v>474</v>
      </c>
      <c r="D3991" s="339">
        <v>88.79</v>
      </c>
    </row>
    <row r="3992" spans="1:4" ht="67.5">
      <c r="A3992" s="337">
        <v>94685</v>
      </c>
      <c r="B3992" s="338" t="s">
        <v>4608</v>
      </c>
      <c r="C3992" s="337" t="s">
        <v>474</v>
      </c>
      <c r="D3992" s="339">
        <v>64.02</v>
      </c>
    </row>
    <row r="3993" spans="1:4" ht="67.5">
      <c r="A3993" s="337">
        <v>94686</v>
      </c>
      <c r="B3993" s="338" t="s">
        <v>4609</v>
      </c>
      <c r="C3993" s="337" t="s">
        <v>474</v>
      </c>
      <c r="D3993" s="339">
        <v>175.46</v>
      </c>
    </row>
    <row r="3994" spans="1:4" ht="67.5">
      <c r="A3994" s="337">
        <v>94687</v>
      </c>
      <c r="B3994" s="338" t="s">
        <v>4610</v>
      </c>
      <c r="C3994" s="337" t="s">
        <v>474</v>
      </c>
      <c r="D3994" s="339">
        <v>108.97</v>
      </c>
    </row>
    <row r="3995" spans="1:4" ht="67.5">
      <c r="A3995" s="337">
        <v>94688</v>
      </c>
      <c r="B3995" s="338" t="s">
        <v>4611</v>
      </c>
      <c r="C3995" s="337" t="s">
        <v>474</v>
      </c>
      <c r="D3995" s="339">
        <v>7.62</v>
      </c>
    </row>
    <row r="3996" spans="1:4" ht="81">
      <c r="A3996" s="337">
        <v>94689</v>
      </c>
      <c r="B3996" s="338" t="s">
        <v>4612</v>
      </c>
      <c r="C3996" s="337" t="s">
        <v>474</v>
      </c>
      <c r="D3996" s="339">
        <v>9.3800000000000008</v>
      </c>
    </row>
    <row r="3997" spans="1:4" ht="67.5">
      <c r="A3997" s="337">
        <v>94690</v>
      </c>
      <c r="B3997" s="338" t="s">
        <v>4613</v>
      </c>
      <c r="C3997" s="337" t="s">
        <v>474</v>
      </c>
      <c r="D3997" s="339">
        <v>9.0399999999999991</v>
      </c>
    </row>
    <row r="3998" spans="1:4" ht="67.5">
      <c r="A3998" s="337">
        <v>94691</v>
      </c>
      <c r="B3998" s="338" t="s">
        <v>4614</v>
      </c>
      <c r="C3998" s="337" t="s">
        <v>474</v>
      </c>
      <c r="D3998" s="339">
        <v>11.07</v>
      </c>
    </row>
    <row r="3999" spans="1:4" ht="67.5">
      <c r="A3999" s="337">
        <v>94692</v>
      </c>
      <c r="B3999" s="338" t="s">
        <v>4615</v>
      </c>
      <c r="C3999" s="337" t="s">
        <v>474</v>
      </c>
      <c r="D3999" s="339">
        <v>16.29</v>
      </c>
    </row>
    <row r="4000" spans="1:4" ht="67.5">
      <c r="A4000" s="337">
        <v>94693</v>
      </c>
      <c r="B4000" s="338" t="s">
        <v>4616</v>
      </c>
      <c r="C4000" s="337" t="s">
        <v>474</v>
      </c>
      <c r="D4000" s="339">
        <v>16.18</v>
      </c>
    </row>
    <row r="4001" spans="1:4" ht="67.5">
      <c r="A4001" s="337">
        <v>94694</v>
      </c>
      <c r="B4001" s="338" t="s">
        <v>4617</v>
      </c>
      <c r="C4001" s="337" t="s">
        <v>474</v>
      </c>
      <c r="D4001" s="339">
        <v>17.09</v>
      </c>
    </row>
    <row r="4002" spans="1:4" ht="67.5">
      <c r="A4002" s="337">
        <v>94695</v>
      </c>
      <c r="B4002" s="338" t="s">
        <v>4618</v>
      </c>
      <c r="C4002" s="337" t="s">
        <v>474</v>
      </c>
      <c r="D4002" s="339">
        <v>20.59</v>
      </c>
    </row>
    <row r="4003" spans="1:4" ht="67.5">
      <c r="A4003" s="337">
        <v>94696</v>
      </c>
      <c r="B4003" s="338" t="s">
        <v>4619</v>
      </c>
      <c r="C4003" s="337" t="s">
        <v>474</v>
      </c>
      <c r="D4003" s="339">
        <v>38.04</v>
      </c>
    </row>
    <row r="4004" spans="1:4" ht="67.5">
      <c r="A4004" s="337">
        <v>94697</v>
      </c>
      <c r="B4004" s="338" t="s">
        <v>4620</v>
      </c>
      <c r="C4004" s="337" t="s">
        <v>474</v>
      </c>
      <c r="D4004" s="339">
        <v>56.22</v>
      </c>
    </row>
    <row r="4005" spans="1:4" ht="67.5">
      <c r="A4005" s="337">
        <v>94698</v>
      </c>
      <c r="B4005" s="338" t="s">
        <v>4621</v>
      </c>
      <c r="C4005" s="337" t="s">
        <v>474</v>
      </c>
      <c r="D4005" s="339">
        <v>49.24</v>
      </c>
    </row>
    <row r="4006" spans="1:4" ht="67.5">
      <c r="A4006" s="337">
        <v>94699</v>
      </c>
      <c r="B4006" s="338" t="s">
        <v>4622</v>
      </c>
      <c r="C4006" s="337" t="s">
        <v>474</v>
      </c>
      <c r="D4006" s="339">
        <v>92.25</v>
      </c>
    </row>
    <row r="4007" spans="1:4" ht="67.5">
      <c r="A4007" s="337">
        <v>94700</v>
      </c>
      <c r="B4007" s="338" t="s">
        <v>4623</v>
      </c>
      <c r="C4007" s="337" t="s">
        <v>474</v>
      </c>
      <c r="D4007" s="339">
        <v>81.88</v>
      </c>
    </row>
    <row r="4008" spans="1:4" ht="67.5">
      <c r="A4008" s="337">
        <v>94701</v>
      </c>
      <c r="B4008" s="338" t="s">
        <v>4624</v>
      </c>
      <c r="C4008" s="337" t="s">
        <v>474</v>
      </c>
      <c r="D4008" s="339">
        <v>144.13</v>
      </c>
    </row>
    <row r="4009" spans="1:4" ht="67.5">
      <c r="A4009" s="337">
        <v>94702</v>
      </c>
      <c r="B4009" s="338" t="s">
        <v>4625</v>
      </c>
      <c r="C4009" s="337" t="s">
        <v>474</v>
      </c>
      <c r="D4009" s="339">
        <v>114.97</v>
      </c>
    </row>
    <row r="4010" spans="1:4" ht="81">
      <c r="A4010" s="337">
        <v>94703</v>
      </c>
      <c r="B4010" s="338" t="s">
        <v>4626</v>
      </c>
      <c r="C4010" s="337" t="s">
        <v>474</v>
      </c>
      <c r="D4010" s="339">
        <v>18.579999999999998</v>
      </c>
    </row>
    <row r="4011" spans="1:4" ht="81">
      <c r="A4011" s="337">
        <v>94704</v>
      </c>
      <c r="B4011" s="338" t="s">
        <v>4627</v>
      </c>
      <c r="C4011" s="337" t="s">
        <v>474</v>
      </c>
      <c r="D4011" s="339">
        <v>21.95</v>
      </c>
    </row>
    <row r="4012" spans="1:4" ht="81">
      <c r="A4012" s="337">
        <v>94705</v>
      </c>
      <c r="B4012" s="338" t="s">
        <v>4628</v>
      </c>
      <c r="C4012" s="337" t="s">
        <v>474</v>
      </c>
      <c r="D4012" s="339">
        <v>32.130000000000003</v>
      </c>
    </row>
    <row r="4013" spans="1:4" ht="81">
      <c r="A4013" s="337">
        <v>94706</v>
      </c>
      <c r="B4013" s="338" t="s">
        <v>4629</v>
      </c>
      <c r="C4013" s="337" t="s">
        <v>474</v>
      </c>
      <c r="D4013" s="339">
        <v>41.74</v>
      </c>
    </row>
    <row r="4014" spans="1:4" ht="81">
      <c r="A4014" s="337">
        <v>94707</v>
      </c>
      <c r="B4014" s="338" t="s">
        <v>4630</v>
      </c>
      <c r="C4014" s="337" t="s">
        <v>474</v>
      </c>
      <c r="D4014" s="339">
        <v>48.35</v>
      </c>
    </row>
    <row r="4015" spans="1:4" ht="81">
      <c r="A4015" s="337">
        <v>94708</v>
      </c>
      <c r="B4015" s="338" t="s">
        <v>4631</v>
      </c>
      <c r="C4015" s="337" t="s">
        <v>474</v>
      </c>
      <c r="D4015" s="339">
        <v>19.66</v>
      </c>
    </row>
    <row r="4016" spans="1:4" ht="81">
      <c r="A4016" s="337">
        <v>94709</v>
      </c>
      <c r="B4016" s="338" t="s">
        <v>4632</v>
      </c>
      <c r="C4016" s="337" t="s">
        <v>474</v>
      </c>
      <c r="D4016" s="339">
        <v>23.41</v>
      </c>
    </row>
    <row r="4017" spans="1:4" ht="81">
      <c r="A4017" s="337">
        <v>94710</v>
      </c>
      <c r="B4017" s="338" t="s">
        <v>4633</v>
      </c>
      <c r="C4017" s="337" t="s">
        <v>474</v>
      </c>
      <c r="D4017" s="339">
        <v>30.52</v>
      </c>
    </row>
    <row r="4018" spans="1:4" ht="81">
      <c r="A4018" s="337">
        <v>94711</v>
      </c>
      <c r="B4018" s="338" t="s">
        <v>4634</v>
      </c>
      <c r="C4018" s="337" t="s">
        <v>474</v>
      </c>
      <c r="D4018" s="339">
        <v>40.33</v>
      </c>
    </row>
    <row r="4019" spans="1:4" ht="81">
      <c r="A4019" s="337">
        <v>94712</v>
      </c>
      <c r="B4019" s="338" t="s">
        <v>4635</v>
      </c>
      <c r="C4019" s="337" t="s">
        <v>474</v>
      </c>
      <c r="D4019" s="339">
        <v>52.46</v>
      </c>
    </row>
    <row r="4020" spans="1:4" ht="81">
      <c r="A4020" s="337">
        <v>94713</v>
      </c>
      <c r="B4020" s="338" t="s">
        <v>4636</v>
      </c>
      <c r="C4020" s="337" t="s">
        <v>474</v>
      </c>
      <c r="D4020" s="339">
        <v>160.09</v>
      </c>
    </row>
    <row r="4021" spans="1:4" ht="81">
      <c r="A4021" s="337">
        <v>94714</v>
      </c>
      <c r="B4021" s="338" t="s">
        <v>4637</v>
      </c>
      <c r="C4021" s="337" t="s">
        <v>474</v>
      </c>
      <c r="D4021" s="339">
        <v>210.37</v>
      </c>
    </row>
    <row r="4022" spans="1:4" ht="81">
      <c r="A4022" s="337">
        <v>94715</v>
      </c>
      <c r="B4022" s="338" t="s">
        <v>4638</v>
      </c>
      <c r="C4022" s="337" t="s">
        <v>474</v>
      </c>
      <c r="D4022" s="339">
        <v>294.49</v>
      </c>
    </row>
    <row r="4023" spans="1:4" ht="67.5">
      <c r="A4023" s="337">
        <v>94724</v>
      </c>
      <c r="B4023" s="338" t="s">
        <v>4639</v>
      </c>
      <c r="C4023" s="337" t="s">
        <v>474</v>
      </c>
      <c r="D4023" s="339">
        <v>22.23</v>
      </c>
    </row>
    <row r="4024" spans="1:4" ht="67.5">
      <c r="A4024" s="337">
        <v>94725</v>
      </c>
      <c r="B4024" s="338" t="s">
        <v>4640</v>
      </c>
      <c r="C4024" s="337" t="s">
        <v>474</v>
      </c>
      <c r="D4024" s="339">
        <v>5</v>
      </c>
    </row>
    <row r="4025" spans="1:4" ht="67.5">
      <c r="A4025" s="337">
        <v>94726</v>
      </c>
      <c r="B4025" s="338" t="s">
        <v>4641</v>
      </c>
      <c r="C4025" s="337" t="s">
        <v>474</v>
      </c>
      <c r="D4025" s="339">
        <v>34.56</v>
      </c>
    </row>
    <row r="4026" spans="1:4" ht="67.5">
      <c r="A4026" s="337">
        <v>94727</v>
      </c>
      <c r="B4026" s="338" t="s">
        <v>4642</v>
      </c>
      <c r="C4026" s="337" t="s">
        <v>474</v>
      </c>
      <c r="D4026" s="339">
        <v>7.28</v>
      </c>
    </row>
    <row r="4027" spans="1:4" ht="67.5">
      <c r="A4027" s="337">
        <v>94728</v>
      </c>
      <c r="B4027" s="338" t="s">
        <v>4643</v>
      </c>
      <c r="C4027" s="337" t="s">
        <v>474</v>
      </c>
      <c r="D4027" s="339">
        <v>131.75</v>
      </c>
    </row>
    <row r="4028" spans="1:4" ht="67.5">
      <c r="A4028" s="337">
        <v>94729</v>
      </c>
      <c r="B4028" s="338" t="s">
        <v>4644</v>
      </c>
      <c r="C4028" s="337" t="s">
        <v>474</v>
      </c>
      <c r="D4028" s="339">
        <v>13.03</v>
      </c>
    </row>
    <row r="4029" spans="1:4" ht="67.5">
      <c r="A4029" s="337">
        <v>94730</v>
      </c>
      <c r="B4029" s="338" t="s">
        <v>4645</v>
      </c>
      <c r="C4029" s="337" t="s">
        <v>474</v>
      </c>
      <c r="D4029" s="339">
        <v>160.16999999999999</v>
      </c>
    </row>
    <row r="4030" spans="1:4" ht="67.5">
      <c r="A4030" s="337">
        <v>94731</v>
      </c>
      <c r="B4030" s="338" t="s">
        <v>4646</v>
      </c>
      <c r="C4030" s="337" t="s">
        <v>474</v>
      </c>
      <c r="D4030" s="339">
        <v>16.489999999999998</v>
      </c>
    </row>
    <row r="4031" spans="1:4" ht="67.5">
      <c r="A4031" s="337">
        <v>94733</v>
      </c>
      <c r="B4031" s="338" t="s">
        <v>4647</v>
      </c>
      <c r="C4031" s="337" t="s">
        <v>474</v>
      </c>
      <c r="D4031" s="339">
        <v>32.14</v>
      </c>
    </row>
    <row r="4032" spans="1:4" ht="67.5">
      <c r="A4032" s="337">
        <v>94737</v>
      </c>
      <c r="B4032" s="338" t="s">
        <v>4648</v>
      </c>
      <c r="C4032" s="337" t="s">
        <v>474</v>
      </c>
      <c r="D4032" s="339">
        <v>136.49</v>
      </c>
    </row>
    <row r="4033" spans="1:4" ht="67.5">
      <c r="A4033" s="337">
        <v>94740</v>
      </c>
      <c r="B4033" s="338" t="s">
        <v>4649</v>
      </c>
      <c r="C4033" s="337" t="s">
        <v>474</v>
      </c>
      <c r="D4033" s="339">
        <v>7.95</v>
      </c>
    </row>
    <row r="4034" spans="1:4" ht="67.5">
      <c r="A4034" s="337">
        <v>94741</v>
      </c>
      <c r="B4034" s="338" t="s">
        <v>4650</v>
      </c>
      <c r="C4034" s="337" t="s">
        <v>474</v>
      </c>
      <c r="D4034" s="339">
        <v>10.039999999999999</v>
      </c>
    </row>
    <row r="4035" spans="1:4" ht="67.5">
      <c r="A4035" s="337">
        <v>94742</v>
      </c>
      <c r="B4035" s="338" t="s">
        <v>4651</v>
      </c>
      <c r="C4035" s="337" t="s">
        <v>474</v>
      </c>
      <c r="D4035" s="339">
        <v>12.36</v>
      </c>
    </row>
    <row r="4036" spans="1:4" ht="67.5">
      <c r="A4036" s="337">
        <v>94743</v>
      </c>
      <c r="B4036" s="338" t="s">
        <v>4652</v>
      </c>
      <c r="C4036" s="337" t="s">
        <v>474</v>
      </c>
      <c r="D4036" s="339">
        <v>13.68</v>
      </c>
    </row>
    <row r="4037" spans="1:4" ht="67.5">
      <c r="A4037" s="337">
        <v>94744</v>
      </c>
      <c r="B4037" s="338" t="s">
        <v>4653</v>
      </c>
      <c r="C4037" s="337" t="s">
        <v>474</v>
      </c>
      <c r="D4037" s="339">
        <v>19.88</v>
      </c>
    </row>
    <row r="4038" spans="1:4" ht="67.5">
      <c r="A4038" s="337">
        <v>94746</v>
      </c>
      <c r="B4038" s="338" t="s">
        <v>4654</v>
      </c>
      <c r="C4038" s="337" t="s">
        <v>474</v>
      </c>
      <c r="D4038" s="339">
        <v>28.66</v>
      </c>
    </row>
    <row r="4039" spans="1:4" ht="67.5">
      <c r="A4039" s="337">
        <v>94748</v>
      </c>
      <c r="B4039" s="338" t="s">
        <v>4655</v>
      </c>
      <c r="C4039" s="337" t="s">
        <v>474</v>
      </c>
      <c r="D4039" s="339">
        <v>59.36</v>
      </c>
    </row>
    <row r="4040" spans="1:4" ht="67.5">
      <c r="A4040" s="337">
        <v>94750</v>
      </c>
      <c r="B4040" s="338" t="s">
        <v>4656</v>
      </c>
      <c r="C4040" s="337" t="s">
        <v>474</v>
      </c>
      <c r="D4040" s="339">
        <v>142.34</v>
      </c>
    </row>
    <row r="4041" spans="1:4" ht="67.5">
      <c r="A4041" s="337">
        <v>94752</v>
      </c>
      <c r="B4041" s="338" t="s">
        <v>4657</v>
      </c>
      <c r="C4041" s="337" t="s">
        <v>474</v>
      </c>
      <c r="D4041" s="339">
        <v>172.69</v>
      </c>
    </row>
    <row r="4042" spans="1:4" ht="67.5">
      <c r="A4042" s="337">
        <v>94756</v>
      </c>
      <c r="B4042" s="338" t="s">
        <v>4658</v>
      </c>
      <c r="C4042" s="337" t="s">
        <v>474</v>
      </c>
      <c r="D4042" s="339">
        <v>10.02</v>
      </c>
    </row>
    <row r="4043" spans="1:4" ht="67.5">
      <c r="A4043" s="337">
        <v>94757</v>
      </c>
      <c r="B4043" s="338" t="s">
        <v>4659</v>
      </c>
      <c r="C4043" s="337" t="s">
        <v>474</v>
      </c>
      <c r="D4043" s="339">
        <v>13.96</v>
      </c>
    </row>
    <row r="4044" spans="1:4" ht="67.5">
      <c r="A4044" s="337">
        <v>94758</v>
      </c>
      <c r="B4044" s="338" t="s">
        <v>4660</v>
      </c>
      <c r="C4044" s="337" t="s">
        <v>474</v>
      </c>
      <c r="D4044" s="339">
        <v>36.58</v>
      </c>
    </row>
    <row r="4045" spans="1:4" ht="67.5">
      <c r="A4045" s="337">
        <v>94759</v>
      </c>
      <c r="B4045" s="338" t="s">
        <v>4661</v>
      </c>
      <c r="C4045" s="337" t="s">
        <v>474</v>
      </c>
      <c r="D4045" s="339">
        <v>45.33</v>
      </c>
    </row>
    <row r="4046" spans="1:4" ht="67.5">
      <c r="A4046" s="337">
        <v>94760</v>
      </c>
      <c r="B4046" s="338" t="s">
        <v>4662</v>
      </c>
      <c r="C4046" s="337" t="s">
        <v>474</v>
      </c>
      <c r="D4046" s="339">
        <v>74.39</v>
      </c>
    </row>
    <row r="4047" spans="1:4" ht="67.5">
      <c r="A4047" s="337">
        <v>94761</v>
      </c>
      <c r="B4047" s="338" t="s">
        <v>4663</v>
      </c>
      <c r="C4047" s="337" t="s">
        <v>474</v>
      </c>
      <c r="D4047" s="339">
        <v>162.1</v>
      </c>
    </row>
    <row r="4048" spans="1:4" ht="67.5">
      <c r="A4048" s="337">
        <v>94762</v>
      </c>
      <c r="B4048" s="338" t="s">
        <v>4664</v>
      </c>
      <c r="C4048" s="337" t="s">
        <v>474</v>
      </c>
      <c r="D4048" s="339">
        <v>206.31</v>
      </c>
    </row>
    <row r="4049" spans="1:4" ht="81">
      <c r="A4049" s="337">
        <v>94783</v>
      </c>
      <c r="B4049" s="338" t="s">
        <v>4665</v>
      </c>
      <c r="C4049" s="337" t="s">
        <v>474</v>
      </c>
      <c r="D4049" s="339">
        <v>15.62</v>
      </c>
    </row>
    <row r="4050" spans="1:4" ht="81">
      <c r="A4050" s="337">
        <v>94785</v>
      </c>
      <c r="B4050" s="338" t="s">
        <v>4666</v>
      </c>
      <c r="C4050" s="337" t="s">
        <v>474</v>
      </c>
      <c r="D4050" s="339">
        <v>28.5</v>
      </c>
    </row>
    <row r="4051" spans="1:4" ht="81">
      <c r="A4051" s="337">
        <v>94786</v>
      </c>
      <c r="B4051" s="338" t="s">
        <v>4667</v>
      </c>
      <c r="C4051" s="337" t="s">
        <v>474</v>
      </c>
      <c r="D4051" s="339">
        <v>37.96</v>
      </c>
    </row>
    <row r="4052" spans="1:4" ht="81">
      <c r="A4052" s="337">
        <v>94787</v>
      </c>
      <c r="B4052" s="338" t="s">
        <v>4668</v>
      </c>
      <c r="C4052" s="337" t="s">
        <v>474</v>
      </c>
      <c r="D4052" s="339">
        <v>48.85</v>
      </c>
    </row>
    <row r="4053" spans="1:4" ht="81">
      <c r="A4053" s="337">
        <v>94788</v>
      </c>
      <c r="B4053" s="338" t="s">
        <v>4669</v>
      </c>
      <c r="C4053" s="337" t="s">
        <v>474</v>
      </c>
      <c r="D4053" s="339">
        <v>65.13</v>
      </c>
    </row>
    <row r="4054" spans="1:4" ht="81">
      <c r="A4054" s="337">
        <v>94789</v>
      </c>
      <c r="B4054" s="338" t="s">
        <v>4670</v>
      </c>
      <c r="C4054" s="337" t="s">
        <v>474</v>
      </c>
      <c r="D4054" s="339">
        <v>209.41</v>
      </c>
    </row>
    <row r="4055" spans="1:4" ht="81">
      <c r="A4055" s="337">
        <v>94790</v>
      </c>
      <c r="B4055" s="338" t="s">
        <v>4671</v>
      </c>
      <c r="C4055" s="337" t="s">
        <v>474</v>
      </c>
      <c r="D4055" s="339">
        <v>276.79000000000002</v>
      </c>
    </row>
    <row r="4056" spans="1:4" ht="81">
      <c r="A4056" s="337">
        <v>94791</v>
      </c>
      <c r="B4056" s="338" t="s">
        <v>4672</v>
      </c>
      <c r="C4056" s="337" t="s">
        <v>474</v>
      </c>
      <c r="D4056" s="339">
        <v>414.16</v>
      </c>
    </row>
    <row r="4057" spans="1:4" ht="67.5">
      <c r="A4057" s="337">
        <v>94863</v>
      </c>
      <c r="B4057" s="338" t="s">
        <v>4673</v>
      </c>
      <c r="C4057" s="337" t="s">
        <v>474</v>
      </c>
      <c r="D4057" s="339">
        <v>116.87</v>
      </c>
    </row>
    <row r="4058" spans="1:4" ht="81">
      <c r="A4058" s="337">
        <v>95141</v>
      </c>
      <c r="B4058" s="338" t="s">
        <v>4674</v>
      </c>
      <c r="C4058" s="337" t="s">
        <v>474</v>
      </c>
      <c r="D4058" s="339">
        <v>25.15</v>
      </c>
    </row>
    <row r="4059" spans="1:4" ht="54">
      <c r="A4059" s="337">
        <v>95237</v>
      </c>
      <c r="B4059" s="338" t="s">
        <v>4675</v>
      </c>
      <c r="C4059" s="337" t="s">
        <v>474</v>
      </c>
      <c r="D4059" s="339">
        <v>15.19</v>
      </c>
    </row>
    <row r="4060" spans="1:4" ht="54">
      <c r="A4060" s="337">
        <v>95693</v>
      </c>
      <c r="B4060" s="338" t="s">
        <v>4676</v>
      </c>
      <c r="C4060" s="337" t="s">
        <v>474</v>
      </c>
      <c r="D4060" s="339">
        <v>33.880000000000003</v>
      </c>
    </row>
    <row r="4061" spans="1:4" ht="54">
      <c r="A4061" s="337">
        <v>95694</v>
      </c>
      <c r="B4061" s="338" t="s">
        <v>4677</v>
      </c>
      <c r="C4061" s="337" t="s">
        <v>474</v>
      </c>
      <c r="D4061" s="339">
        <v>41.33</v>
      </c>
    </row>
    <row r="4062" spans="1:4" ht="54">
      <c r="A4062" s="337">
        <v>95695</v>
      </c>
      <c r="B4062" s="338" t="s">
        <v>4678</v>
      </c>
      <c r="C4062" s="337" t="s">
        <v>474</v>
      </c>
      <c r="D4062" s="339">
        <v>40.049999999999997</v>
      </c>
    </row>
    <row r="4063" spans="1:4" ht="40.5">
      <c r="A4063" s="337">
        <v>95696</v>
      </c>
      <c r="B4063" s="338" t="s">
        <v>4679</v>
      </c>
      <c r="C4063" s="337" t="s">
        <v>474</v>
      </c>
      <c r="D4063" s="339">
        <v>23.51</v>
      </c>
    </row>
    <row r="4064" spans="1:4" ht="54">
      <c r="A4064" s="337">
        <v>96637</v>
      </c>
      <c r="B4064" s="338" t="s">
        <v>4680</v>
      </c>
      <c r="C4064" s="337" t="s">
        <v>474</v>
      </c>
      <c r="D4064" s="339">
        <v>9.23</v>
      </c>
    </row>
    <row r="4065" spans="1:4" ht="54">
      <c r="A4065" s="337">
        <v>96638</v>
      </c>
      <c r="B4065" s="338" t="s">
        <v>4681</v>
      </c>
      <c r="C4065" s="337" t="s">
        <v>474</v>
      </c>
      <c r="D4065" s="339">
        <v>8.92</v>
      </c>
    </row>
    <row r="4066" spans="1:4" ht="40.5">
      <c r="A4066" s="337">
        <v>96639</v>
      </c>
      <c r="B4066" s="338" t="s">
        <v>4682</v>
      </c>
      <c r="C4066" s="337" t="s">
        <v>474</v>
      </c>
      <c r="D4066" s="339">
        <v>6.39</v>
      </c>
    </row>
    <row r="4067" spans="1:4" ht="54">
      <c r="A4067" s="337">
        <v>96640</v>
      </c>
      <c r="B4067" s="338" t="s">
        <v>4683</v>
      </c>
      <c r="C4067" s="337" t="s">
        <v>474</v>
      </c>
      <c r="D4067" s="339">
        <v>14.86</v>
      </c>
    </row>
    <row r="4068" spans="1:4" ht="54">
      <c r="A4068" s="337">
        <v>96641</v>
      </c>
      <c r="B4068" s="338" t="s">
        <v>4684</v>
      </c>
      <c r="C4068" s="337" t="s">
        <v>474</v>
      </c>
      <c r="D4068" s="339">
        <v>11.83</v>
      </c>
    </row>
    <row r="4069" spans="1:4" ht="40.5">
      <c r="A4069" s="337">
        <v>96642</v>
      </c>
      <c r="B4069" s="338" t="s">
        <v>4685</v>
      </c>
      <c r="C4069" s="337" t="s">
        <v>474</v>
      </c>
      <c r="D4069" s="339">
        <v>12.22</v>
      </c>
    </row>
    <row r="4070" spans="1:4" ht="54">
      <c r="A4070" s="337">
        <v>96643</v>
      </c>
      <c r="B4070" s="338" t="s">
        <v>4686</v>
      </c>
      <c r="C4070" s="337" t="s">
        <v>474</v>
      </c>
      <c r="D4070" s="339">
        <v>29.95</v>
      </c>
    </row>
    <row r="4071" spans="1:4" ht="54">
      <c r="A4071" s="337">
        <v>96650</v>
      </c>
      <c r="B4071" s="338" t="s">
        <v>4687</v>
      </c>
      <c r="C4071" s="337" t="s">
        <v>474</v>
      </c>
      <c r="D4071" s="339">
        <v>6.78</v>
      </c>
    </row>
    <row r="4072" spans="1:4" ht="54">
      <c r="A4072" s="337">
        <v>96651</v>
      </c>
      <c r="B4072" s="338" t="s">
        <v>4688</v>
      </c>
      <c r="C4072" s="337" t="s">
        <v>474</v>
      </c>
      <c r="D4072" s="339">
        <v>6.47</v>
      </c>
    </row>
    <row r="4073" spans="1:4" ht="54">
      <c r="A4073" s="337">
        <v>96652</v>
      </c>
      <c r="B4073" s="338" t="s">
        <v>4689</v>
      </c>
      <c r="C4073" s="337" t="s">
        <v>474</v>
      </c>
      <c r="D4073" s="339">
        <v>13.06</v>
      </c>
    </row>
    <row r="4074" spans="1:4" ht="54">
      <c r="A4074" s="337">
        <v>96653</v>
      </c>
      <c r="B4074" s="338" t="s">
        <v>4690</v>
      </c>
      <c r="C4074" s="337" t="s">
        <v>474</v>
      </c>
      <c r="D4074" s="339">
        <v>13.03</v>
      </c>
    </row>
    <row r="4075" spans="1:4" ht="54">
      <c r="A4075" s="337">
        <v>96654</v>
      </c>
      <c r="B4075" s="338" t="s">
        <v>4691</v>
      </c>
      <c r="C4075" s="337" t="s">
        <v>474</v>
      </c>
      <c r="D4075" s="339">
        <v>21.5</v>
      </c>
    </row>
    <row r="4076" spans="1:4" ht="54">
      <c r="A4076" s="337">
        <v>96655</v>
      </c>
      <c r="B4076" s="338" t="s">
        <v>4692</v>
      </c>
      <c r="C4076" s="337" t="s">
        <v>474</v>
      </c>
      <c r="D4076" s="339">
        <v>21.17</v>
      </c>
    </row>
    <row r="4077" spans="1:4" ht="54">
      <c r="A4077" s="337">
        <v>96656</v>
      </c>
      <c r="B4077" s="338" t="s">
        <v>4693</v>
      </c>
      <c r="C4077" s="337" t="s">
        <v>474</v>
      </c>
      <c r="D4077" s="339">
        <v>4.79</v>
      </c>
    </row>
    <row r="4078" spans="1:4" ht="54">
      <c r="A4078" s="337">
        <v>96657</v>
      </c>
      <c r="B4078" s="338" t="s">
        <v>4694</v>
      </c>
      <c r="C4078" s="337" t="s">
        <v>474</v>
      </c>
      <c r="D4078" s="339">
        <v>13.26</v>
      </c>
    </row>
    <row r="4079" spans="1:4" ht="54">
      <c r="A4079" s="337">
        <v>96658</v>
      </c>
      <c r="B4079" s="338" t="s">
        <v>4695</v>
      </c>
      <c r="C4079" s="337" t="s">
        <v>474</v>
      </c>
      <c r="D4079" s="339">
        <v>10.23</v>
      </c>
    </row>
    <row r="4080" spans="1:4" ht="54">
      <c r="A4080" s="337">
        <v>96659</v>
      </c>
      <c r="B4080" s="338" t="s">
        <v>4696</v>
      </c>
      <c r="C4080" s="337" t="s">
        <v>474</v>
      </c>
      <c r="D4080" s="339">
        <v>8.81</v>
      </c>
    </row>
    <row r="4081" spans="1:4" ht="54">
      <c r="A4081" s="337">
        <v>96660</v>
      </c>
      <c r="B4081" s="338" t="s">
        <v>4697</v>
      </c>
      <c r="C4081" s="337" t="s">
        <v>474</v>
      </c>
      <c r="D4081" s="339">
        <v>22.93</v>
      </c>
    </row>
    <row r="4082" spans="1:4" ht="54">
      <c r="A4082" s="337">
        <v>96661</v>
      </c>
      <c r="B4082" s="338" t="s">
        <v>4698</v>
      </c>
      <c r="C4082" s="337" t="s">
        <v>474</v>
      </c>
      <c r="D4082" s="339">
        <v>18.28</v>
      </c>
    </row>
    <row r="4083" spans="1:4" ht="54">
      <c r="A4083" s="337">
        <v>96662</v>
      </c>
      <c r="B4083" s="338" t="s">
        <v>4699</v>
      </c>
      <c r="C4083" s="337" t="s">
        <v>474</v>
      </c>
      <c r="D4083" s="339">
        <v>8.9700000000000006</v>
      </c>
    </row>
    <row r="4084" spans="1:4" ht="54">
      <c r="A4084" s="337">
        <v>96663</v>
      </c>
      <c r="B4084" s="338" t="s">
        <v>4700</v>
      </c>
      <c r="C4084" s="337" t="s">
        <v>474</v>
      </c>
      <c r="D4084" s="339">
        <v>15.68</v>
      </c>
    </row>
    <row r="4085" spans="1:4" ht="54">
      <c r="A4085" s="337">
        <v>96664</v>
      </c>
      <c r="B4085" s="338" t="s">
        <v>4701</v>
      </c>
      <c r="C4085" s="337" t="s">
        <v>474</v>
      </c>
      <c r="D4085" s="339">
        <v>16.670000000000002</v>
      </c>
    </row>
    <row r="4086" spans="1:4" ht="54">
      <c r="A4086" s="337">
        <v>96665</v>
      </c>
      <c r="B4086" s="338" t="s">
        <v>4702</v>
      </c>
      <c r="C4086" s="337" t="s">
        <v>474</v>
      </c>
      <c r="D4086" s="339">
        <v>8.94</v>
      </c>
    </row>
    <row r="4087" spans="1:4" ht="54">
      <c r="A4087" s="337">
        <v>96666</v>
      </c>
      <c r="B4087" s="338" t="s">
        <v>4703</v>
      </c>
      <c r="C4087" s="337" t="s">
        <v>474</v>
      </c>
      <c r="D4087" s="339">
        <v>17.48</v>
      </c>
    </row>
    <row r="4088" spans="1:4" ht="54">
      <c r="A4088" s="337">
        <v>96667</v>
      </c>
      <c r="B4088" s="338" t="s">
        <v>4704</v>
      </c>
      <c r="C4088" s="337" t="s">
        <v>474</v>
      </c>
      <c r="D4088" s="339">
        <v>30.05</v>
      </c>
    </row>
    <row r="4089" spans="1:4" ht="40.5">
      <c r="A4089" s="337">
        <v>96684</v>
      </c>
      <c r="B4089" s="338" t="s">
        <v>4705</v>
      </c>
      <c r="C4089" s="337" t="s">
        <v>474</v>
      </c>
      <c r="D4089" s="339">
        <v>3.11</v>
      </c>
    </row>
    <row r="4090" spans="1:4" ht="40.5">
      <c r="A4090" s="337">
        <v>96685</v>
      </c>
      <c r="B4090" s="338" t="s">
        <v>4706</v>
      </c>
      <c r="C4090" s="337" t="s">
        <v>474</v>
      </c>
      <c r="D4090" s="339">
        <v>2.8</v>
      </c>
    </row>
    <row r="4091" spans="1:4" ht="40.5">
      <c r="A4091" s="337">
        <v>96686</v>
      </c>
      <c r="B4091" s="338" t="s">
        <v>4707</v>
      </c>
      <c r="C4091" s="337" t="s">
        <v>474</v>
      </c>
      <c r="D4091" s="339">
        <v>4.66</v>
      </c>
    </row>
    <row r="4092" spans="1:4" ht="40.5">
      <c r="A4092" s="337">
        <v>96687</v>
      </c>
      <c r="B4092" s="338" t="s">
        <v>4708</v>
      </c>
      <c r="C4092" s="337" t="s">
        <v>474</v>
      </c>
      <c r="D4092" s="339">
        <v>4.63</v>
      </c>
    </row>
    <row r="4093" spans="1:4" ht="40.5">
      <c r="A4093" s="337">
        <v>96688</v>
      </c>
      <c r="B4093" s="338" t="s">
        <v>4709</v>
      </c>
      <c r="C4093" s="337" t="s">
        <v>474</v>
      </c>
      <c r="D4093" s="339">
        <v>7.93</v>
      </c>
    </row>
    <row r="4094" spans="1:4" ht="40.5">
      <c r="A4094" s="337">
        <v>96689</v>
      </c>
      <c r="B4094" s="338" t="s">
        <v>4710</v>
      </c>
      <c r="C4094" s="337" t="s">
        <v>474</v>
      </c>
      <c r="D4094" s="339">
        <v>7.6</v>
      </c>
    </row>
    <row r="4095" spans="1:4" ht="40.5">
      <c r="A4095" s="337">
        <v>96690</v>
      </c>
      <c r="B4095" s="338" t="s">
        <v>4711</v>
      </c>
      <c r="C4095" s="337" t="s">
        <v>474</v>
      </c>
      <c r="D4095" s="339">
        <v>14.56</v>
      </c>
    </row>
    <row r="4096" spans="1:4" ht="40.5">
      <c r="A4096" s="337">
        <v>96691</v>
      </c>
      <c r="B4096" s="338" t="s">
        <v>4712</v>
      </c>
      <c r="C4096" s="337" t="s">
        <v>474</v>
      </c>
      <c r="D4096" s="339">
        <v>15.02</v>
      </c>
    </row>
    <row r="4097" spans="1:4" ht="40.5">
      <c r="A4097" s="337">
        <v>96692</v>
      </c>
      <c r="B4097" s="338" t="s">
        <v>4713</v>
      </c>
      <c r="C4097" s="337" t="s">
        <v>474</v>
      </c>
      <c r="D4097" s="339">
        <v>22.04</v>
      </c>
    </row>
    <row r="4098" spans="1:4" ht="40.5">
      <c r="A4098" s="337">
        <v>96693</v>
      </c>
      <c r="B4098" s="338" t="s">
        <v>4714</v>
      </c>
      <c r="C4098" s="337" t="s">
        <v>474</v>
      </c>
      <c r="D4098" s="339">
        <v>20.93</v>
      </c>
    </row>
    <row r="4099" spans="1:4" ht="40.5">
      <c r="A4099" s="337">
        <v>96694</v>
      </c>
      <c r="B4099" s="338" t="s">
        <v>4715</v>
      </c>
      <c r="C4099" s="337" t="s">
        <v>474</v>
      </c>
      <c r="D4099" s="339">
        <v>47.58</v>
      </c>
    </row>
    <row r="4100" spans="1:4" ht="40.5">
      <c r="A4100" s="337">
        <v>96695</v>
      </c>
      <c r="B4100" s="338" t="s">
        <v>4716</v>
      </c>
      <c r="C4100" s="337" t="s">
        <v>474</v>
      </c>
      <c r="D4100" s="339">
        <v>46.27</v>
      </c>
    </row>
    <row r="4101" spans="1:4" ht="40.5">
      <c r="A4101" s="337">
        <v>96696</v>
      </c>
      <c r="B4101" s="338" t="s">
        <v>4717</v>
      </c>
      <c r="C4101" s="337" t="s">
        <v>474</v>
      </c>
      <c r="D4101" s="339">
        <v>71.510000000000005</v>
      </c>
    </row>
    <row r="4102" spans="1:4" ht="40.5">
      <c r="A4102" s="337">
        <v>96697</v>
      </c>
      <c r="B4102" s="338" t="s">
        <v>4718</v>
      </c>
      <c r="C4102" s="337" t="s">
        <v>474</v>
      </c>
      <c r="D4102" s="339">
        <v>106.95</v>
      </c>
    </row>
    <row r="4103" spans="1:4" ht="40.5">
      <c r="A4103" s="337">
        <v>96698</v>
      </c>
      <c r="B4103" s="338" t="s">
        <v>4719</v>
      </c>
      <c r="C4103" s="337" t="s">
        <v>474</v>
      </c>
      <c r="D4103" s="339">
        <v>2.34</v>
      </c>
    </row>
    <row r="4104" spans="1:4" ht="40.5">
      <c r="A4104" s="337">
        <v>96699</v>
      </c>
      <c r="B4104" s="338" t="s">
        <v>4720</v>
      </c>
      <c r="C4104" s="337" t="s">
        <v>474</v>
      </c>
      <c r="D4104" s="339">
        <v>10.81</v>
      </c>
    </row>
    <row r="4105" spans="1:4" ht="40.5">
      <c r="A4105" s="337">
        <v>96700</v>
      </c>
      <c r="B4105" s="338" t="s">
        <v>4721</v>
      </c>
      <c r="C4105" s="337" t="s">
        <v>474</v>
      </c>
      <c r="D4105" s="339">
        <v>7.78</v>
      </c>
    </row>
    <row r="4106" spans="1:4" ht="40.5">
      <c r="A4106" s="337">
        <v>96701</v>
      </c>
      <c r="B4106" s="338" t="s">
        <v>4722</v>
      </c>
      <c r="C4106" s="337" t="s">
        <v>474</v>
      </c>
      <c r="D4106" s="339">
        <v>3.22</v>
      </c>
    </row>
    <row r="4107" spans="1:4" ht="40.5">
      <c r="A4107" s="337">
        <v>96702</v>
      </c>
      <c r="B4107" s="338" t="s">
        <v>4723</v>
      </c>
      <c r="C4107" s="337" t="s">
        <v>474</v>
      </c>
      <c r="D4107" s="339">
        <v>3.38</v>
      </c>
    </row>
    <row r="4108" spans="1:4" ht="40.5">
      <c r="A4108" s="337">
        <v>96703</v>
      </c>
      <c r="B4108" s="338" t="s">
        <v>4724</v>
      </c>
      <c r="C4108" s="337" t="s">
        <v>474</v>
      </c>
      <c r="D4108" s="339">
        <v>6.62</v>
      </c>
    </row>
    <row r="4109" spans="1:4" ht="40.5">
      <c r="A4109" s="337">
        <v>96704</v>
      </c>
      <c r="B4109" s="338" t="s">
        <v>4725</v>
      </c>
      <c r="C4109" s="337" t="s">
        <v>474</v>
      </c>
      <c r="D4109" s="339">
        <v>7.61</v>
      </c>
    </row>
    <row r="4110" spans="1:4" ht="40.5">
      <c r="A4110" s="337">
        <v>96705</v>
      </c>
      <c r="B4110" s="338" t="s">
        <v>4726</v>
      </c>
      <c r="C4110" s="337" t="s">
        <v>474</v>
      </c>
      <c r="D4110" s="339">
        <v>9.9499999999999993</v>
      </c>
    </row>
    <row r="4111" spans="1:4" ht="40.5">
      <c r="A4111" s="337">
        <v>96706</v>
      </c>
      <c r="B4111" s="338" t="s">
        <v>4727</v>
      </c>
      <c r="C4111" s="337" t="s">
        <v>474</v>
      </c>
      <c r="D4111" s="339">
        <v>14.98</v>
      </c>
    </row>
    <row r="4112" spans="1:4" ht="40.5">
      <c r="A4112" s="337">
        <v>96707</v>
      </c>
      <c r="B4112" s="338" t="s">
        <v>4728</v>
      </c>
      <c r="C4112" s="337" t="s">
        <v>474</v>
      </c>
      <c r="D4112" s="339">
        <v>30.62</v>
      </c>
    </row>
    <row r="4113" spans="1:4" ht="40.5">
      <c r="A4113" s="337">
        <v>96708</v>
      </c>
      <c r="B4113" s="338" t="s">
        <v>4729</v>
      </c>
      <c r="C4113" s="337" t="s">
        <v>474</v>
      </c>
      <c r="D4113" s="339">
        <v>48.13</v>
      </c>
    </row>
    <row r="4114" spans="1:4" ht="40.5">
      <c r="A4114" s="337">
        <v>96709</v>
      </c>
      <c r="B4114" s="338" t="s">
        <v>4730</v>
      </c>
      <c r="C4114" s="337" t="s">
        <v>474</v>
      </c>
      <c r="D4114" s="339">
        <v>75.88</v>
      </c>
    </row>
    <row r="4115" spans="1:4" ht="40.5">
      <c r="A4115" s="337">
        <v>96710</v>
      </c>
      <c r="B4115" s="338" t="s">
        <v>4731</v>
      </c>
      <c r="C4115" s="337" t="s">
        <v>474</v>
      </c>
      <c r="D4115" s="339">
        <v>4.09</v>
      </c>
    </row>
    <row r="4116" spans="1:4" ht="40.5">
      <c r="A4116" s="337">
        <v>96711</v>
      </c>
      <c r="B4116" s="338" t="s">
        <v>4732</v>
      </c>
      <c r="C4116" s="337" t="s">
        <v>474</v>
      </c>
      <c r="D4116" s="339">
        <v>6.33</v>
      </c>
    </row>
    <row r="4117" spans="1:4" ht="40.5">
      <c r="A4117" s="337">
        <v>96712</v>
      </c>
      <c r="B4117" s="338" t="s">
        <v>4733</v>
      </c>
      <c r="C4117" s="337" t="s">
        <v>474</v>
      </c>
      <c r="D4117" s="339">
        <v>11.93</v>
      </c>
    </row>
    <row r="4118" spans="1:4" ht="40.5">
      <c r="A4118" s="337">
        <v>96713</v>
      </c>
      <c r="B4118" s="338" t="s">
        <v>4734</v>
      </c>
      <c r="C4118" s="337" t="s">
        <v>474</v>
      </c>
      <c r="D4118" s="339">
        <v>16.62</v>
      </c>
    </row>
    <row r="4119" spans="1:4" ht="40.5">
      <c r="A4119" s="337">
        <v>96714</v>
      </c>
      <c r="B4119" s="338" t="s">
        <v>4735</v>
      </c>
      <c r="C4119" s="337" t="s">
        <v>474</v>
      </c>
      <c r="D4119" s="339">
        <v>27.89</v>
      </c>
    </row>
    <row r="4120" spans="1:4" ht="40.5">
      <c r="A4120" s="337">
        <v>96715</v>
      </c>
      <c r="B4120" s="338" t="s">
        <v>4736</v>
      </c>
      <c r="C4120" s="337" t="s">
        <v>474</v>
      </c>
      <c r="D4120" s="339">
        <v>51.63</v>
      </c>
    </row>
    <row r="4121" spans="1:4" ht="40.5">
      <c r="A4121" s="337">
        <v>96716</v>
      </c>
      <c r="B4121" s="338" t="s">
        <v>4737</v>
      </c>
      <c r="C4121" s="337" t="s">
        <v>474</v>
      </c>
      <c r="D4121" s="339">
        <v>77.37</v>
      </c>
    </row>
    <row r="4122" spans="1:4" ht="40.5">
      <c r="A4122" s="337">
        <v>96717</v>
      </c>
      <c r="B4122" s="338" t="s">
        <v>4738</v>
      </c>
      <c r="C4122" s="337" t="s">
        <v>474</v>
      </c>
      <c r="D4122" s="339">
        <v>121.53</v>
      </c>
    </row>
    <row r="4123" spans="1:4" ht="67.5">
      <c r="A4123" s="337">
        <v>96736</v>
      </c>
      <c r="B4123" s="338" t="s">
        <v>4739</v>
      </c>
      <c r="C4123" s="337" t="s">
        <v>474</v>
      </c>
      <c r="D4123" s="339">
        <v>3.64</v>
      </c>
    </row>
    <row r="4124" spans="1:4" ht="67.5">
      <c r="A4124" s="337">
        <v>96737</v>
      </c>
      <c r="B4124" s="338" t="s">
        <v>4740</v>
      </c>
      <c r="C4124" s="337" t="s">
        <v>474</v>
      </c>
      <c r="D4124" s="339">
        <v>4.1100000000000003</v>
      </c>
    </row>
    <row r="4125" spans="1:4" ht="67.5">
      <c r="A4125" s="337">
        <v>96738</v>
      </c>
      <c r="B4125" s="338" t="s">
        <v>4741</v>
      </c>
      <c r="C4125" s="337" t="s">
        <v>474</v>
      </c>
      <c r="D4125" s="339">
        <v>12.58</v>
      </c>
    </row>
    <row r="4126" spans="1:4" ht="67.5">
      <c r="A4126" s="337">
        <v>96739</v>
      </c>
      <c r="B4126" s="338" t="s">
        <v>4742</v>
      </c>
      <c r="C4126" s="337" t="s">
        <v>474</v>
      </c>
      <c r="D4126" s="339">
        <v>5.31</v>
      </c>
    </row>
    <row r="4127" spans="1:4" ht="67.5">
      <c r="A4127" s="337">
        <v>96740</v>
      </c>
      <c r="B4127" s="338" t="s">
        <v>4743</v>
      </c>
      <c r="C4127" s="337" t="s">
        <v>474</v>
      </c>
      <c r="D4127" s="339">
        <v>19.43</v>
      </c>
    </row>
    <row r="4128" spans="1:4" ht="67.5">
      <c r="A4128" s="337">
        <v>96741</v>
      </c>
      <c r="B4128" s="338" t="s">
        <v>4744</v>
      </c>
      <c r="C4128" s="337" t="s">
        <v>474</v>
      </c>
      <c r="D4128" s="339">
        <v>8.07</v>
      </c>
    </row>
    <row r="4129" spans="1:4" ht="67.5">
      <c r="A4129" s="337">
        <v>96742</v>
      </c>
      <c r="B4129" s="338" t="s">
        <v>4745</v>
      </c>
      <c r="C4129" s="337" t="s">
        <v>474</v>
      </c>
      <c r="D4129" s="339">
        <v>12.24</v>
      </c>
    </row>
    <row r="4130" spans="1:4" ht="67.5">
      <c r="A4130" s="337">
        <v>96743</v>
      </c>
      <c r="B4130" s="338" t="s">
        <v>4746</v>
      </c>
      <c r="C4130" s="337" t="s">
        <v>474</v>
      </c>
      <c r="D4130" s="339">
        <v>15.59</v>
      </c>
    </row>
    <row r="4131" spans="1:4" ht="67.5">
      <c r="A4131" s="337">
        <v>96744</v>
      </c>
      <c r="B4131" s="338" t="s">
        <v>4747</v>
      </c>
      <c r="C4131" s="337" t="s">
        <v>474</v>
      </c>
      <c r="D4131" s="339">
        <v>32.869999999999997</v>
      </c>
    </row>
    <row r="4132" spans="1:4" ht="67.5">
      <c r="A4132" s="337">
        <v>96745</v>
      </c>
      <c r="B4132" s="338" t="s">
        <v>4748</v>
      </c>
      <c r="C4132" s="337" t="s">
        <v>474</v>
      </c>
      <c r="D4132" s="339">
        <v>47.59</v>
      </c>
    </row>
    <row r="4133" spans="1:4" ht="67.5">
      <c r="A4133" s="337">
        <v>96746</v>
      </c>
      <c r="B4133" s="338" t="s">
        <v>4749</v>
      </c>
      <c r="C4133" s="337" t="s">
        <v>474</v>
      </c>
      <c r="D4133" s="339">
        <v>75.849999999999994</v>
      </c>
    </row>
    <row r="4134" spans="1:4" ht="67.5">
      <c r="A4134" s="337">
        <v>96747</v>
      </c>
      <c r="B4134" s="338" t="s">
        <v>4750</v>
      </c>
      <c r="C4134" s="337" t="s">
        <v>474</v>
      </c>
      <c r="D4134" s="339">
        <v>5.21</v>
      </c>
    </row>
    <row r="4135" spans="1:4" ht="67.5">
      <c r="A4135" s="337">
        <v>96748</v>
      </c>
      <c r="B4135" s="338" t="s">
        <v>4751</v>
      </c>
      <c r="C4135" s="337" t="s">
        <v>474</v>
      </c>
      <c r="D4135" s="339">
        <v>5.79</v>
      </c>
    </row>
    <row r="4136" spans="1:4" ht="67.5">
      <c r="A4136" s="337">
        <v>96749</v>
      </c>
      <c r="B4136" s="338" t="s">
        <v>4752</v>
      </c>
      <c r="C4136" s="337" t="s">
        <v>474</v>
      </c>
      <c r="D4136" s="339">
        <v>7.81</v>
      </c>
    </row>
    <row r="4137" spans="1:4" ht="67.5">
      <c r="A4137" s="337">
        <v>96750</v>
      </c>
      <c r="B4137" s="338" t="s">
        <v>4753</v>
      </c>
      <c r="C4137" s="337" t="s">
        <v>474</v>
      </c>
      <c r="D4137" s="339">
        <v>10.08</v>
      </c>
    </row>
    <row r="4138" spans="1:4" ht="67.5">
      <c r="A4138" s="337">
        <v>96751</v>
      </c>
      <c r="B4138" s="338" t="s">
        <v>4754</v>
      </c>
      <c r="C4138" s="337" t="s">
        <v>474</v>
      </c>
      <c r="D4138" s="339">
        <v>17.97</v>
      </c>
    </row>
    <row r="4139" spans="1:4" ht="67.5">
      <c r="A4139" s="337">
        <v>96752</v>
      </c>
      <c r="B4139" s="338" t="s">
        <v>4755</v>
      </c>
      <c r="C4139" s="337" t="s">
        <v>474</v>
      </c>
      <c r="D4139" s="339">
        <v>22.95</v>
      </c>
    </row>
    <row r="4140" spans="1:4" ht="67.5">
      <c r="A4140" s="337">
        <v>96753</v>
      </c>
      <c r="B4140" s="338" t="s">
        <v>4756</v>
      </c>
      <c r="C4140" s="337" t="s">
        <v>474</v>
      </c>
      <c r="D4140" s="339">
        <v>50.95</v>
      </c>
    </row>
    <row r="4141" spans="1:4" ht="67.5">
      <c r="A4141" s="337">
        <v>96754</v>
      </c>
      <c r="B4141" s="338" t="s">
        <v>4757</v>
      </c>
      <c r="C4141" s="337" t="s">
        <v>474</v>
      </c>
      <c r="D4141" s="339">
        <v>70.67</v>
      </c>
    </row>
    <row r="4142" spans="1:4" ht="67.5">
      <c r="A4142" s="337">
        <v>96755</v>
      </c>
      <c r="B4142" s="338" t="s">
        <v>4758</v>
      </c>
      <c r="C4142" s="337" t="s">
        <v>474</v>
      </c>
      <c r="D4142" s="339">
        <v>106.93</v>
      </c>
    </row>
    <row r="4143" spans="1:4" ht="67.5">
      <c r="A4143" s="337">
        <v>96756</v>
      </c>
      <c r="B4143" s="338" t="s">
        <v>4759</v>
      </c>
      <c r="C4143" s="337" t="s">
        <v>474</v>
      </c>
      <c r="D4143" s="339">
        <v>9.1300000000000008</v>
      </c>
    </row>
    <row r="4144" spans="1:4" ht="67.5">
      <c r="A4144" s="337">
        <v>96757</v>
      </c>
      <c r="B4144" s="338" t="s">
        <v>4760</v>
      </c>
      <c r="C4144" s="337" t="s">
        <v>474</v>
      </c>
      <c r="D4144" s="339">
        <v>8.82</v>
      </c>
    </row>
    <row r="4145" spans="1:4" ht="67.5">
      <c r="A4145" s="337">
        <v>96758</v>
      </c>
      <c r="B4145" s="338" t="s">
        <v>4761</v>
      </c>
      <c r="C4145" s="337" t="s">
        <v>474</v>
      </c>
      <c r="D4145" s="339">
        <v>10.5</v>
      </c>
    </row>
    <row r="4146" spans="1:4" ht="67.5">
      <c r="A4146" s="337">
        <v>96759</v>
      </c>
      <c r="B4146" s="338" t="s">
        <v>4762</v>
      </c>
      <c r="C4146" s="337" t="s">
        <v>474</v>
      </c>
      <c r="D4146" s="339">
        <v>14.82</v>
      </c>
    </row>
    <row r="4147" spans="1:4" ht="67.5">
      <c r="A4147" s="337">
        <v>96760</v>
      </c>
      <c r="B4147" s="338" t="s">
        <v>4763</v>
      </c>
      <c r="C4147" s="337" t="s">
        <v>474</v>
      </c>
      <c r="D4147" s="339">
        <v>21.16</v>
      </c>
    </row>
    <row r="4148" spans="1:4" ht="67.5">
      <c r="A4148" s="337">
        <v>96761</v>
      </c>
      <c r="B4148" s="338" t="s">
        <v>4764</v>
      </c>
      <c r="C4148" s="337" t="s">
        <v>474</v>
      </c>
      <c r="D4148" s="339">
        <v>29.11</v>
      </c>
    </row>
    <row r="4149" spans="1:4" ht="67.5">
      <c r="A4149" s="337">
        <v>96762</v>
      </c>
      <c r="B4149" s="338" t="s">
        <v>4765</v>
      </c>
      <c r="C4149" s="337" t="s">
        <v>474</v>
      </c>
      <c r="D4149" s="339">
        <v>56.09</v>
      </c>
    </row>
    <row r="4150" spans="1:4" ht="67.5">
      <c r="A4150" s="337">
        <v>96763</v>
      </c>
      <c r="B4150" s="338" t="s">
        <v>4766</v>
      </c>
      <c r="C4150" s="337" t="s">
        <v>474</v>
      </c>
      <c r="D4150" s="339">
        <v>76.239999999999995</v>
      </c>
    </row>
    <row r="4151" spans="1:4" ht="67.5">
      <c r="A4151" s="337">
        <v>96764</v>
      </c>
      <c r="B4151" s="338" t="s">
        <v>4767</v>
      </c>
      <c r="C4151" s="337" t="s">
        <v>474</v>
      </c>
      <c r="D4151" s="339">
        <v>121.47</v>
      </c>
    </row>
    <row r="4152" spans="1:4" ht="54">
      <c r="A4152" s="337">
        <v>96802</v>
      </c>
      <c r="B4152" s="338" t="s">
        <v>4768</v>
      </c>
      <c r="C4152" s="337" t="s">
        <v>474</v>
      </c>
      <c r="D4152" s="339">
        <v>200.99</v>
      </c>
    </row>
    <row r="4153" spans="1:4" ht="54">
      <c r="A4153" s="337">
        <v>96803</v>
      </c>
      <c r="B4153" s="338" t="s">
        <v>4769</v>
      </c>
      <c r="C4153" s="337" t="s">
        <v>474</v>
      </c>
      <c r="D4153" s="339">
        <v>103.05</v>
      </c>
    </row>
    <row r="4154" spans="1:4" ht="54">
      <c r="A4154" s="337">
        <v>96804</v>
      </c>
      <c r="B4154" s="338" t="s">
        <v>4770</v>
      </c>
      <c r="C4154" s="337" t="s">
        <v>474</v>
      </c>
      <c r="D4154" s="339">
        <v>184.01</v>
      </c>
    </row>
    <row r="4155" spans="1:4" ht="54">
      <c r="A4155" s="337">
        <v>96805</v>
      </c>
      <c r="B4155" s="338" t="s">
        <v>4771</v>
      </c>
      <c r="C4155" s="337" t="s">
        <v>474</v>
      </c>
      <c r="D4155" s="339">
        <v>207.22</v>
      </c>
    </row>
    <row r="4156" spans="1:4" ht="54">
      <c r="A4156" s="337">
        <v>96806</v>
      </c>
      <c r="B4156" s="338" t="s">
        <v>4772</v>
      </c>
      <c r="C4156" s="337" t="s">
        <v>474</v>
      </c>
      <c r="D4156" s="339">
        <v>100.22</v>
      </c>
    </row>
    <row r="4157" spans="1:4" ht="67.5">
      <c r="A4157" s="337">
        <v>96807</v>
      </c>
      <c r="B4157" s="338" t="s">
        <v>4773</v>
      </c>
      <c r="C4157" s="337" t="s">
        <v>474</v>
      </c>
      <c r="D4157" s="339">
        <v>166.83</v>
      </c>
    </row>
    <row r="4158" spans="1:4" ht="54">
      <c r="A4158" s="337">
        <v>96808</v>
      </c>
      <c r="B4158" s="338" t="s">
        <v>4774</v>
      </c>
      <c r="C4158" s="337" t="s">
        <v>474</v>
      </c>
      <c r="D4158" s="339">
        <v>9.2899999999999991</v>
      </c>
    </row>
    <row r="4159" spans="1:4" ht="54">
      <c r="A4159" s="337">
        <v>96809</v>
      </c>
      <c r="B4159" s="338" t="s">
        <v>4775</v>
      </c>
      <c r="C4159" s="337" t="s">
        <v>474</v>
      </c>
      <c r="D4159" s="339">
        <v>10.65</v>
      </c>
    </row>
    <row r="4160" spans="1:4" ht="54">
      <c r="A4160" s="337">
        <v>96810</v>
      </c>
      <c r="B4160" s="338" t="s">
        <v>4776</v>
      </c>
      <c r="C4160" s="337" t="s">
        <v>474</v>
      </c>
      <c r="D4160" s="339">
        <v>11.57</v>
      </c>
    </row>
    <row r="4161" spans="1:4" ht="54">
      <c r="A4161" s="337">
        <v>96811</v>
      </c>
      <c r="B4161" s="338" t="s">
        <v>4777</v>
      </c>
      <c r="C4161" s="337" t="s">
        <v>474</v>
      </c>
      <c r="D4161" s="339">
        <v>12.42</v>
      </c>
    </row>
    <row r="4162" spans="1:4" ht="54">
      <c r="A4162" s="337">
        <v>96812</v>
      </c>
      <c r="B4162" s="338" t="s">
        <v>4778</v>
      </c>
      <c r="C4162" s="337" t="s">
        <v>474</v>
      </c>
      <c r="D4162" s="339">
        <v>11.94</v>
      </c>
    </row>
    <row r="4163" spans="1:4" ht="54">
      <c r="A4163" s="337">
        <v>96813</v>
      </c>
      <c r="B4163" s="338" t="s">
        <v>4779</v>
      </c>
      <c r="C4163" s="337" t="s">
        <v>474</v>
      </c>
      <c r="D4163" s="339">
        <v>13.76</v>
      </c>
    </row>
    <row r="4164" spans="1:4" ht="54">
      <c r="A4164" s="337">
        <v>96814</v>
      </c>
      <c r="B4164" s="338" t="s">
        <v>4780</v>
      </c>
      <c r="C4164" s="337" t="s">
        <v>474</v>
      </c>
      <c r="D4164" s="339">
        <v>11.63</v>
      </c>
    </row>
    <row r="4165" spans="1:4" ht="54">
      <c r="A4165" s="337">
        <v>96815</v>
      </c>
      <c r="B4165" s="338" t="s">
        <v>4781</v>
      </c>
      <c r="C4165" s="337" t="s">
        <v>474</v>
      </c>
      <c r="D4165" s="339">
        <v>19.64</v>
      </c>
    </row>
    <row r="4166" spans="1:4" ht="54">
      <c r="A4166" s="337">
        <v>96816</v>
      </c>
      <c r="B4166" s="338" t="s">
        <v>4782</v>
      </c>
      <c r="C4166" s="337" t="s">
        <v>474</v>
      </c>
      <c r="D4166" s="339">
        <v>16.16</v>
      </c>
    </row>
    <row r="4167" spans="1:4" ht="54">
      <c r="A4167" s="337">
        <v>96817</v>
      </c>
      <c r="B4167" s="338" t="s">
        <v>4783</v>
      </c>
      <c r="C4167" s="337" t="s">
        <v>474</v>
      </c>
      <c r="D4167" s="339">
        <v>18.38</v>
      </c>
    </row>
    <row r="4168" spans="1:4" ht="40.5">
      <c r="A4168" s="337">
        <v>96818</v>
      </c>
      <c r="B4168" s="338" t="s">
        <v>4784</v>
      </c>
      <c r="C4168" s="337" t="s">
        <v>474</v>
      </c>
      <c r="D4168" s="339">
        <v>17.12</v>
      </c>
    </row>
    <row r="4169" spans="1:4" ht="40.5">
      <c r="A4169" s="337">
        <v>96819</v>
      </c>
      <c r="B4169" s="338" t="s">
        <v>4785</v>
      </c>
      <c r="C4169" s="337" t="s">
        <v>474</v>
      </c>
      <c r="D4169" s="339">
        <v>17.12</v>
      </c>
    </row>
    <row r="4170" spans="1:4" ht="54">
      <c r="A4170" s="337">
        <v>96820</v>
      </c>
      <c r="B4170" s="338" t="s">
        <v>4786</v>
      </c>
      <c r="C4170" s="337" t="s">
        <v>474</v>
      </c>
      <c r="D4170" s="339">
        <v>31.13</v>
      </c>
    </row>
    <row r="4171" spans="1:4" ht="54">
      <c r="A4171" s="337">
        <v>96821</v>
      </c>
      <c r="B4171" s="338" t="s">
        <v>4787</v>
      </c>
      <c r="C4171" s="337" t="s">
        <v>474</v>
      </c>
      <c r="D4171" s="339">
        <v>26.51</v>
      </c>
    </row>
    <row r="4172" spans="1:4" ht="40.5">
      <c r="A4172" s="337">
        <v>96822</v>
      </c>
      <c r="B4172" s="338" t="s">
        <v>4788</v>
      </c>
      <c r="C4172" s="337" t="s">
        <v>474</v>
      </c>
      <c r="D4172" s="339">
        <v>26.87</v>
      </c>
    </row>
    <row r="4173" spans="1:4" ht="40.5">
      <c r="A4173" s="337">
        <v>96823</v>
      </c>
      <c r="B4173" s="338" t="s">
        <v>4789</v>
      </c>
      <c r="C4173" s="337" t="s">
        <v>474</v>
      </c>
      <c r="D4173" s="339">
        <v>11.08</v>
      </c>
    </row>
    <row r="4174" spans="1:4" ht="54">
      <c r="A4174" s="337">
        <v>96824</v>
      </c>
      <c r="B4174" s="338" t="s">
        <v>4790</v>
      </c>
      <c r="C4174" s="337" t="s">
        <v>474</v>
      </c>
      <c r="D4174" s="339">
        <v>12.5</v>
      </c>
    </row>
    <row r="4175" spans="1:4" ht="54">
      <c r="A4175" s="337">
        <v>96825</v>
      </c>
      <c r="B4175" s="338" t="s">
        <v>4791</v>
      </c>
      <c r="C4175" s="337" t="s">
        <v>474</v>
      </c>
      <c r="D4175" s="339">
        <v>16.940000000000001</v>
      </c>
    </row>
    <row r="4176" spans="1:4" ht="40.5">
      <c r="A4176" s="337">
        <v>96826</v>
      </c>
      <c r="B4176" s="338" t="s">
        <v>4792</v>
      </c>
      <c r="C4176" s="337" t="s">
        <v>474</v>
      </c>
      <c r="D4176" s="339">
        <v>15.37</v>
      </c>
    </row>
    <row r="4177" spans="1:4" ht="54">
      <c r="A4177" s="337">
        <v>96827</v>
      </c>
      <c r="B4177" s="338" t="s">
        <v>4793</v>
      </c>
      <c r="C4177" s="337" t="s">
        <v>474</v>
      </c>
      <c r="D4177" s="339">
        <v>15.94</v>
      </c>
    </row>
    <row r="4178" spans="1:4" ht="54">
      <c r="A4178" s="337">
        <v>96828</v>
      </c>
      <c r="B4178" s="338" t="s">
        <v>4794</v>
      </c>
      <c r="C4178" s="337" t="s">
        <v>474</v>
      </c>
      <c r="D4178" s="339">
        <v>20.010000000000002</v>
      </c>
    </row>
    <row r="4179" spans="1:4" ht="54">
      <c r="A4179" s="337">
        <v>96829</v>
      </c>
      <c r="B4179" s="338" t="s">
        <v>4795</v>
      </c>
      <c r="C4179" s="337" t="s">
        <v>474</v>
      </c>
      <c r="D4179" s="339">
        <v>15.34</v>
      </c>
    </row>
    <row r="4180" spans="1:4" ht="40.5">
      <c r="A4180" s="337">
        <v>96830</v>
      </c>
      <c r="B4180" s="338" t="s">
        <v>4796</v>
      </c>
      <c r="C4180" s="337" t="s">
        <v>474</v>
      </c>
      <c r="D4180" s="339">
        <v>22.29</v>
      </c>
    </row>
    <row r="4181" spans="1:4" ht="54">
      <c r="A4181" s="337">
        <v>96831</v>
      </c>
      <c r="B4181" s="338" t="s">
        <v>4797</v>
      </c>
      <c r="C4181" s="337" t="s">
        <v>474</v>
      </c>
      <c r="D4181" s="339">
        <v>18.18</v>
      </c>
    </row>
    <row r="4182" spans="1:4" ht="54">
      <c r="A4182" s="337">
        <v>96832</v>
      </c>
      <c r="B4182" s="338" t="s">
        <v>4798</v>
      </c>
      <c r="C4182" s="337" t="s">
        <v>474</v>
      </c>
      <c r="D4182" s="339">
        <v>21.01</v>
      </c>
    </row>
    <row r="4183" spans="1:4" ht="54">
      <c r="A4183" s="337">
        <v>96833</v>
      </c>
      <c r="B4183" s="338" t="s">
        <v>4799</v>
      </c>
      <c r="C4183" s="337" t="s">
        <v>474</v>
      </c>
      <c r="D4183" s="339">
        <v>19.68</v>
      </c>
    </row>
    <row r="4184" spans="1:4" ht="40.5">
      <c r="A4184" s="337">
        <v>96834</v>
      </c>
      <c r="B4184" s="338" t="s">
        <v>4800</v>
      </c>
      <c r="C4184" s="337" t="s">
        <v>474</v>
      </c>
      <c r="D4184" s="339">
        <v>32.5</v>
      </c>
    </row>
    <row r="4185" spans="1:4" ht="54">
      <c r="A4185" s="337">
        <v>96835</v>
      </c>
      <c r="B4185" s="338" t="s">
        <v>4801</v>
      </c>
      <c r="C4185" s="337" t="s">
        <v>474</v>
      </c>
      <c r="D4185" s="339">
        <v>28.1</v>
      </c>
    </row>
    <row r="4186" spans="1:4" ht="54">
      <c r="A4186" s="337">
        <v>96836</v>
      </c>
      <c r="B4186" s="338" t="s">
        <v>4802</v>
      </c>
      <c r="C4186" s="337" t="s">
        <v>474</v>
      </c>
      <c r="D4186" s="339">
        <v>29.93</v>
      </c>
    </row>
    <row r="4187" spans="1:4" ht="54">
      <c r="A4187" s="337">
        <v>96837</v>
      </c>
      <c r="B4187" s="338" t="s">
        <v>4803</v>
      </c>
      <c r="C4187" s="337" t="s">
        <v>474</v>
      </c>
      <c r="D4187" s="339">
        <v>16.22</v>
      </c>
    </row>
    <row r="4188" spans="1:4" ht="67.5">
      <c r="A4188" s="337">
        <v>96838</v>
      </c>
      <c r="B4188" s="338" t="s">
        <v>4804</v>
      </c>
      <c r="C4188" s="337" t="s">
        <v>474</v>
      </c>
      <c r="D4188" s="339">
        <v>14.91</v>
      </c>
    </row>
    <row r="4189" spans="1:4" ht="67.5">
      <c r="A4189" s="337">
        <v>96839</v>
      </c>
      <c r="B4189" s="338" t="s">
        <v>4805</v>
      </c>
      <c r="C4189" s="337" t="s">
        <v>474</v>
      </c>
      <c r="D4189" s="339">
        <v>14.68</v>
      </c>
    </row>
    <row r="4190" spans="1:4" ht="54">
      <c r="A4190" s="337">
        <v>96840</v>
      </c>
      <c r="B4190" s="338" t="s">
        <v>4806</v>
      </c>
      <c r="C4190" s="337" t="s">
        <v>474</v>
      </c>
      <c r="D4190" s="339">
        <v>18.97</v>
      </c>
    </row>
    <row r="4191" spans="1:4" ht="67.5">
      <c r="A4191" s="337">
        <v>96841</v>
      </c>
      <c r="B4191" s="338" t="s">
        <v>4807</v>
      </c>
      <c r="C4191" s="337" t="s">
        <v>474</v>
      </c>
      <c r="D4191" s="339">
        <v>16.600000000000001</v>
      </c>
    </row>
    <row r="4192" spans="1:4" ht="67.5">
      <c r="A4192" s="337">
        <v>96842</v>
      </c>
      <c r="B4192" s="338" t="s">
        <v>4808</v>
      </c>
      <c r="C4192" s="337" t="s">
        <v>474</v>
      </c>
      <c r="D4192" s="339">
        <v>21.13</v>
      </c>
    </row>
    <row r="4193" spans="1:4" ht="67.5">
      <c r="A4193" s="337">
        <v>96843</v>
      </c>
      <c r="B4193" s="338" t="s">
        <v>4809</v>
      </c>
      <c r="C4193" s="337" t="s">
        <v>474</v>
      </c>
      <c r="D4193" s="339">
        <v>20.32</v>
      </c>
    </row>
    <row r="4194" spans="1:4" ht="54">
      <c r="A4194" s="337">
        <v>96844</v>
      </c>
      <c r="B4194" s="338" t="s">
        <v>4810</v>
      </c>
      <c r="C4194" s="337" t="s">
        <v>474</v>
      </c>
      <c r="D4194" s="339">
        <v>27.7</v>
      </c>
    </row>
    <row r="4195" spans="1:4" ht="54">
      <c r="A4195" s="337">
        <v>96845</v>
      </c>
      <c r="B4195" s="338" t="s">
        <v>4811</v>
      </c>
      <c r="C4195" s="337" t="s">
        <v>474</v>
      </c>
      <c r="D4195" s="339">
        <v>29.67</v>
      </c>
    </row>
    <row r="4196" spans="1:4" ht="67.5">
      <c r="A4196" s="337">
        <v>96846</v>
      </c>
      <c r="B4196" s="338" t="s">
        <v>4812</v>
      </c>
      <c r="C4196" s="337" t="s">
        <v>474</v>
      </c>
      <c r="D4196" s="339">
        <v>23.36</v>
      </c>
    </row>
    <row r="4197" spans="1:4" ht="67.5">
      <c r="A4197" s="337">
        <v>96847</v>
      </c>
      <c r="B4197" s="338" t="s">
        <v>4813</v>
      </c>
      <c r="C4197" s="337" t="s">
        <v>474</v>
      </c>
      <c r="D4197" s="339">
        <v>25.67</v>
      </c>
    </row>
    <row r="4198" spans="1:4" ht="54">
      <c r="A4198" s="337">
        <v>96848</v>
      </c>
      <c r="B4198" s="338" t="s">
        <v>4814</v>
      </c>
      <c r="C4198" s="337" t="s">
        <v>474</v>
      </c>
      <c r="D4198" s="339">
        <v>38.46</v>
      </c>
    </row>
    <row r="4199" spans="1:4" ht="40.5">
      <c r="A4199" s="337">
        <v>96849</v>
      </c>
      <c r="B4199" s="338" t="s">
        <v>4815</v>
      </c>
      <c r="C4199" s="337" t="s">
        <v>474</v>
      </c>
      <c r="D4199" s="339">
        <v>13.96</v>
      </c>
    </row>
    <row r="4200" spans="1:4" ht="54">
      <c r="A4200" s="337">
        <v>96850</v>
      </c>
      <c r="B4200" s="338" t="s">
        <v>4816</v>
      </c>
      <c r="C4200" s="337" t="s">
        <v>474</v>
      </c>
      <c r="D4200" s="339">
        <v>16.32</v>
      </c>
    </row>
    <row r="4201" spans="1:4" ht="54">
      <c r="A4201" s="337">
        <v>96851</v>
      </c>
      <c r="B4201" s="338" t="s">
        <v>4817</v>
      </c>
      <c r="C4201" s="337" t="s">
        <v>474</v>
      </c>
      <c r="D4201" s="339">
        <v>21.61</v>
      </c>
    </row>
    <row r="4202" spans="1:4" ht="40.5">
      <c r="A4202" s="337">
        <v>96852</v>
      </c>
      <c r="B4202" s="338" t="s">
        <v>4818</v>
      </c>
      <c r="C4202" s="337" t="s">
        <v>474</v>
      </c>
      <c r="D4202" s="339">
        <v>18.579999999999998</v>
      </c>
    </row>
    <row r="4203" spans="1:4" ht="54">
      <c r="A4203" s="337">
        <v>96853</v>
      </c>
      <c r="B4203" s="338" t="s">
        <v>4819</v>
      </c>
      <c r="C4203" s="337" t="s">
        <v>474</v>
      </c>
      <c r="D4203" s="339">
        <v>20.89</v>
      </c>
    </row>
    <row r="4204" spans="1:4" ht="54">
      <c r="A4204" s="337">
        <v>96854</v>
      </c>
      <c r="B4204" s="338" t="s">
        <v>4820</v>
      </c>
      <c r="C4204" s="337" t="s">
        <v>474</v>
      </c>
      <c r="D4204" s="339">
        <v>24.98</v>
      </c>
    </row>
    <row r="4205" spans="1:4" ht="40.5">
      <c r="A4205" s="337">
        <v>96855</v>
      </c>
      <c r="B4205" s="338" t="s">
        <v>4821</v>
      </c>
      <c r="C4205" s="337" t="s">
        <v>474</v>
      </c>
      <c r="D4205" s="339">
        <v>23.06</v>
      </c>
    </row>
    <row r="4206" spans="1:4" ht="54">
      <c r="A4206" s="337">
        <v>96856</v>
      </c>
      <c r="B4206" s="338" t="s">
        <v>4822</v>
      </c>
      <c r="C4206" s="337" t="s">
        <v>474</v>
      </c>
      <c r="D4206" s="339">
        <v>23.4</v>
      </c>
    </row>
    <row r="4207" spans="1:4" ht="54">
      <c r="A4207" s="337">
        <v>96857</v>
      </c>
      <c r="B4207" s="338" t="s">
        <v>4823</v>
      </c>
      <c r="C4207" s="337" t="s">
        <v>474</v>
      </c>
      <c r="D4207" s="339">
        <v>37.229999999999997</v>
      </c>
    </row>
    <row r="4208" spans="1:4" ht="40.5">
      <c r="A4208" s="337">
        <v>96858</v>
      </c>
      <c r="B4208" s="338" t="s">
        <v>4824</v>
      </c>
      <c r="C4208" s="337" t="s">
        <v>474</v>
      </c>
      <c r="D4208" s="339">
        <v>37.659999999999997</v>
      </c>
    </row>
    <row r="4209" spans="1:4" ht="54">
      <c r="A4209" s="337">
        <v>96859</v>
      </c>
      <c r="B4209" s="338" t="s">
        <v>4825</v>
      </c>
      <c r="C4209" s="337" t="s">
        <v>474</v>
      </c>
      <c r="D4209" s="339">
        <v>46.64</v>
      </c>
    </row>
    <row r="4210" spans="1:4" ht="40.5">
      <c r="A4210" s="337">
        <v>96860</v>
      </c>
      <c r="B4210" s="338" t="s">
        <v>4826</v>
      </c>
      <c r="C4210" s="337" t="s">
        <v>474</v>
      </c>
      <c r="D4210" s="339">
        <v>18.850000000000001</v>
      </c>
    </row>
    <row r="4211" spans="1:4" ht="54">
      <c r="A4211" s="337">
        <v>96861</v>
      </c>
      <c r="B4211" s="338" t="s">
        <v>4827</v>
      </c>
      <c r="C4211" s="337" t="s">
        <v>474</v>
      </c>
      <c r="D4211" s="339">
        <v>20.34</v>
      </c>
    </row>
    <row r="4212" spans="1:4" ht="40.5">
      <c r="A4212" s="337">
        <v>96862</v>
      </c>
      <c r="B4212" s="338" t="s">
        <v>4828</v>
      </c>
      <c r="C4212" s="337" t="s">
        <v>474</v>
      </c>
      <c r="D4212" s="339">
        <v>22.72</v>
      </c>
    </row>
    <row r="4213" spans="1:4" ht="54">
      <c r="A4213" s="337">
        <v>96863</v>
      </c>
      <c r="B4213" s="338" t="s">
        <v>4829</v>
      </c>
      <c r="C4213" s="337" t="s">
        <v>474</v>
      </c>
      <c r="D4213" s="339">
        <v>22.47</v>
      </c>
    </row>
    <row r="4214" spans="1:4" ht="40.5">
      <c r="A4214" s="337">
        <v>96864</v>
      </c>
      <c r="B4214" s="338" t="s">
        <v>4830</v>
      </c>
      <c r="C4214" s="337" t="s">
        <v>474</v>
      </c>
      <c r="D4214" s="339">
        <v>35.549999999999997</v>
      </c>
    </row>
    <row r="4215" spans="1:4" ht="54">
      <c r="A4215" s="337">
        <v>96865</v>
      </c>
      <c r="B4215" s="338" t="s">
        <v>4831</v>
      </c>
      <c r="C4215" s="337" t="s">
        <v>474</v>
      </c>
      <c r="D4215" s="339">
        <v>34.83</v>
      </c>
    </row>
    <row r="4216" spans="1:4" ht="40.5">
      <c r="A4216" s="337">
        <v>96866</v>
      </c>
      <c r="B4216" s="338" t="s">
        <v>4832</v>
      </c>
      <c r="C4216" s="337" t="s">
        <v>474</v>
      </c>
      <c r="D4216" s="339">
        <v>46.71</v>
      </c>
    </row>
    <row r="4217" spans="1:4" ht="54">
      <c r="A4217" s="337">
        <v>96867</v>
      </c>
      <c r="B4217" s="338" t="s">
        <v>4833</v>
      </c>
      <c r="C4217" s="337" t="s">
        <v>474</v>
      </c>
      <c r="D4217" s="339">
        <v>54.25</v>
      </c>
    </row>
    <row r="4218" spans="1:4" ht="40.5">
      <c r="A4218" s="337">
        <v>96868</v>
      </c>
      <c r="B4218" s="338" t="s">
        <v>4834</v>
      </c>
      <c r="C4218" s="337" t="s">
        <v>474</v>
      </c>
      <c r="D4218" s="339">
        <v>21.63</v>
      </c>
    </row>
    <row r="4219" spans="1:4" ht="40.5">
      <c r="A4219" s="337">
        <v>96869</v>
      </c>
      <c r="B4219" s="338" t="s">
        <v>4835</v>
      </c>
      <c r="C4219" s="337" t="s">
        <v>474</v>
      </c>
      <c r="D4219" s="339">
        <v>25.85</v>
      </c>
    </row>
    <row r="4220" spans="1:4" ht="40.5">
      <c r="A4220" s="337">
        <v>96870</v>
      </c>
      <c r="B4220" s="338" t="s">
        <v>4836</v>
      </c>
      <c r="C4220" s="337" t="s">
        <v>474</v>
      </c>
      <c r="D4220" s="339">
        <v>40.78</v>
      </c>
    </row>
    <row r="4221" spans="1:4" ht="40.5">
      <c r="A4221" s="337">
        <v>96871</v>
      </c>
      <c r="B4221" s="338" t="s">
        <v>4837</v>
      </c>
      <c r="C4221" s="337" t="s">
        <v>474</v>
      </c>
      <c r="D4221" s="339">
        <v>59.1</v>
      </c>
    </row>
    <row r="4222" spans="1:4" ht="67.5">
      <c r="A4222" s="337">
        <v>96872</v>
      </c>
      <c r="B4222" s="338" t="s">
        <v>4838</v>
      </c>
      <c r="C4222" s="337" t="s">
        <v>474</v>
      </c>
      <c r="D4222" s="339">
        <v>54.49</v>
      </c>
    </row>
    <row r="4223" spans="1:4" ht="67.5">
      <c r="A4223" s="337">
        <v>96873</v>
      </c>
      <c r="B4223" s="338" t="s">
        <v>4839</v>
      </c>
      <c r="C4223" s="337" t="s">
        <v>474</v>
      </c>
      <c r="D4223" s="339">
        <v>62.82</v>
      </c>
    </row>
    <row r="4224" spans="1:4" ht="67.5">
      <c r="A4224" s="337">
        <v>96874</v>
      </c>
      <c r="B4224" s="338" t="s">
        <v>4840</v>
      </c>
      <c r="C4224" s="337" t="s">
        <v>474</v>
      </c>
      <c r="D4224" s="339">
        <v>66.349999999999994</v>
      </c>
    </row>
    <row r="4225" spans="1:4" ht="67.5">
      <c r="A4225" s="337">
        <v>96875</v>
      </c>
      <c r="B4225" s="338" t="s">
        <v>4841</v>
      </c>
      <c r="C4225" s="337" t="s">
        <v>474</v>
      </c>
      <c r="D4225" s="339">
        <v>79.73</v>
      </c>
    </row>
    <row r="4226" spans="1:4" ht="54">
      <c r="A4226" s="337">
        <v>96876</v>
      </c>
      <c r="B4226" s="338" t="s">
        <v>4842</v>
      </c>
      <c r="C4226" s="337" t="s">
        <v>474</v>
      </c>
      <c r="D4226" s="339">
        <v>139.75</v>
      </c>
    </row>
    <row r="4227" spans="1:4" ht="54">
      <c r="A4227" s="337">
        <v>96877</v>
      </c>
      <c r="B4227" s="338" t="s">
        <v>4843</v>
      </c>
      <c r="C4227" s="337" t="s">
        <v>474</v>
      </c>
      <c r="D4227" s="339">
        <v>149.46</v>
      </c>
    </row>
    <row r="4228" spans="1:4" ht="54">
      <c r="A4228" s="337">
        <v>96878</v>
      </c>
      <c r="B4228" s="338" t="s">
        <v>4844</v>
      </c>
      <c r="C4228" s="337" t="s">
        <v>474</v>
      </c>
      <c r="D4228" s="339">
        <v>151.28</v>
      </c>
    </row>
    <row r="4229" spans="1:4" ht="54">
      <c r="A4229" s="337">
        <v>96879</v>
      </c>
      <c r="B4229" s="338" t="s">
        <v>4845</v>
      </c>
      <c r="C4229" s="337" t="s">
        <v>474</v>
      </c>
      <c r="D4229" s="339">
        <v>151.94999999999999</v>
      </c>
    </row>
    <row r="4230" spans="1:4" ht="54">
      <c r="A4230" s="337">
        <v>96880</v>
      </c>
      <c r="B4230" s="338" t="s">
        <v>4846</v>
      </c>
      <c r="C4230" s="337" t="s">
        <v>474</v>
      </c>
      <c r="D4230" s="339">
        <v>173.7</v>
      </c>
    </row>
    <row r="4231" spans="1:4" ht="54">
      <c r="A4231" s="337">
        <v>96881</v>
      </c>
      <c r="B4231" s="338" t="s">
        <v>4847</v>
      </c>
      <c r="C4231" s="337" t="s">
        <v>474</v>
      </c>
      <c r="D4231" s="339">
        <v>183.55</v>
      </c>
    </row>
    <row r="4232" spans="1:4" ht="67.5">
      <c r="A4232" s="337">
        <v>97425</v>
      </c>
      <c r="B4232" s="338" t="s">
        <v>4848</v>
      </c>
      <c r="C4232" s="337" t="s">
        <v>474</v>
      </c>
      <c r="D4232" s="339">
        <v>17.89</v>
      </c>
    </row>
    <row r="4233" spans="1:4" ht="67.5">
      <c r="A4233" s="337">
        <v>97426</v>
      </c>
      <c r="B4233" s="338" t="s">
        <v>4849</v>
      </c>
      <c r="C4233" s="337" t="s">
        <v>474</v>
      </c>
      <c r="D4233" s="339">
        <v>21.29</v>
      </c>
    </row>
    <row r="4234" spans="1:4" ht="67.5">
      <c r="A4234" s="337">
        <v>97427</v>
      </c>
      <c r="B4234" s="338" t="s">
        <v>4850</v>
      </c>
      <c r="C4234" s="337" t="s">
        <v>474</v>
      </c>
      <c r="D4234" s="339">
        <v>23.86</v>
      </c>
    </row>
    <row r="4235" spans="1:4" ht="67.5">
      <c r="A4235" s="337">
        <v>97428</v>
      </c>
      <c r="B4235" s="338" t="s">
        <v>4851</v>
      </c>
      <c r="C4235" s="337" t="s">
        <v>474</v>
      </c>
      <c r="D4235" s="339">
        <v>29.83</v>
      </c>
    </row>
    <row r="4236" spans="1:4" ht="67.5">
      <c r="A4236" s="337">
        <v>97429</v>
      </c>
      <c r="B4236" s="338" t="s">
        <v>4852</v>
      </c>
      <c r="C4236" s="337" t="s">
        <v>474</v>
      </c>
      <c r="D4236" s="339">
        <v>35.33</v>
      </c>
    </row>
    <row r="4237" spans="1:4" ht="54">
      <c r="A4237" s="337">
        <v>97430</v>
      </c>
      <c r="B4237" s="338" t="s">
        <v>4853</v>
      </c>
      <c r="C4237" s="337" t="s">
        <v>474</v>
      </c>
      <c r="D4237" s="339">
        <v>28.03</v>
      </c>
    </row>
    <row r="4238" spans="1:4" ht="54">
      <c r="A4238" s="337">
        <v>97431</v>
      </c>
      <c r="B4238" s="338" t="s">
        <v>4854</v>
      </c>
      <c r="C4238" s="337" t="s">
        <v>474</v>
      </c>
      <c r="D4238" s="339">
        <v>31.24</v>
      </c>
    </row>
    <row r="4239" spans="1:4" ht="54">
      <c r="A4239" s="337">
        <v>97432</v>
      </c>
      <c r="B4239" s="338" t="s">
        <v>4855</v>
      </c>
      <c r="C4239" s="337" t="s">
        <v>474</v>
      </c>
      <c r="D4239" s="339">
        <v>35.22</v>
      </c>
    </row>
    <row r="4240" spans="1:4" ht="54">
      <c r="A4240" s="337">
        <v>97433</v>
      </c>
      <c r="B4240" s="338" t="s">
        <v>4856</v>
      </c>
      <c r="C4240" s="337" t="s">
        <v>474</v>
      </c>
      <c r="D4240" s="339">
        <v>64.67</v>
      </c>
    </row>
    <row r="4241" spans="1:4" ht="54">
      <c r="A4241" s="337">
        <v>97434</v>
      </c>
      <c r="B4241" s="338" t="s">
        <v>4857</v>
      </c>
      <c r="C4241" s="337" t="s">
        <v>474</v>
      </c>
      <c r="D4241" s="339">
        <v>65.91</v>
      </c>
    </row>
    <row r="4242" spans="1:4" ht="54">
      <c r="A4242" s="337">
        <v>97435</v>
      </c>
      <c r="B4242" s="338" t="s">
        <v>4858</v>
      </c>
      <c r="C4242" s="337" t="s">
        <v>474</v>
      </c>
      <c r="D4242" s="339">
        <v>75.69</v>
      </c>
    </row>
    <row r="4243" spans="1:4" ht="54">
      <c r="A4243" s="337">
        <v>97436</v>
      </c>
      <c r="B4243" s="338" t="s">
        <v>4859</v>
      </c>
      <c r="C4243" s="337" t="s">
        <v>474</v>
      </c>
      <c r="D4243" s="339">
        <v>78.069999999999993</v>
      </c>
    </row>
    <row r="4244" spans="1:4" ht="54">
      <c r="A4244" s="337">
        <v>97437</v>
      </c>
      <c r="B4244" s="338" t="s">
        <v>4860</v>
      </c>
      <c r="C4244" s="337" t="s">
        <v>474</v>
      </c>
      <c r="D4244" s="339">
        <v>86.61</v>
      </c>
    </row>
    <row r="4245" spans="1:4" ht="54">
      <c r="A4245" s="337">
        <v>97438</v>
      </c>
      <c r="B4245" s="338" t="s">
        <v>4861</v>
      </c>
      <c r="C4245" s="337" t="s">
        <v>474</v>
      </c>
      <c r="D4245" s="339">
        <v>89.16</v>
      </c>
    </row>
    <row r="4246" spans="1:4" ht="40.5">
      <c r="A4246" s="337">
        <v>97439</v>
      </c>
      <c r="B4246" s="338" t="s">
        <v>4862</v>
      </c>
      <c r="C4246" s="337" t="s">
        <v>474</v>
      </c>
      <c r="D4246" s="339">
        <v>98.11</v>
      </c>
    </row>
    <row r="4247" spans="1:4" ht="40.5">
      <c r="A4247" s="337">
        <v>97440</v>
      </c>
      <c r="B4247" s="338" t="s">
        <v>4863</v>
      </c>
      <c r="C4247" s="337" t="s">
        <v>474</v>
      </c>
      <c r="D4247" s="339">
        <v>117.71</v>
      </c>
    </row>
    <row r="4248" spans="1:4" ht="40.5">
      <c r="A4248" s="337">
        <v>97442</v>
      </c>
      <c r="B4248" s="338" t="s">
        <v>4864</v>
      </c>
      <c r="C4248" s="337" t="s">
        <v>474</v>
      </c>
      <c r="D4248" s="339">
        <v>129.94999999999999</v>
      </c>
    </row>
    <row r="4249" spans="1:4" ht="40.5">
      <c r="A4249" s="337">
        <v>97443</v>
      </c>
      <c r="B4249" s="338" t="s">
        <v>4865</v>
      </c>
      <c r="C4249" s="337" t="s">
        <v>474</v>
      </c>
      <c r="D4249" s="339">
        <v>58.42</v>
      </c>
    </row>
    <row r="4250" spans="1:4" ht="54">
      <c r="A4250" s="337">
        <v>97444</v>
      </c>
      <c r="B4250" s="338" t="s">
        <v>4866</v>
      </c>
      <c r="C4250" s="337" t="s">
        <v>474</v>
      </c>
      <c r="D4250" s="339">
        <v>67.650000000000006</v>
      </c>
    </row>
    <row r="4251" spans="1:4" ht="40.5">
      <c r="A4251" s="337">
        <v>97446</v>
      </c>
      <c r="B4251" s="338" t="s">
        <v>4867</v>
      </c>
      <c r="C4251" s="337" t="s">
        <v>474</v>
      </c>
      <c r="D4251" s="339">
        <v>113.02</v>
      </c>
    </row>
    <row r="4252" spans="1:4" ht="54">
      <c r="A4252" s="337">
        <v>97447</v>
      </c>
      <c r="B4252" s="338" t="s">
        <v>4868</v>
      </c>
      <c r="C4252" s="337" t="s">
        <v>474</v>
      </c>
      <c r="D4252" s="339">
        <v>113.02</v>
      </c>
    </row>
    <row r="4253" spans="1:4" ht="40.5">
      <c r="A4253" s="337">
        <v>97449</v>
      </c>
      <c r="B4253" s="338" t="s">
        <v>4869</v>
      </c>
      <c r="C4253" s="337" t="s">
        <v>474</v>
      </c>
      <c r="D4253" s="339">
        <v>120.54</v>
      </c>
    </row>
    <row r="4254" spans="1:4" ht="54">
      <c r="A4254" s="337">
        <v>97450</v>
      </c>
      <c r="B4254" s="338" t="s">
        <v>4870</v>
      </c>
      <c r="C4254" s="337" t="s">
        <v>474</v>
      </c>
      <c r="D4254" s="339">
        <v>145.66999999999999</v>
      </c>
    </row>
    <row r="4255" spans="1:4" ht="54">
      <c r="A4255" s="337">
        <v>97452</v>
      </c>
      <c r="B4255" s="338" t="s">
        <v>4871</v>
      </c>
      <c r="C4255" s="337" t="s">
        <v>474</v>
      </c>
      <c r="D4255" s="339">
        <v>95.26</v>
      </c>
    </row>
    <row r="4256" spans="1:4" ht="54">
      <c r="A4256" s="337">
        <v>97453</v>
      </c>
      <c r="B4256" s="338" t="s">
        <v>4872</v>
      </c>
      <c r="C4256" s="337" t="s">
        <v>474</v>
      </c>
      <c r="D4256" s="339">
        <v>100.53</v>
      </c>
    </row>
    <row r="4257" spans="1:4" ht="54">
      <c r="A4257" s="337">
        <v>97454</v>
      </c>
      <c r="B4257" s="338" t="s">
        <v>4873</v>
      </c>
      <c r="C4257" s="337" t="s">
        <v>474</v>
      </c>
      <c r="D4257" s="339">
        <v>156.37</v>
      </c>
    </row>
    <row r="4258" spans="1:4" ht="54">
      <c r="A4258" s="337">
        <v>97455</v>
      </c>
      <c r="B4258" s="338" t="s">
        <v>4874</v>
      </c>
      <c r="C4258" s="337" t="s">
        <v>474</v>
      </c>
      <c r="D4258" s="339">
        <v>164.8</v>
      </c>
    </row>
    <row r="4259" spans="1:4" ht="54">
      <c r="A4259" s="337">
        <v>97456</v>
      </c>
      <c r="B4259" s="338" t="s">
        <v>4875</v>
      </c>
      <c r="C4259" s="337" t="s">
        <v>474</v>
      </c>
      <c r="D4259" s="339">
        <v>341.79</v>
      </c>
    </row>
    <row r="4260" spans="1:4" ht="54">
      <c r="A4260" s="337">
        <v>97457</v>
      </c>
      <c r="B4260" s="338" t="s">
        <v>4876</v>
      </c>
      <c r="C4260" s="337" t="s">
        <v>474</v>
      </c>
      <c r="D4260" s="339">
        <v>303.98</v>
      </c>
    </row>
    <row r="4261" spans="1:4" ht="40.5">
      <c r="A4261" s="337">
        <v>97458</v>
      </c>
      <c r="B4261" s="338" t="s">
        <v>4877</v>
      </c>
      <c r="C4261" s="337" t="s">
        <v>474</v>
      </c>
      <c r="D4261" s="339">
        <v>148.18</v>
      </c>
    </row>
    <row r="4262" spans="1:4" ht="40.5">
      <c r="A4262" s="337">
        <v>97459</v>
      </c>
      <c r="B4262" s="338" t="s">
        <v>4878</v>
      </c>
      <c r="C4262" s="337" t="s">
        <v>474</v>
      </c>
      <c r="D4262" s="339">
        <v>246.29</v>
      </c>
    </row>
    <row r="4263" spans="1:4" ht="40.5">
      <c r="A4263" s="337">
        <v>97460</v>
      </c>
      <c r="B4263" s="338" t="s">
        <v>4879</v>
      </c>
      <c r="C4263" s="337" t="s">
        <v>474</v>
      </c>
      <c r="D4263" s="339">
        <v>372.28</v>
      </c>
    </row>
    <row r="4264" spans="1:4" ht="54">
      <c r="A4264" s="337">
        <v>97461</v>
      </c>
      <c r="B4264" s="338" t="s">
        <v>4880</v>
      </c>
      <c r="C4264" s="337" t="s">
        <v>474</v>
      </c>
      <c r="D4264" s="339">
        <v>18.239999999999998</v>
      </c>
    </row>
    <row r="4265" spans="1:4" ht="67.5">
      <c r="A4265" s="337">
        <v>97462</v>
      </c>
      <c r="B4265" s="338" t="s">
        <v>4881</v>
      </c>
      <c r="C4265" s="337" t="s">
        <v>474</v>
      </c>
      <c r="D4265" s="339">
        <v>15.54</v>
      </c>
    </row>
    <row r="4266" spans="1:4" ht="54">
      <c r="A4266" s="337">
        <v>97464</v>
      </c>
      <c r="B4266" s="338" t="s">
        <v>4882</v>
      </c>
      <c r="C4266" s="337" t="s">
        <v>474</v>
      </c>
      <c r="D4266" s="339">
        <v>25.98</v>
      </c>
    </row>
    <row r="4267" spans="1:4" ht="67.5">
      <c r="A4267" s="337">
        <v>97465</v>
      </c>
      <c r="B4267" s="338" t="s">
        <v>4883</v>
      </c>
      <c r="C4267" s="337" t="s">
        <v>474</v>
      </c>
      <c r="D4267" s="339">
        <v>30.54</v>
      </c>
    </row>
    <row r="4268" spans="1:4" ht="54">
      <c r="A4268" s="337">
        <v>97467</v>
      </c>
      <c r="B4268" s="338" t="s">
        <v>4884</v>
      </c>
      <c r="C4268" s="337" t="s">
        <v>474</v>
      </c>
      <c r="D4268" s="339">
        <v>32.93</v>
      </c>
    </row>
    <row r="4269" spans="1:4" ht="67.5">
      <c r="A4269" s="337">
        <v>97468</v>
      </c>
      <c r="B4269" s="338" t="s">
        <v>4885</v>
      </c>
      <c r="C4269" s="337" t="s">
        <v>474</v>
      </c>
      <c r="D4269" s="339">
        <v>38.770000000000003</v>
      </c>
    </row>
    <row r="4270" spans="1:4" ht="54">
      <c r="A4270" s="337">
        <v>97470</v>
      </c>
      <c r="B4270" s="338" t="s">
        <v>4886</v>
      </c>
      <c r="C4270" s="337" t="s">
        <v>474</v>
      </c>
      <c r="D4270" s="339">
        <v>47.95</v>
      </c>
    </row>
    <row r="4271" spans="1:4" ht="67.5">
      <c r="A4271" s="337">
        <v>97471</v>
      </c>
      <c r="B4271" s="338" t="s">
        <v>4887</v>
      </c>
      <c r="C4271" s="337" t="s">
        <v>474</v>
      </c>
      <c r="D4271" s="339">
        <v>57.18</v>
      </c>
    </row>
    <row r="4272" spans="1:4" ht="54">
      <c r="A4272" s="337">
        <v>97474</v>
      </c>
      <c r="B4272" s="338" t="s">
        <v>4888</v>
      </c>
      <c r="C4272" s="337" t="s">
        <v>474</v>
      </c>
      <c r="D4272" s="339">
        <v>85.67</v>
      </c>
    </row>
    <row r="4273" spans="1:4" ht="67.5">
      <c r="A4273" s="337">
        <v>97475</v>
      </c>
      <c r="B4273" s="338" t="s">
        <v>4889</v>
      </c>
      <c r="C4273" s="337" t="s">
        <v>474</v>
      </c>
      <c r="D4273" s="339">
        <v>104.33</v>
      </c>
    </row>
    <row r="4274" spans="1:4" ht="54">
      <c r="A4274" s="337">
        <v>97477</v>
      </c>
      <c r="B4274" s="338" t="s">
        <v>4890</v>
      </c>
      <c r="C4274" s="337" t="s">
        <v>474</v>
      </c>
      <c r="D4274" s="339">
        <v>113.63</v>
      </c>
    </row>
    <row r="4275" spans="1:4" ht="67.5">
      <c r="A4275" s="337">
        <v>97478</v>
      </c>
      <c r="B4275" s="338" t="s">
        <v>4891</v>
      </c>
      <c r="C4275" s="337" t="s">
        <v>474</v>
      </c>
      <c r="D4275" s="339">
        <v>138.76</v>
      </c>
    </row>
    <row r="4276" spans="1:4" ht="54">
      <c r="A4276" s="337">
        <v>97479</v>
      </c>
      <c r="B4276" s="338" t="s">
        <v>4892</v>
      </c>
      <c r="C4276" s="337" t="s">
        <v>474</v>
      </c>
      <c r="D4276" s="339">
        <v>29.25</v>
      </c>
    </row>
    <row r="4277" spans="1:4" ht="54">
      <c r="A4277" s="337">
        <v>97480</v>
      </c>
      <c r="B4277" s="338" t="s">
        <v>4893</v>
      </c>
      <c r="C4277" s="337" t="s">
        <v>474</v>
      </c>
      <c r="D4277" s="339">
        <v>29.25</v>
      </c>
    </row>
    <row r="4278" spans="1:4" ht="54">
      <c r="A4278" s="337">
        <v>97481</v>
      </c>
      <c r="B4278" s="338" t="s">
        <v>4894</v>
      </c>
      <c r="C4278" s="337" t="s">
        <v>474</v>
      </c>
      <c r="D4278" s="339">
        <v>41.91</v>
      </c>
    </row>
    <row r="4279" spans="1:4" ht="54">
      <c r="A4279" s="337">
        <v>97482</v>
      </c>
      <c r="B4279" s="338" t="s">
        <v>4895</v>
      </c>
      <c r="C4279" s="337" t="s">
        <v>474</v>
      </c>
      <c r="D4279" s="339">
        <v>41.91</v>
      </c>
    </row>
    <row r="4280" spans="1:4" ht="54">
      <c r="A4280" s="337">
        <v>97483</v>
      </c>
      <c r="B4280" s="338" t="s">
        <v>4896</v>
      </c>
      <c r="C4280" s="337" t="s">
        <v>474</v>
      </c>
      <c r="D4280" s="339">
        <v>58.15</v>
      </c>
    </row>
    <row r="4281" spans="1:4" ht="54">
      <c r="A4281" s="337">
        <v>97484</v>
      </c>
      <c r="B4281" s="338" t="s">
        <v>4897</v>
      </c>
      <c r="C4281" s="337" t="s">
        <v>474</v>
      </c>
      <c r="D4281" s="339">
        <v>58.15</v>
      </c>
    </row>
    <row r="4282" spans="1:4" ht="54">
      <c r="A4282" s="337">
        <v>97485</v>
      </c>
      <c r="B4282" s="338" t="s">
        <v>4898</v>
      </c>
      <c r="C4282" s="337" t="s">
        <v>474</v>
      </c>
      <c r="D4282" s="339">
        <v>79.569999999999993</v>
      </c>
    </row>
    <row r="4283" spans="1:4" ht="54">
      <c r="A4283" s="337">
        <v>97486</v>
      </c>
      <c r="B4283" s="338" t="s">
        <v>4899</v>
      </c>
      <c r="C4283" s="337" t="s">
        <v>474</v>
      </c>
      <c r="D4283" s="339">
        <v>84.84</v>
      </c>
    </row>
    <row r="4284" spans="1:4" ht="54">
      <c r="A4284" s="337">
        <v>97487</v>
      </c>
      <c r="B4284" s="338" t="s">
        <v>4900</v>
      </c>
      <c r="C4284" s="337" t="s">
        <v>474</v>
      </c>
      <c r="D4284" s="339">
        <v>143.35</v>
      </c>
    </row>
    <row r="4285" spans="1:4" ht="54">
      <c r="A4285" s="337">
        <v>97488</v>
      </c>
      <c r="B4285" s="338" t="s">
        <v>4901</v>
      </c>
      <c r="C4285" s="337" t="s">
        <v>474</v>
      </c>
      <c r="D4285" s="339">
        <v>151.78</v>
      </c>
    </row>
    <row r="4286" spans="1:4" ht="54">
      <c r="A4286" s="337">
        <v>97489</v>
      </c>
      <c r="B4286" s="338" t="s">
        <v>4902</v>
      </c>
      <c r="C4286" s="337" t="s">
        <v>474</v>
      </c>
      <c r="D4286" s="339">
        <v>331.42</v>
      </c>
    </row>
    <row r="4287" spans="1:4" ht="54">
      <c r="A4287" s="337">
        <v>97490</v>
      </c>
      <c r="B4287" s="338" t="s">
        <v>4903</v>
      </c>
      <c r="C4287" s="337" t="s">
        <v>474</v>
      </c>
      <c r="D4287" s="339">
        <v>293.61</v>
      </c>
    </row>
    <row r="4288" spans="1:4" ht="54">
      <c r="A4288" s="337">
        <v>97491</v>
      </c>
      <c r="B4288" s="338" t="s">
        <v>4904</v>
      </c>
      <c r="C4288" s="337" t="s">
        <v>474</v>
      </c>
      <c r="D4288" s="339">
        <v>44.57</v>
      </c>
    </row>
    <row r="4289" spans="1:4" ht="54">
      <c r="A4289" s="337">
        <v>97492</v>
      </c>
      <c r="B4289" s="338" t="s">
        <v>4905</v>
      </c>
      <c r="C4289" s="337" t="s">
        <v>474</v>
      </c>
      <c r="D4289" s="339">
        <v>64.680000000000007</v>
      </c>
    </row>
    <row r="4290" spans="1:4" ht="54">
      <c r="A4290" s="337">
        <v>97493</v>
      </c>
      <c r="B4290" s="338" t="s">
        <v>4906</v>
      </c>
      <c r="C4290" s="337" t="s">
        <v>474</v>
      </c>
      <c r="D4290" s="339">
        <v>83.22</v>
      </c>
    </row>
    <row r="4291" spans="1:4" ht="54">
      <c r="A4291" s="337">
        <v>97494</v>
      </c>
      <c r="B4291" s="338" t="s">
        <v>4907</v>
      </c>
      <c r="C4291" s="337" t="s">
        <v>474</v>
      </c>
      <c r="D4291" s="339">
        <v>127.24</v>
      </c>
    </row>
    <row r="4292" spans="1:4" ht="54">
      <c r="A4292" s="337">
        <v>97495</v>
      </c>
      <c r="B4292" s="338" t="s">
        <v>4908</v>
      </c>
      <c r="C4292" s="337" t="s">
        <v>474</v>
      </c>
      <c r="D4292" s="339">
        <v>228.91</v>
      </c>
    </row>
    <row r="4293" spans="1:4" ht="54">
      <c r="A4293" s="337">
        <v>97496</v>
      </c>
      <c r="B4293" s="338" t="s">
        <v>4909</v>
      </c>
      <c r="C4293" s="337" t="s">
        <v>474</v>
      </c>
      <c r="D4293" s="339">
        <v>358.48</v>
      </c>
    </row>
    <row r="4294" spans="1:4" ht="54">
      <c r="A4294" s="337">
        <v>97499</v>
      </c>
      <c r="B4294" s="338" t="s">
        <v>4910</v>
      </c>
      <c r="C4294" s="337" t="s">
        <v>474</v>
      </c>
      <c r="D4294" s="339">
        <v>16.559999999999999</v>
      </c>
    </row>
    <row r="4295" spans="1:4" ht="67.5">
      <c r="A4295" s="337">
        <v>97500</v>
      </c>
      <c r="B4295" s="338" t="s">
        <v>4911</v>
      </c>
      <c r="C4295" s="337" t="s">
        <v>474</v>
      </c>
      <c r="D4295" s="339">
        <v>13.86</v>
      </c>
    </row>
    <row r="4296" spans="1:4" ht="54">
      <c r="A4296" s="337">
        <v>97502</v>
      </c>
      <c r="B4296" s="338" t="s">
        <v>4912</v>
      </c>
      <c r="C4296" s="337" t="s">
        <v>474</v>
      </c>
      <c r="D4296" s="339">
        <v>22.84</v>
      </c>
    </row>
    <row r="4297" spans="1:4" ht="67.5">
      <c r="A4297" s="337">
        <v>97503</v>
      </c>
      <c r="B4297" s="338" t="s">
        <v>4913</v>
      </c>
      <c r="C4297" s="337" t="s">
        <v>474</v>
      </c>
      <c r="D4297" s="339">
        <v>27.56</v>
      </c>
    </row>
    <row r="4298" spans="1:4" ht="54">
      <c r="A4298" s="337">
        <v>97505</v>
      </c>
      <c r="B4298" s="338" t="s">
        <v>4914</v>
      </c>
      <c r="C4298" s="337" t="s">
        <v>474</v>
      </c>
      <c r="D4298" s="339">
        <v>28.52</v>
      </c>
    </row>
    <row r="4299" spans="1:4" ht="67.5">
      <c r="A4299" s="337">
        <v>97506</v>
      </c>
      <c r="B4299" s="338" t="s">
        <v>4915</v>
      </c>
      <c r="C4299" s="337" t="s">
        <v>474</v>
      </c>
      <c r="D4299" s="339">
        <v>34.36</v>
      </c>
    </row>
    <row r="4300" spans="1:4" ht="54">
      <c r="A4300" s="337">
        <v>97508</v>
      </c>
      <c r="B4300" s="338" t="s">
        <v>4916</v>
      </c>
      <c r="C4300" s="337" t="s">
        <v>474</v>
      </c>
      <c r="D4300" s="339">
        <v>41.69</v>
      </c>
    </row>
    <row r="4301" spans="1:4" ht="67.5">
      <c r="A4301" s="337">
        <v>97509</v>
      </c>
      <c r="B4301" s="338" t="s">
        <v>4917</v>
      </c>
      <c r="C4301" s="337" t="s">
        <v>474</v>
      </c>
      <c r="D4301" s="339">
        <v>50.92</v>
      </c>
    </row>
    <row r="4302" spans="1:4" ht="54">
      <c r="A4302" s="337">
        <v>97511</v>
      </c>
      <c r="B4302" s="338" t="s">
        <v>4918</v>
      </c>
      <c r="C4302" s="337" t="s">
        <v>474</v>
      </c>
      <c r="D4302" s="339">
        <v>76.69</v>
      </c>
    </row>
    <row r="4303" spans="1:4" ht="67.5">
      <c r="A4303" s="337">
        <v>97512</v>
      </c>
      <c r="B4303" s="338" t="s">
        <v>4919</v>
      </c>
      <c r="C4303" s="337" t="s">
        <v>474</v>
      </c>
      <c r="D4303" s="339">
        <v>95.35</v>
      </c>
    </row>
    <row r="4304" spans="1:4" ht="54">
      <c r="A4304" s="337">
        <v>97514</v>
      </c>
      <c r="B4304" s="338" t="s">
        <v>4920</v>
      </c>
      <c r="C4304" s="337" t="s">
        <v>474</v>
      </c>
      <c r="D4304" s="339">
        <v>101.82</v>
      </c>
    </row>
    <row r="4305" spans="1:4" ht="67.5">
      <c r="A4305" s="337">
        <v>97515</v>
      </c>
      <c r="B4305" s="338" t="s">
        <v>4921</v>
      </c>
      <c r="C4305" s="337" t="s">
        <v>474</v>
      </c>
      <c r="D4305" s="339">
        <v>126.95</v>
      </c>
    </row>
    <row r="4306" spans="1:4" ht="54">
      <c r="A4306" s="337">
        <v>97517</v>
      </c>
      <c r="B4306" s="338" t="s">
        <v>4922</v>
      </c>
      <c r="C4306" s="337" t="s">
        <v>474</v>
      </c>
      <c r="D4306" s="339">
        <v>26.72</v>
      </c>
    </row>
    <row r="4307" spans="1:4" ht="54">
      <c r="A4307" s="337">
        <v>97518</v>
      </c>
      <c r="B4307" s="338" t="s">
        <v>4923</v>
      </c>
      <c r="C4307" s="337" t="s">
        <v>474</v>
      </c>
      <c r="D4307" s="339">
        <v>26.72</v>
      </c>
    </row>
    <row r="4308" spans="1:4" ht="54">
      <c r="A4308" s="337">
        <v>97519</v>
      </c>
      <c r="B4308" s="338" t="s">
        <v>4924</v>
      </c>
      <c r="C4308" s="337" t="s">
        <v>474</v>
      </c>
      <c r="D4308" s="339">
        <v>37.44</v>
      </c>
    </row>
    <row r="4309" spans="1:4" ht="54">
      <c r="A4309" s="337">
        <v>97520</v>
      </c>
      <c r="B4309" s="338" t="s">
        <v>4925</v>
      </c>
      <c r="C4309" s="337" t="s">
        <v>474</v>
      </c>
      <c r="D4309" s="339">
        <v>37.44</v>
      </c>
    </row>
    <row r="4310" spans="1:4" ht="54">
      <c r="A4310" s="337">
        <v>97521</v>
      </c>
      <c r="B4310" s="338" t="s">
        <v>4926</v>
      </c>
      <c r="C4310" s="337" t="s">
        <v>474</v>
      </c>
      <c r="D4310" s="339">
        <v>51.5</v>
      </c>
    </row>
    <row r="4311" spans="1:4" ht="54">
      <c r="A4311" s="337">
        <v>97522</v>
      </c>
      <c r="B4311" s="338" t="s">
        <v>4927</v>
      </c>
      <c r="C4311" s="337" t="s">
        <v>474</v>
      </c>
      <c r="D4311" s="339">
        <v>51.5</v>
      </c>
    </row>
    <row r="4312" spans="1:4" ht="54">
      <c r="A4312" s="337">
        <v>97523</v>
      </c>
      <c r="B4312" s="338" t="s">
        <v>4928</v>
      </c>
      <c r="C4312" s="337" t="s">
        <v>474</v>
      </c>
      <c r="D4312" s="339">
        <v>70.19</v>
      </c>
    </row>
    <row r="4313" spans="1:4" ht="54">
      <c r="A4313" s="337">
        <v>97524</v>
      </c>
      <c r="B4313" s="338" t="s">
        <v>4929</v>
      </c>
      <c r="C4313" s="337" t="s">
        <v>474</v>
      </c>
      <c r="D4313" s="339">
        <v>75.459999999999994</v>
      </c>
    </row>
    <row r="4314" spans="1:4" ht="54">
      <c r="A4314" s="337">
        <v>97525</v>
      </c>
      <c r="B4314" s="338" t="s">
        <v>4930</v>
      </c>
      <c r="C4314" s="337" t="s">
        <v>474</v>
      </c>
      <c r="D4314" s="339">
        <v>129.80000000000001</v>
      </c>
    </row>
    <row r="4315" spans="1:4" ht="54">
      <c r="A4315" s="337">
        <v>97526</v>
      </c>
      <c r="B4315" s="338" t="s">
        <v>4931</v>
      </c>
      <c r="C4315" s="337" t="s">
        <v>474</v>
      </c>
      <c r="D4315" s="339">
        <v>138.22999999999999</v>
      </c>
    </row>
    <row r="4316" spans="1:4" ht="54">
      <c r="A4316" s="337">
        <v>97527</v>
      </c>
      <c r="B4316" s="338" t="s">
        <v>4932</v>
      </c>
      <c r="C4316" s="337" t="s">
        <v>474</v>
      </c>
      <c r="D4316" s="339">
        <v>313.74</v>
      </c>
    </row>
    <row r="4317" spans="1:4" ht="54">
      <c r="A4317" s="337">
        <v>97528</v>
      </c>
      <c r="B4317" s="338" t="s">
        <v>4933</v>
      </c>
      <c r="C4317" s="337" t="s">
        <v>474</v>
      </c>
      <c r="D4317" s="339">
        <v>275.93</v>
      </c>
    </row>
    <row r="4318" spans="1:4" ht="54">
      <c r="A4318" s="337">
        <v>97529</v>
      </c>
      <c r="B4318" s="338" t="s">
        <v>4934</v>
      </c>
      <c r="C4318" s="337" t="s">
        <v>474</v>
      </c>
      <c r="D4318" s="339">
        <v>41.25</v>
      </c>
    </row>
    <row r="4319" spans="1:4" ht="54">
      <c r="A4319" s="337">
        <v>97530</v>
      </c>
      <c r="B4319" s="338" t="s">
        <v>4935</v>
      </c>
      <c r="C4319" s="337" t="s">
        <v>474</v>
      </c>
      <c r="D4319" s="339">
        <v>58.72</v>
      </c>
    </row>
    <row r="4320" spans="1:4" ht="54">
      <c r="A4320" s="337">
        <v>97531</v>
      </c>
      <c r="B4320" s="338" t="s">
        <v>4936</v>
      </c>
      <c r="C4320" s="337" t="s">
        <v>474</v>
      </c>
      <c r="D4320" s="339">
        <v>74.34</v>
      </c>
    </row>
    <row r="4321" spans="1:4" ht="54">
      <c r="A4321" s="337">
        <v>97532</v>
      </c>
      <c r="B4321" s="338" t="s">
        <v>4937</v>
      </c>
      <c r="C4321" s="337" t="s">
        <v>474</v>
      </c>
      <c r="D4321" s="339">
        <v>114.73</v>
      </c>
    </row>
    <row r="4322" spans="1:4" ht="54">
      <c r="A4322" s="337">
        <v>97533</v>
      </c>
      <c r="B4322" s="338" t="s">
        <v>4938</v>
      </c>
      <c r="C4322" s="337" t="s">
        <v>474</v>
      </c>
      <c r="D4322" s="339">
        <v>213.53</v>
      </c>
    </row>
    <row r="4323" spans="1:4" ht="54">
      <c r="A4323" s="337">
        <v>97534</v>
      </c>
      <c r="B4323" s="338" t="s">
        <v>4939</v>
      </c>
      <c r="C4323" s="337" t="s">
        <v>474</v>
      </c>
      <c r="D4323" s="339">
        <v>334.9</v>
      </c>
    </row>
    <row r="4324" spans="1:4" ht="54">
      <c r="A4324" s="337">
        <v>97537</v>
      </c>
      <c r="B4324" s="338" t="s">
        <v>4940</v>
      </c>
      <c r="C4324" s="337" t="s">
        <v>474</v>
      </c>
      <c r="D4324" s="339">
        <v>12.79</v>
      </c>
    </row>
    <row r="4325" spans="1:4" ht="54">
      <c r="A4325" s="337">
        <v>97540</v>
      </c>
      <c r="B4325" s="338" t="s">
        <v>4941</v>
      </c>
      <c r="C4325" s="337" t="s">
        <v>474</v>
      </c>
      <c r="D4325" s="339">
        <v>17.760000000000002</v>
      </c>
    </row>
    <row r="4326" spans="1:4" ht="54">
      <c r="A4326" s="337">
        <v>97541</v>
      </c>
      <c r="B4326" s="338" t="s">
        <v>4942</v>
      </c>
      <c r="C4326" s="337" t="s">
        <v>474</v>
      </c>
      <c r="D4326" s="339">
        <v>15.51</v>
      </c>
    </row>
    <row r="4327" spans="1:4" ht="54">
      <c r="A4327" s="337">
        <v>97543</v>
      </c>
      <c r="B4327" s="338" t="s">
        <v>4943</v>
      </c>
      <c r="C4327" s="337" t="s">
        <v>474</v>
      </c>
      <c r="D4327" s="339">
        <v>29.7</v>
      </c>
    </row>
    <row r="4328" spans="1:4" ht="54">
      <c r="A4328" s="337">
        <v>97544</v>
      </c>
      <c r="B4328" s="338" t="s">
        <v>4944</v>
      </c>
      <c r="C4328" s="337" t="s">
        <v>474</v>
      </c>
      <c r="D4328" s="339">
        <v>27</v>
      </c>
    </row>
    <row r="4329" spans="1:4" ht="54">
      <c r="A4329" s="337">
        <v>97546</v>
      </c>
      <c r="B4329" s="338" t="s">
        <v>4945</v>
      </c>
      <c r="C4329" s="337" t="s">
        <v>474</v>
      </c>
      <c r="D4329" s="339">
        <v>18.07</v>
      </c>
    </row>
    <row r="4330" spans="1:4" ht="54">
      <c r="A4330" s="337">
        <v>97547</v>
      </c>
      <c r="B4330" s="338" t="s">
        <v>4946</v>
      </c>
      <c r="C4330" s="337" t="s">
        <v>474</v>
      </c>
      <c r="D4330" s="339">
        <v>18.07</v>
      </c>
    </row>
    <row r="4331" spans="1:4" ht="54">
      <c r="A4331" s="337">
        <v>97548</v>
      </c>
      <c r="B4331" s="338" t="s">
        <v>4947</v>
      </c>
      <c r="C4331" s="337" t="s">
        <v>474</v>
      </c>
      <c r="D4331" s="339">
        <v>27.32</v>
      </c>
    </row>
    <row r="4332" spans="1:4" ht="54">
      <c r="A4332" s="337">
        <v>97549</v>
      </c>
      <c r="B4332" s="338" t="s">
        <v>4948</v>
      </c>
      <c r="C4332" s="337" t="s">
        <v>474</v>
      </c>
      <c r="D4332" s="339">
        <v>27.32</v>
      </c>
    </row>
    <row r="4333" spans="1:4" ht="54">
      <c r="A4333" s="337">
        <v>97550</v>
      </c>
      <c r="B4333" s="338" t="s">
        <v>4949</v>
      </c>
      <c r="C4333" s="337" t="s">
        <v>474</v>
      </c>
      <c r="D4333" s="339">
        <v>46.48</v>
      </c>
    </row>
    <row r="4334" spans="1:4" ht="54">
      <c r="A4334" s="337">
        <v>97551</v>
      </c>
      <c r="B4334" s="338" t="s">
        <v>4950</v>
      </c>
      <c r="C4334" s="337" t="s">
        <v>474</v>
      </c>
      <c r="D4334" s="339">
        <v>46.48</v>
      </c>
    </row>
    <row r="4335" spans="1:4" ht="54">
      <c r="A4335" s="337">
        <v>97552</v>
      </c>
      <c r="B4335" s="338" t="s">
        <v>4951</v>
      </c>
      <c r="C4335" s="337" t="s">
        <v>474</v>
      </c>
      <c r="D4335" s="339">
        <v>26.05</v>
      </c>
    </row>
    <row r="4336" spans="1:4" ht="54">
      <c r="A4336" s="337">
        <v>97553</v>
      </c>
      <c r="B4336" s="338" t="s">
        <v>4952</v>
      </c>
      <c r="C4336" s="337" t="s">
        <v>474</v>
      </c>
      <c r="D4336" s="339">
        <v>38.39</v>
      </c>
    </row>
    <row r="4337" spans="1:4" ht="54">
      <c r="A4337" s="337">
        <v>97554</v>
      </c>
      <c r="B4337" s="338" t="s">
        <v>4953</v>
      </c>
      <c r="C4337" s="337" t="s">
        <v>474</v>
      </c>
      <c r="D4337" s="339">
        <v>67.599999999999994</v>
      </c>
    </row>
    <row r="4338" spans="1:4" ht="54">
      <c r="A4338" s="337">
        <v>98602</v>
      </c>
      <c r="B4338" s="338" t="s">
        <v>4954</v>
      </c>
      <c r="C4338" s="337" t="s">
        <v>474</v>
      </c>
      <c r="D4338" s="339">
        <v>9.2100000000000009</v>
      </c>
    </row>
    <row r="4339" spans="1:4" ht="27">
      <c r="A4339" s="337">
        <v>6171</v>
      </c>
      <c r="B4339" s="338" t="s">
        <v>4955</v>
      </c>
      <c r="C4339" s="337" t="s">
        <v>474</v>
      </c>
      <c r="D4339" s="339">
        <v>22.15</v>
      </c>
    </row>
    <row r="4340" spans="1:4" ht="40.5">
      <c r="A4340" s="337" t="s">
        <v>4956</v>
      </c>
      <c r="B4340" s="338" t="s">
        <v>4957</v>
      </c>
      <c r="C4340" s="337" t="s">
        <v>474</v>
      </c>
      <c r="D4340" s="339">
        <v>173.32</v>
      </c>
    </row>
    <row r="4341" spans="1:4" ht="67.5">
      <c r="A4341" s="337" t="s">
        <v>4958</v>
      </c>
      <c r="B4341" s="338" t="s">
        <v>4959</v>
      </c>
      <c r="C4341" s="337" t="s">
        <v>474</v>
      </c>
      <c r="D4341" s="339">
        <v>224.16</v>
      </c>
    </row>
    <row r="4342" spans="1:4" ht="27">
      <c r="A4342" s="337">
        <v>88503</v>
      </c>
      <c r="B4342" s="338" t="s">
        <v>4960</v>
      </c>
      <c r="C4342" s="337" t="s">
        <v>474</v>
      </c>
      <c r="D4342" s="339">
        <v>642.32000000000005</v>
      </c>
    </row>
    <row r="4343" spans="1:4" ht="27">
      <c r="A4343" s="337">
        <v>88504</v>
      </c>
      <c r="B4343" s="338" t="s">
        <v>4961</v>
      </c>
      <c r="C4343" s="337" t="s">
        <v>474</v>
      </c>
      <c r="D4343" s="339">
        <v>524.80999999999995</v>
      </c>
    </row>
    <row r="4344" spans="1:4" ht="67.5">
      <c r="A4344" s="337">
        <v>97900</v>
      </c>
      <c r="B4344" s="338" t="s">
        <v>4962</v>
      </c>
      <c r="C4344" s="337" t="s">
        <v>474</v>
      </c>
      <c r="D4344" s="339">
        <v>127.03</v>
      </c>
    </row>
    <row r="4345" spans="1:4" ht="67.5">
      <c r="A4345" s="337">
        <v>97901</v>
      </c>
      <c r="B4345" s="338" t="s">
        <v>4963</v>
      </c>
      <c r="C4345" s="337" t="s">
        <v>474</v>
      </c>
      <c r="D4345" s="339">
        <v>201.57</v>
      </c>
    </row>
    <row r="4346" spans="1:4" ht="67.5">
      <c r="A4346" s="337">
        <v>97902</v>
      </c>
      <c r="B4346" s="338" t="s">
        <v>4964</v>
      </c>
      <c r="C4346" s="337" t="s">
        <v>474</v>
      </c>
      <c r="D4346" s="339">
        <v>397.79</v>
      </c>
    </row>
    <row r="4347" spans="1:4" ht="67.5">
      <c r="A4347" s="337">
        <v>97903</v>
      </c>
      <c r="B4347" s="338" t="s">
        <v>4965</v>
      </c>
      <c r="C4347" s="337" t="s">
        <v>474</v>
      </c>
      <c r="D4347" s="339">
        <v>549.39</v>
      </c>
    </row>
    <row r="4348" spans="1:4" ht="54">
      <c r="A4348" s="337">
        <v>97904</v>
      </c>
      <c r="B4348" s="338" t="s">
        <v>4966</v>
      </c>
      <c r="C4348" s="337" t="s">
        <v>474</v>
      </c>
      <c r="D4348" s="339">
        <v>651.28</v>
      </c>
    </row>
    <row r="4349" spans="1:4" ht="54">
      <c r="A4349" s="337">
        <v>97905</v>
      </c>
      <c r="B4349" s="338" t="s">
        <v>4967</v>
      </c>
      <c r="C4349" s="337" t="s">
        <v>474</v>
      </c>
      <c r="D4349" s="339">
        <v>164.07</v>
      </c>
    </row>
    <row r="4350" spans="1:4" ht="54">
      <c r="A4350" s="337">
        <v>97906</v>
      </c>
      <c r="B4350" s="338" t="s">
        <v>4968</v>
      </c>
      <c r="C4350" s="337" t="s">
        <v>474</v>
      </c>
      <c r="D4350" s="339">
        <v>307.2</v>
      </c>
    </row>
    <row r="4351" spans="1:4" ht="54">
      <c r="A4351" s="337">
        <v>97907</v>
      </c>
      <c r="B4351" s="338" t="s">
        <v>4969</v>
      </c>
      <c r="C4351" s="337" t="s">
        <v>474</v>
      </c>
      <c r="D4351" s="339">
        <v>433.8</v>
      </c>
    </row>
    <row r="4352" spans="1:4" ht="54">
      <c r="A4352" s="337">
        <v>97908</v>
      </c>
      <c r="B4352" s="338" t="s">
        <v>4970</v>
      </c>
      <c r="C4352" s="337" t="s">
        <v>474</v>
      </c>
      <c r="D4352" s="339">
        <v>514.53</v>
      </c>
    </row>
    <row r="4353" spans="1:4" ht="54">
      <c r="A4353" s="337">
        <v>98102</v>
      </c>
      <c r="B4353" s="338" t="s">
        <v>4971</v>
      </c>
      <c r="C4353" s="337" t="s">
        <v>474</v>
      </c>
      <c r="D4353" s="339">
        <v>57.27</v>
      </c>
    </row>
    <row r="4354" spans="1:4" ht="54">
      <c r="A4354" s="337">
        <v>98103</v>
      </c>
      <c r="B4354" s="338" t="s">
        <v>4972</v>
      </c>
      <c r="C4354" s="337" t="s">
        <v>474</v>
      </c>
      <c r="D4354" s="339">
        <v>119.62</v>
      </c>
    </row>
    <row r="4355" spans="1:4" ht="67.5">
      <c r="A4355" s="337">
        <v>98104</v>
      </c>
      <c r="B4355" s="338" t="s">
        <v>4973</v>
      </c>
      <c r="C4355" s="337" t="s">
        <v>474</v>
      </c>
      <c r="D4355" s="339">
        <v>267.20999999999998</v>
      </c>
    </row>
    <row r="4356" spans="1:4" ht="67.5">
      <c r="A4356" s="337">
        <v>98105</v>
      </c>
      <c r="B4356" s="338" t="s">
        <v>4974</v>
      </c>
      <c r="C4356" s="337" t="s">
        <v>474</v>
      </c>
      <c r="D4356" s="339">
        <v>462.81</v>
      </c>
    </row>
    <row r="4357" spans="1:4" ht="81">
      <c r="A4357" s="337">
        <v>98106</v>
      </c>
      <c r="B4357" s="338" t="s">
        <v>4975</v>
      </c>
      <c r="C4357" s="337" t="s">
        <v>474</v>
      </c>
      <c r="D4357" s="339">
        <v>765.56</v>
      </c>
    </row>
    <row r="4358" spans="1:4" ht="67.5">
      <c r="A4358" s="337">
        <v>98107</v>
      </c>
      <c r="B4358" s="338" t="s">
        <v>4976</v>
      </c>
      <c r="C4358" s="337" t="s">
        <v>474</v>
      </c>
      <c r="D4358" s="339">
        <v>196.73</v>
      </c>
    </row>
    <row r="4359" spans="1:4" ht="67.5">
      <c r="A4359" s="337">
        <v>98108</v>
      </c>
      <c r="B4359" s="338" t="s">
        <v>4977</v>
      </c>
      <c r="C4359" s="337" t="s">
        <v>474</v>
      </c>
      <c r="D4359" s="339">
        <v>349.18</v>
      </c>
    </row>
    <row r="4360" spans="1:4" ht="54">
      <c r="A4360" s="337">
        <v>89482</v>
      </c>
      <c r="B4360" s="338" t="s">
        <v>4978</v>
      </c>
      <c r="C4360" s="337" t="s">
        <v>474</v>
      </c>
      <c r="D4360" s="339">
        <v>17.02</v>
      </c>
    </row>
    <row r="4361" spans="1:4" ht="54">
      <c r="A4361" s="337">
        <v>89491</v>
      </c>
      <c r="B4361" s="338" t="s">
        <v>4979</v>
      </c>
      <c r="C4361" s="337" t="s">
        <v>474</v>
      </c>
      <c r="D4361" s="339">
        <v>41.26</v>
      </c>
    </row>
    <row r="4362" spans="1:4" ht="54">
      <c r="A4362" s="337">
        <v>89495</v>
      </c>
      <c r="B4362" s="338" t="s">
        <v>4980</v>
      </c>
      <c r="C4362" s="337" t="s">
        <v>474</v>
      </c>
      <c r="D4362" s="339">
        <v>6.72</v>
      </c>
    </row>
    <row r="4363" spans="1:4" ht="54">
      <c r="A4363" s="337">
        <v>89707</v>
      </c>
      <c r="B4363" s="338" t="s">
        <v>4981</v>
      </c>
      <c r="C4363" s="337" t="s">
        <v>474</v>
      </c>
      <c r="D4363" s="339">
        <v>20.86</v>
      </c>
    </row>
    <row r="4364" spans="1:4" ht="54">
      <c r="A4364" s="337">
        <v>89708</v>
      </c>
      <c r="B4364" s="338" t="s">
        <v>4982</v>
      </c>
      <c r="C4364" s="337" t="s">
        <v>474</v>
      </c>
      <c r="D4364" s="339">
        <v>46.56</v>
      </c>
    </row>
    <row r="4365" spans="1:4" ht="54">
      <c r="A4365" s="337">
        <v>89709</v>
      </c>
      <c r="B4365" s="338" t="s">
        <v>4983</v>
      </c>
      <c r="C4365" s="337" t="s">
        <v>474</v>
      </c>
      <c r="D4365" s="339">
        <v>7.85</v>
      </c>
    </row>
    <row r="4366" spans="1:4" ht="54">
      <c r="A4366" s="337">
        <v>89710</v>
      </c>
      <c r="B4366" s="338" t="s">
        <v>4984</v>
      </c>
      <c r="C4366" s="337" t="s">
        <v>474</v>
      </c>
      <c r="D4366" s="339">
        <v>7.7</v>
      </c>
    </row>
    <row r="4367" spans="1:4" ht="81">
      <c r="A4367" s="337">
        <v>72739</v>
      </c>
      <c r="B4367" s="338" t="s">
        <v>4985</v>
      </c>
      <c r="C4367" s="337" t="s">
        <v>474</v>
      </c>
      <c r="D4367" s="339">
        <v>414.42</v>
      </c>
    </row>
    <row r="4368" spans="1:4" ht="67.5">
      <c r="A4368" s="337" t="s">
        <v>278</v>
      </c>
      <c r="B4368" s="338" t="s">
        <v>4986</v>
      </c>
      <c r="C4368" s="337" t="s">
        <v>474</v>
      </c>
      <c r="D4368" s="339">
        <v>420.36</v>
      </c>
    </row>
    <row r="4369" spans="1:4" ht="40.5">
      <c r="A4369" s="337">
        <v>86872</v>
      </c>
      <c r="B4369" s="338" t="s">
        <v>4987</v>
      </c>
      <c r="C4369" s="337" t="s">
        <v>474</v>
      </c>
      <c r="D4369" s="339">
        <v>572.4</v>
      </c>
    </row>
    <row r="4370" spans="1:4" ht="40.5">
      <c r="A4370" s="337">
        <v>86874</v>
      </c>
      <c r="B4370" s="338" t="s">
        <v>4988</v>
      </c>
      <c r="C4370" s="337" t="s">
        <v>474</v>
      </c>
      <c r="D4370" s="339">
        <v>350.66</v>
      </c>
    </row>
    <row r="4371" spans="1:4" ht="40.5">
      <c r="A4371" s="337">
        <v>86875</v>
      </c>
      <c r="B4371" s="338" t="s">
        <v>4989</v>
      </c>
      <c r="C4371" s="337" t="s">
        <v>474</v>
      </c>
      <c r="D4371" s="339">
        <v>298.79000000000002</v>
      </c>
    </row>
    <row r="4372" spans="1:4" ht="40.5">
      <c r="A4372" s="337">
        <v>86876</v>
      </c>
      <c r="B4372" s="338" t="s">
        <v>4990</v>
      </c>
      <c r="C4372" s="337" t="s">
        <v>474</v>
      </c>
      <c r="D4372" s="339">
        <v>170.93</v>
      </c>
    </row>
    <row r="4373" spans="1:4" ht="54">
      <c r="A4373" s="337">
        <v>86877</v>
      </c>
      <c r="B4373" s="338" t="s">
        <v>4991</v>
      </c>
      <c r="C4373" s="337" t="s">
        <v>474</v>
      </c>
      <c r="D4373" s="339">
        <v>25.08</v>
      </c>
    </row>
    <row r="4374" spans="1:4" ht="40.5">
      <c r="A4374" s="337">
        <v>86878</v>
      </c>
      <c r="B4374" s="338" t="s">
        <v>4992</v>
      </c>
      <c r="C4374" s="337" t="s">
        <v>474</v>
      </c>
      <c r="D4374" s="339">
        <v>47.75</v>
      </c>
    </row>
    <row r="4375" spans="1:4" ht="40.5">
      <c r="A4375" s="337">
        <v>86879</v>
      </c>
      <c r="B4375" s="338" t="s">
        <v>4993</v>
      </c>
      <c r="C4375" s="337" t="s">
        <v>474</v>
      </c>
      <c r="D4375" s="339">
        <v>5.28</v>
      </c>
    </row>
    <row r="4376" spans="1:4" ht="54">
      <c r="A4376" s="337">
        <v>86880</v>
      </c>
      <c r="B4376" s="338" t="s">
        <v>4994</v>
      </c>
      <c r="C4376" s="337" t="s">
        <v>474</v>
      </c>
      <c r="D4376" s="339">
        <v>14.82</v>
      </c>
    </row>
    <row r="4377" spans="1:4" ht="40.5">
      <c r="A4377" s="337">
        <v>86881</v>
      </c>
      <c r="B4377" s="338" t="s">
        <v>4995</v>
      </c>
      <c r="C4377" s="337" t="s">
        <v>474</v>
      </c>
      <c r="D4377" s="339">
        <v>134.74</v>
      </c>
    </row>
    <row r="4378" spans="1:4" ht="40.5">
      <c r="A4378" s="337">
        <v>86882</v>
      </c>
      <c r="B4378" s="338" t="s">
        <v>4996</v>
      </c>
      <c r="C4378" s="337" t="s">
        <v>474</v>
      </c>
      <c r="D4378" s="339">
        <v>15.33</v>
      </c>
    </row>
    <row r="4379" spans="1:4" ht="27">
      <c r="A4379" s="337">
        <v>86883</v>
      </c>
      <c r="B4379" s="338" t="s">
        <v>4997</v>
      </c>
      <c r="C4379" s="337" t="s">
        <v>474</v>
      </c>
      <c r="D4379" s="339">
        <v>8.75</v>
      </c>
    </row>
    <row r="4380" spans="1:4" ht="40.5">
      <c r="A4380" s="337">
        <v>86884</v>
      </c>
      <c r="B4380" s="338" t="s">
        <v>4998</v>
      </c>
      <c r="C4380" s="337" t="s">
        <v>474</v>
      </c>
      <c r="D4380" s="339">
        <v>6.49</v>
      </c>
    </row>
    <row r="4381" spans="1:4" ht="40.5">
      <c r="A4381" s="337">
        <v>86885</v>
      </c>
      <c r="B4381" s="338" t="s">
        <v>4999</v>
      </c>
      <c r="C4381" s="337" t="s">
        <v>474</v>
      </c>
      <c r="D4381" s="339">
        <v>8.5299999999999994</v>
      </c>
    </row>
    <row r="4382" spans="1:4" ht="27">
      <c r="A4382" s="337">
        <v>86886</v>
      </c>
      <c r="B4382" s="338" t="s">
        <v>5000</v>
      </c>
      <c r="C4382" s="337" t="s">
        <v>474</v>
      </c>
      <c r="D4382" s="339">
        <v>32.909999999999997</v>
      </c>
    </row>
    <row r="4383" spans="1:4" ht="27">
      <c r="A4383" s="337">
        <v>86887</v>
      </c>
      <c r="B4383" s="338" t="s">
        <v>5001</v>
      </c>
      <c r="C4383" s="337" t="s">
        <v>474</v>
      </c>
      <c r="D4383" s="339">
        <v>35.700000000000003</v>
      </c>
    </row>
    <row r="4384" spans="1:4" ht="40.5">
      <c r="A4384" s="337">
        <v>86888</v>
      </c>
      <c r="B4384" s="338" t="s">
        <v>5002</v>
      </c>
      <c r="C4384" s="337" t="s">
        <v>474</v>
      </c>
      <c r="D4384" s="339">
        <v>340.87</v>
      </c>
    </row>
    <row r="4385" spans="1:4" ht="40.5">
      <c r="A4385" s="337">
        <v>86889</v>
      </c>
      <c r="B4385" s="338" t="s">
        <v>5003</v>
      </c>
      <c r="C4385" s="337" t="s">
        <v>474</v>
      </c>
      <c r="D4385" s="339">
        <v>628.57000000000005</v>
      </c>
    </row>
    <row r="4386" spans="1:4" ht="40.5">
      <c r="A4386" s="337">
        <v>86893</v>
      </c>
      <c r="B4386" s="338" t="s">
        <v>5004</v>
      </c>
      <c r="C4386" s="337" t="s">
        <v>474</v>
      </c>
      <c r="D4386" s="339">
        <v>493.71</v>
      </c>
    </row>
    <row r="4387" spans="1:4" ht="40.5">
      <c r="A4387" s="337">
        <v>86894</v>
      </c>
      <c r="B4387" s="338" t="s">
        <v>5005</v>
      </c>
      <c r="C4387" s="337" t="s">
        <v>474</v>
      </c>
      <c r="D4387" s="339">
        <v>233.71</v>
      </c>
    </row>
    <row r="4388" spans="1:4" ht="40.5">
      <c r="A4388" s="337">
        <v>86895</v>
      </c>
      <c r="B4388" s="338" t="s">
        <v>5006</v>
      </c>
      <c r="C4388" s="337" t="s">
        <v>474</v>
      </c>
      <c r="D4388" s="339">
        <v>305.38</v>
      </c>
    </row>
    <row r="4389" spans="1:4" ht="40.5">
      <c r="A4389" s="337">
        <v>86899</v>
      </c>
      <c r="B4389" s="338" t="s">
        <v>5007</v>
      </c>
      <c r="C4389" s="337" t="s">
        <v>474</v>
      </c>
      <c r="D4389" s="339">
        <v>254.79</v>
      </c>
    </row>
    <row r="4390" spans="1:4" ht="27">
      <c r="A4390" s="337">
        <v>86900</v>
      </c>
      <c r="B4390" s="338" t="s">
        <v>5008</v>
      </c>
      <c r="C4390" s="337" t="s">
        <v>474</v>
      </c>
      <c r="D4390" s="339">
        <v>128.16999999999999</v>
      </c>
    </row>
    <row r="4391" spans="1:4" ht="40.5">
      <c r="A4391" s="337">
        <v>86901</v>
      </c>
      <c r="B4391" s="338" t="s">
        <v>5009</v>
      </c>
      <c r="C4391" s="337" t="s">
        <v>474</v>
      </c>
      <c r="D4391" s="339">
        <v>105.11</v>
      </c>
    </row>
    <row r="4392" spans="1:4" ht="40.5">
      <c r="A4392" s="337">
        <v>86902</v>
      </c>
      <c r="B4392" s="338" t="s">
        <v>5010</v>
      </c>
      <c r="C4392" s="337" t="s">
        <v>474</v>
      </c>
      <c r="D4392" s="339">
        <v>193.14</v>
      </c>
    </row>
    <row r="4393" spans="1:4" ht="40.5">
      <c r="A4393" s="337">
        <v>86903</v>
      </c>
      <c r="B4393" s="338" t="s">
        <v>5011</v>
      </c>
      <c r="C4393" s="337" t="s">
        <v>474</v>
      </c>
      <c r="D4393" s="339">
        <v>255.73</v>
      </c>
    </row>
    <row r="4394" spans="1:4" ht="40.5">
      <c r="A4394" s="337">
        <v>86904</v>
      </c>
      <c r="B4394" s="338" t="s">
        <v>5012</v>
      </c>
      <c r="C4394" s="337" t="s">
        <v>474</v>
      </c>
      <c r="D4394" s="339">
        <v>100.38</v>
      </c>
    </row>
    <row r="4395" spans="1:4" ht="40.5">
      <c r="A4395" s="337">
        <v>86905</v>
      </c>
      <c r="B4395" s="338" t="s">
        <v>5013</v>
      </c>
      <c r="C4395" s="337" t="s">
        <v>474</v>
      </c>
      <c r="D4395" s="339">
        <v>210.36</v>
      </c>
    </row>
    <row r="4396" spans="1:4" ht="40.5">
      <c r="A4396" s="337">
        <v>86906</v>
      </c>
      <c r="B4396" s="338" t="s">
        <v>5014</v>
      </c>
      <c r="C4396" s="337" t="s">
        <v>474</v>
      </c>
      <c r="D4396" s="339">
        <v>49.21</v>
      </c>
    </row>
    <row r="4397" spans="1:4" ht="40.5">
      <c r="A4397" s="337">
        <v>86908</v>
      </c>
      <c r="B4397" s="338" t="s">
        <v>5015</v>
      </c>
      <c r="C4397" s="337" t="s">
        <v>474</v>
      </c>
      <c r="D4397" s="339">
        <v>253.1</v>
      </c>
    </row>
    <row r="4398" spans="1:4" ht="54">
      <c r="A4398" s="337">
        <v>86909</v>
      </c>
      <c r="B4398" s="338" t="s">
        <v>5016</v>
      </c>
      <c r="C4398" s="337" t="s">
        <v>474</v>
      </c>
      <c r="D4398" s="339">
        <v>98.42</v>
      </c>
    </row>
    <row r="4399" spans="1:4" ht="54">
      <c r="A4399" s="337">
        <v>86910</v>
      </c>
      <c r="B4399" s="338" t="s">
        <v>5017</v>
      </c>
      <c r="C4399" s="337" t="s">
        <v>474</v>
      </c>
      <c r="D4399" s="339">
        <v>94.14</v>
      </c>
    </row>
    <row r="4400" spans="1:4" ht="54">
      <c r="A4400" s="337">
        <v>86911</v>
      </c>
      <c r="B4400" s="338" t="s">
        <v>5018</v>
      </c>
      <c r="C4400" s="337" t="s">
        <v>474</v>
      </c>
      <c r="D4400" s="339">
        <v>41.66</v>
      </c>
    </row>
    <row r="4401" spans="1:4" ht="54">
      <c r="A4401" s="337">
        <v>86912</v>
      </c>
      <c r="B4401" s="338" t="s">
        <v>5019</v>
      </c>
      <c r="C4401" s="337" t="s">
        <v>474</v>
      </c>
      <c r="D4401" s="339">
        <v>41.66</v>
      </c>
    </row>
    <row r="4402" spans="1:4" ht="40.5">
      <c r="A4402" s="337">
        <v>86913</v>
      </c>
      <c r="B4402" s="338" t="s">
        <v>5020</v>
      </c>
      <c r="C4402" s="337" t="s">
        <v>474</v>
      </c>
      <c r="D4402" s="339">
        <v>18.329999999999998</v>
      </c>
    </row>
    <row r="4403" spans="1:4" ht="40.5">
      <c r="A4403" s="337">
        <v>86914</v>
      </c>
      <c r="B4403" s="338" t="s">
        <v>5021</v>
      </c>
      <c r="C4403" s="337" t="s">
        <v>474</v>
      </c>
      <c r="D4403" s="339">
        <v>37.76</v>
      </c>
    </row>
    <row r="4404" spans="1:4" ht="40.5">
      <c r="A4404" s="337">
        <v>86915</v>
      </c>
      <c r="B4404" s="338" t="s">
        <v>5022</v>
      </c>
      <c r="C4404" s="337" t="s">
        <v>474</v>
      </c>
      <c r="D4404" s="339">
        <v>82.99</v>
      </c>
    </row>
    <row r="4405" spans="1:4" ht="27">
      <c r="A4405" s="337">
        <v>86916</v>
      </c>
      <c r="B4405" s="338" t="s">
        <v>5023</v>
      </c>
      <c r="C4405" s="337" t="s">
        <v>474</v>
      </c>
      <c r="D4405" s="339">
        <v>25.94</v>
      </c>
    </row>
    <row r="4406" spans="1:4" ht="67.5">
      <c r="A4406" s="337">
        <v>86919</v>
      </c>
      <c r="B4406" s="338" t="s">
        <v>5024</v>
      </c>
      <c r="C4406" s="337" t="s">
        <v>474</v>
      </c>
      <c r="D4406" s="339">
        <v>643.99</v>
      </c>
    </row>
    <row r="4407" spans="1:4" ht="67.5">
      <c r="A4407" s="337">
        <v>86920</v>
      </c>
      <c r="B4407" s="338" t="s">
        <v>5025</v>
      </c>
      <c r="C4407" s="337" t="s">
        <v>474</v>
      </c>
      <c r="D4407" s="339">
        <v>604.76</v>
      </c>
    </row>
    <row r="4408" spans="1:4" ht="67.5">
      <c r="A4408" s="337">
        <v>86921</v>
      </c>
      <c r="B4408" s="338" t="s">
        <v>5026</v>
      </c>
      <c r="C4408" s="337" t="s">
        <v>474</v>
      </c>
      <c r="D4408" s="339">
        <v>612.37</v>
      </c>
    </row>
    <row r="4409" spans="1:4" ht="67.5">
      <c r="A4409" s="337">
        <v>86922</v>
      </c>
      <c r="B4409" s="338" t="s">
        <v>5027</v>
      </c>
      <c r="C4409" s="337" t="s">
        <v>474</v>
      </c>
      <c r="D4409" s="339">
        <v>548.24</v>
      </c>
    </row>
    <row r="4410" spans="1:4" ht="67.5">
      <c r="A4410" s="337">
        <v>86923</v>
      </c>
      <c r="B4410" s="338" t="s">
        <v>5028</v>
      </c>
      <c r="C4410" s="337" t="s">
        <v>474</v>
      </c>
      <c r="D4410" s="339">
        <v>389.6</v>
      </c>
    </row>
    <row r="4411" spans="1:4" ht="67.5">
      <c r="A4411" s="337">
        <v>86924</v>
      </c>
      <c r="B4411" s="338" t="s">
        <v>5029</v>
      </c>
      <c r="C4411" s="337" t="s">
        <v>474</v>
      </c>
      <c r="D4411" s="339">
        <v>397.21</v>
      </c>
    </row>
    <row r="4412" spans="1:4" ht="81">
      <c r="A4412" s="337">
        <v>86925</v>
      </c>
      <c r="B4412" s="338" t="s">
        <v>5030</v>
      </c>
      <c r="C4412" s="337" t="s">
        <v>474</v>
      </c>
      <c r="D4412" s="339">
        <v>331.15</v>
      </c>
    </row>
    <row r="4413" spans="1:4" ht="67.5">
      <c r="A4413" s="337">
        <v>86926</v>
      </c>
      <c r="B4413" s="338" t="s">
        <v>5031</v>
      </c>
      <c r="C4413" s="337" t="s">
        <v>474</v>
      </c>
      <c r="D4413" s="339">
        <v>338.76</v>
      </c>
    </row>
    <row r="4414" spans="1:4" ht="81">
      <c r="A4414" s="337">
        <v>86927</v>
      </c>
      <c r="B4414" s="338" t="s">
        <v>5032</v>
      </c>
      <c r="C4414" s="337" t="s">
        <v>474</v>
      </c>
      <c r="D4414" s="339">
        <v>209.87</v>
      </c>
    </row>
    <row r="4415" spans="1:4" ht="67.5">
      <c r="A4415" s="337">
        <v>86928</v>
      </c>
      <c r="B4415" s="338" t="s">
        <v>5033</v>
      </c>
      <c r="C4415" s="337" t="s">
        <v>474</v>
      </c>
      <c r="D4415" s="339">
        <v>217.48</v>
      </c>
    </row>
    <row r="4416" spans="1:4" ht="81">
      <c r="A4416" s="337">
        <v>86929</v>
      </c>
      <c r="B4416" s="338" t="s">
        <v>5034</v>
      </c>
      <c r="C4416" s="337" t="s">
        <v>474</v>
      </c>
      <c r="D4416" s="339">
        <v>203.29</v>
      </c>
    </row>
    <row r="4417" spans="1:4" ht="67.5">
      <c r="A4417" s="337">
        <v>86930</v>
      </c>
      <c r="B4417" s="338" t="s">
        <v>5035</v>
      </c>
      <c r="C4417" s="337" t="s">
        <v>474</v>
      </c>
      <c r="D4417" s="339">
        <v>210.9</v>
      </c>
    </row>
    <row r="4418" spans="1:4" ht="67.5">
      <c r="A4418" s="337">
        <v>86931</v>
      </c>
      <c r="B4418" s="338" t="s">
        <v>5036</v>
      </c>
      <c r="C4418" s="337" t="s">
        <v>474</v>
      </c>
      <c r="D4418" s="339">
        <v>349.4</v>
      </c>
    </row>
    <row r="4419" spans="1:4" ht="67.5">
      <c r="A4419" s="337">
        <v>86932</v>
      </c>
      <c r="B4419" s="338" t="s">
        <v>5037</v>
      </c>
      <c r="C4419" s="337" t="s">
        <v>474</v>
      </c>
      <c r="D4419" s="339">
        <v>376.57</v>
      </c>
    </row>
    <row r="4420" spans="1:4" ht="94.5">
      <c r="A4420" s="337">
        <v>86933</v>
      </c>
      <c r="B4420" s="338" t="s">
        <v>5038</v>
      </c>
      <c r="C4420" s="337" t="s">
        <v>474</v>
      </c>
      <c r="D4420" s="339">
        <v>305.52</v>
      </c>
    </row>
    <row r="4421" spans="1:4" ht="94.5">
      <c r="A4421" s="337">
        <v>86934</v>
      </c>
      <c r="B4421" s="338" t="s">
        <v>5039</v>
      </c>
      <c r="C4421" s="337" t="s">
        <v>474</v>
      </c>
      <c r="D4421" s="339">
        <v>298.94</v>
      </c>
    </row>
    <row r="4422" spans="1:4" ht="67.5">
      <c r="A4422" s="337">
        <v>86935</v>
      </c>
      <c r="B4422" s="338" t="s">
        <v>5040</v>
      </c>
      <c r="C4422" s="337" t="s">
        <v>474</v>
      </c>
      <c r="D4422" s="339">
        <v>184.67</v>
      </c>
    </row>
    <row r="4423" spans="1:4" ht="54">
      <c r="A4423" s="337">
        <v>86936</v>
      </c>
      <c r="B4423" s="338" t="s">
        <v>5041</v>
      </c>
      <c r="C4423" s="337" t="s">
        <v>474</v>
      </c>
      <c r="D4423" s="339">
        <v>310.66000000000003</v>
      </c>
    </row>
    <row r="4424" spans="1:4" ht="67.5">
      <c r="A4424" s="337">
        <v>86937</v>
      </c>
      <c r="B4424" s="338" t="s">
        <v>5042</v>
      </c>
      <c r="C4424" s="337" t="s">
        <v>474</v>
      </c>
      <c r="D4424" s="339">
        <v>138.94</v>
      </c>
    </row>
    <row r="4425" spans="1:4" ht="67.5">
      <c r="A4425" s="337">
        <v>86938</v>
      </c>
      <c r="B4425" s="338" t="s">
        <v>5043</v>
      </c>
      <c r="C4425" s="337" t="s">
        <v>474</v>
      </c>
      <c r="D4425" s="339">
        <v>264.93</v>
      </c>
    </row>
    <row r="4426" spans="1:4" ht="81">
      <c r="A4426" s="337">
        <v>86939</v>
      </c>
      <c r="B4426" s="338" t="s">
        <v>5044</v>
      </c>
      <c r="C4426" s="337" t="s">
        <v>474</v>
      </c>
      <c r="D4426" s="339">
        <v>262.87</v>
      </c>
    </row>
    <row r="4427" spans="1:4" ht="94.5">
      <c r="A4427" s="337">
        <v>86940</v>
      </c>
      <c r="B4427" s="338" t="s">
        <v>5045</v>
      </c>
      <c r="C4427" s="337" t="s">
        <v>474</v>
      </c>
      <c r="D4427" s="339">
        <v>697.31</v>
      </c>
    </row>
    <row r="4428" spans="1:4" ht="94.5">
      <c r="A4428" s="337">
        <v>86941</v>
      </c>
      <c r="B4428" s="338" t="s">
        <v>5046</v>
      </c>
      <c r="C4428" s="337" t="s">
        <v>474</v>
      </c>
      <c r="D4428" s="339">
        <v>534.24</v>
      </c>
    </row>
    <row r="4429" spans="1:4" ht="94.5">
      <c r="A4429" s="337">
        <v>86942</v>
      </c>
      <c r="B4429" s="338" t="s">
        <v>5047</v>
      </c>
      <c r="C4429" s="337" t="s">
        <v>474</v>
      </c>
      <c r="D4429" s="339">
        <v>176.69</v>
      </c>
    </row>
    <row r="4430" spans="1:4" ht="94.5">
      <c r="A4430" s="337">
        <v>86943</v>
      </c>
      <c r="B4430" s="338" t="s">
        <v>5048</v>
      </c>
      <c r="C4430" s="337" t="s">
        <v>474</v>
      </c>
      <c r="D4430" s="339">
        <v>170.11</v>
      </c>
    </row>
    <row r="4431" spans="1:4" ht="94.5">
      <c r="A4431" s="337">
        <v>86947</v>
      </c>
      <c r="B4431" s="338" t="s">
        <v>5049</v>
      </c>
      <c r="C4431" s="337" t="s">
        <v>474</v>
      </c>
      <c r="D4431" s="339">
        <v>801.48</v>
      </c>
    </row>
    <row r="4432" spans="1:4" ht="40.5">
      <c r="A4432" s="337">
        <v>88571</v>
      </c>
      <c r="B4432" s="338" t="s">
        <v>5050</v>
      </c>
      <c r="C4432" s="337" t="s">
        <v>474</v>
      </c>
      <c r="D4432" s="339">
        <v>60.97</v>
      </c>
    </row>
    <row r="4433" spans="1:4" ht="94.5">
      <c r="A4433" s="337">
        <v>93396</v>
      </c>
      <c r="B4433" s="338" t="s">
        <v>5051</v>
      </c>
      <c r="C4433" s="337" t="s">
        <v>474</v>
      </c>
      <c r="D4433" s="339">
        <v>500.02</v>
      </c>
    </row>
    <row r="4434" spans="1:4" ht="108">
      <c r="A4434" s="337">
        <v>93441</v>
      </c>
      <c r="B4434" s="338" t="s">
        <v>5052</v>
      </c>
      <c r="C4434" s="337" t="s">
        <v>474</v>
      </c>
      <c r="D4434" s="339">
        <v>861.39</v>
      </c>
    </row>
    <row r="4435" spans="1:4" ht="108">
      <c r="A4435" s="337">
        <v>93442</v>
      </c>
      <c r="B4435" s="338" t="s">
        <v>5053</v>
      </c>
      <c r="C4435" s="337" t="s">
        <v>474</v>
      </c>
      <c r="D4435" s="339">
        <v>909.28</v>
      </c>
    </row>
    <row r="4436" spans="1:4" ht="40.5">
      <c r="A4436" s="337">
        <v>95469</v>
      </c>
      <c r="B4436" s="338" t="s">
        <v>5054</v>
      </c>
      <c r="C4436" s="337" t="s">
        <v>474</v>
      </c>
      <c r="D4436" s="339">
        <v>160.91</v>
      </c>
    </row>
    <row r="4437" spans="1:4" ht="54">
      <c r="A4437" s="337">
        <v>95470</v>
      </c>
      <c r="B4437" s="338" t="s">
        <v>5055</v>
      </c>
      <c r="C4437" s="337" t="s">
        <v>474</v>
      </c>
      <c r="D4437" s="339">
        <v>166.34</v>
      </c>
    </row>
    <row r="4438" spans="1:4" ht="54">
      <c r="A4438" s="337">
        <v>95471</v>
      </c>
      <c r="B4438" s="338" t="s">
        <v>5056</v>
      </c>
      <c r="C4438" s="337" t="s">
        <v>474</v>
      </c>
      <c r="D4438" s="339">
        <v>590.98</v>
      </c>
    </row>
    <row r="4439" spans="1:4" ht="67.5">
      <c r="A4439" s="337">
        <v>95472</v>
      </c>
      <c r="B4439" s="338" t="s">
        <v>5057</v>
      </c>
      <c r="C4439" s="337" t="s">
        <v>474</v>
      </c>
      <c r="D4439" s="339">
        <v>596.41</v>
      </c>
    </row>
    <row r="4440" spans="1:4" ht="40.5">
      <c r="A4440" s="337">
        <v>95542</v>
      </c>
      <c r="B4440" s="338" t="s">
        <v>5058</v>
      </c>
      <c r="C4440" s="337" t="s">
        <v>474</v>
      </c>
      <c r="D4440" s="339">
        <v>38.42</v>
      </c>
    </row>
    <row r="4441" spans="1:4" ht="27">
      <c r="A4441" s="337">
        <v>95543</v>
      </c>
      <c r="B4441" s="338" t="s">
        <v>5059</v>
      </c>
      <c r="C4441" s="337" t="s">
        <v>474</v>
      </c>
      <c r="D4441" s="339">
        <v>61.27</v>
      </c>
    </row>
    <row r="4442" spans="1:4" ht="27">
      <c r="A4442" s="337">
        <v>95544</v>
      </c>
      <c r="B4442" s="338" t="s">
        <v>5060</v>
      </c>
      <c r="C4442" s="337" t="s">
        <v>474</v>
      </c>
      <c r="D4442" s="339">
        <v>49.3</v>
      </c>
    </row>
    <row r="4443" spans="1:4" ht="27">
      <c r="A4443" s="337">
        <v>95545</v>
      </c>
      <c r="B4443" s="338" t="s">
        <v>5061</v>
      </c>
      <c r="C4443" s="337" t="s">
        <v>474</v>
      </c>
      <c r="D4443" s="339">
        <v>48.14</v>
      </c>
    </row>
    <row r="4444" spans="1:4" ht="40.5">
      <c r="A4444" s="337">
        <v>95546</v>
      </c>
      <c r="B4444" s="338" t="s">
        <v>5062</v>
      </c>
      <c r="C4444" s="337" t="s">
        <v>474</v>
      </c>
      <c r="D4444" s="339">
        <v>137.81</v>
      </c>
    </row>
    <row r="4445" spans="1:4" ht="54">
      <c r="A4445" s="337">
        <v>95547</v>
      </c>
      <c r="B4445" s="338" t="s">
        <v>5063</v>
      </c>
      <c r="C4445" s="337" t="s">
        <v>474</v>
      </c>
      <c r="D4445" s="339">
        <v>46.17</v>
      </c>
    </row>
    <row r="4446" spans="1:4" ht="27">
      <c r="A4446" s="337">
        <v>6087</v>
      </c>
      <c r="B4446" s="338" t="s">
        <v>5064</v>
      </c>
      <c r="C4446" s="337" t="s">
        <v>474</v>
      </c>
      <c r="D4446" s="339">
        <v>22.05</v>
      </c>
    </row>
    <row r="4447" spans="1:4" ht="67.5">
      <c r="A4447" s="337">
        <v>98052</v>
      </c>
      <c r="B4447" s="338" t="s">
        <v>5065</v>
      </c>
      <c r="C4447" s="337" t="s">
        <v>474</v>
      </c>
      <c r="D4447" s="339">
        <v>996.63</v>
      </c>
    </row>
    <row r="4448" spans="1:4" ht="67.5">
      <c r="A4448" s="337">
        <v>98053</v>
      </c>
      <c r="B4448" s="338" t="s">
        <v>5066</v>
      </c>
      <c r="C4448" s="337" t="s">
        <v>474</v>
      </c>
      <c r="D4448" s="340">
        <v>1455.91</v>
      </c>
    </row>
    <row r="4449" spans="1:4" ht="67.5">
      <c r="A4449" s="337">
        <v>98054</v>
      </c>
      <c r="B4449" s="338" t="s">
        <v>5067</v>
      </c>
      <c r="C4449" s="337" t="s">
        <v>474</v>
      </c>
      <c r="D4449" s="340">
        <v>2141.4699999999998</v>
      </c>
    </row>
    <row r="4450" spans="1:4" ht="67.5">
      <c r="A4450" s="337">
        <v>98055</v>
      </c>
      <c r="B4450" s="338" t="s">
        <v>5068</v>
      </c>
      <c r="C4450" s="337" t="s">
        <v>474</v>
      </c>
      <c r="D4450" s="340">
        <v>2847.01</v>
      </c>
    </row>
    <row r="4451" spans="1:4" ht="67.5">
      <c r="A4451" s="337">
        <v>98056</v>
      </c>
      <c r="B4451" s="338" t="s">
        <v>5069</v>
      </c>
      <c r="C4451" s="337" t="s">
        <v>474</v>
      </c>
      <c r="D4451" s="340">
        <v>3281.88</v>
      </c>
    </row>
    <row r="4452" spans="1:4" ht="67.5">
      <c r="A4452" s="337">
        <v>98057</v>
      </c>
      <c r="B4452" s="338" t="s">
        <v>5070</v>
      </c>
      <c r="C4452" s="337" t="s">
        <v>474</v>
      </c>
      <c r="D4452" s="340">
        <v>4321.5200000000004</v>
      </c>
    </row>
    <row r="4453" spans="1:4" ht="67.5">
      <c r="A4453" s="337">
        <v>98066</v>
      </c>
      <c r="B4453" s="338" t="s">
        <v>5071</v>
      </c>
      <c r="C4453" s="337" t="s">
        <v>474</v>
      </c>
      <c r="D4453" s="340">
        <v>3411.06</v>
      </c>
    </row>
    <row r="4454" spans="1:4" ht="67.5">
      <c r="A4454" s="337">
        <v>98067</v>
      </c>
      <c r="B4454" s="338" t="s">
        <v>5072</v>
      </c>
      <c r="C4454" s="337" t="s">
        <v>474</v>
      </c>
      <c r="D4454" s="340">
        <v>4560.07</v>
      </c>
    </row>
    <row r="4455" spans="1:4" ht="67.5">
      <c r="A4455" s="337">
        <v>98068</v>
      </c>
      <c r="B4455" s="338" t="s">
        <v>5073</v>
      </c>
      <c r="C4455" s="337" t="s">
        <v>474</v>
      </c>
      <c r="D4455" s="340">
        <v>6450.57</v>
      </c>
    </row>
    <row r="4456" spans="1:4" ht="67.5">
      <c r="A4456" s="337">
        <v>98069</v>
      </c>
      <c r="B4456" s="338" t="s">
        <v>5074</v>
      </c>
      <c r="C4456" s="337" t="s">
        <v>474</v>
      </c>
      <c r="D4456" s="340">
        <v>8643.75</v>
      </c>
    </row>
    <row r="4457" spans="1:4" ht="67.5">
      <c r="A4457" s="337">
        <v>98070</v>
      </c>
      <c r="B4457" s="338" t="s">
        <v>5075</v>
      </c>
      <c r="C4457" s="337" t="s">
        <v>474</v>
      </c>
      <c r="D4457" s="340">
        <v>9911.8700000000008</v>
      </c>
    </row>
    <row r="4458" spans="1:4" ht="67.5">
      <c r="A4458" s="337">
        <v>98071</v>
      </c>
      <c r="B4458" s="338" t="s">
        <v>5076</v>
      </c>
      <c r="C4458" s="337" t="s">
        <v>474</v>
      </c>
      <c r="D4458" s="340">
        <v>10891.18</v>
      </c>
    </row>
    <row r="4459" spans="1:4" ht="67.5">
      <c r="A4459" s="337">
        <v>98072</v>
      </c>
      <c r="B4459" s="338" t="s">
        <v>5077</v>
      </c>
      <c r="C4459" s="337" t="s">
        <v>474</v>
      </c>
      <c r="D4459" s="340">
        <v>2837.51</v>
      </c>
    </row>
    <row r="4460" spans="1:4" ht="67.5">
      <c r="A4460" s="337">
        <v>98073</v>
      </c>
      <c r="B4460" s="338" t="s">
        <v>5078</v>
      </c>
      <c r="C4460" s="337" t="s">
        <v>474</v>
      </c>
      <c r="D4460" s="340">
        <v>4426.8900000000003</v>
      </c>
    </row>
    <row r="4461" spans="1:4" ht="67.5">
      <c r="A4461" s="337">
        <v>98074</v>
      </c>
      <c r="B4461" s="338" t="s">
        <v>5079</v>
      </c>
      <c r="C4461" s="337" t="s">
        <v>474</v>
      </c>
      <c r="D4461" s="340">
        <v>6861.83</v>
      </c>
    </row>
    <row r="4462" spans="1:4" ht="67.5">
      <c r="A4462" s="337">
        <v>98075</v>
      </c>
      <c r="B4462" s="338" t="s">
        <v>5080</v>
      </c>
      <c r="C4462" s="337" t="s">
        <v>474</v>
      </c>
      <c r="D4462" s="340">
        <v>8916.4599999999991</v>
      </c>
    </row>
    <row r="4463" spans="1:4" ht="67.5">
      <c r="A4463" s="337">
        <v>98076</v>
      </c>
      <c r="B4463" s="338" t="s">
        <v>5081</v>
      </c>
      <c r="C4463" s="337" t="s">
        <v>474</v>
      </c>
      <c r="D4463" s="340">
        <v>10267.76</v>
      </c>
    </row>
    <row r="4464" spans="1:4" ht="67.5">
      <c r="A4464" s="337">
        <v>98077</v>
      </c>
      <c r="B4464" s="338" t="s">
        <v>5082</v>
      </c>
      <c r="C4464" s="337" t="s">
        <v>474</v>
      </c>
      <c r="D4464" s="340">
        <v>12084.08</v>
      </c>
    </row>
    <row r="4465" spans="1:4" ht="67.5">
      <c r="A4465" s="337">
        <v>98078</v>
      </c>
      <c r="B4465" s="338" t="s">
        <v>5083</v>
      </c>
      <c r="C4465" s="337" t="s">
        <v>474</v>
      </c>
      <c r="D4465" s="340">
        <v>2878.81</v>
      </c>
    </row>
    <row r="4466" spans="1:4" ht="67.5">
      <c r="A4466" s="337">
        <v>98079</v>
      </c>
      <c r="B4466" s="338" t="s">
        <v>5084</v>
      </c>
      <c r="C4466" s="337" t="s">
        <v>474</v>
      </c>
      <c r="D4466" s="340">
        <v>5043.8900000000003</v>
      </c>
    </row>
    <row r="4467" spans="1:4" ht="67.5">
      <c r="A4467" s="337">
        <v>98080</v>
      </c>
      <c r="B4467" s="338" t="s">
        <v>5085</v>
      </c>
      <c r="C4467" s="337" t="s">
        <v>474</v>
      </c>
      <c r="D4467" s="340">
        <v>6485.3</v>
      </c>
    </row>
    <row r="4468" spans="1:4" ht="67.5">
      <c r="A4468" s="337">
        <v>98081</v>
      </c>
      <c r="B4468" s="338" t="s">
        <v>5086</v>
      </c>
      <c r="C4468" s="337" t="s">
        <v>474</v>
      </c>
      <c r="D4468" s="340">
        <v>9607.19</v>
      </c>
    </row>
    <row r="4469" spans="1:4" ht="67.5">
      <c r="A4469" s="337">
        <v>98082</v>
      </c>
      <c r="B4469" s="338" t="s">
        <v>5087</v>
      </c>
      <c r="C4469" s="337" t="s">
        <v>474</v>
      </c>
      <c r="D4469" s="340">
        <v>2696.7</v>
      </c>
    </row>
    <row r="4470" spans="1:4" ht="67.5">
      <c r="A4470" s="337">
        <v>98083</v>
      </c>
      <c r="B4470" s="338" t="s">
        <v>5088</v>
      </c>
      <c r="C4470" s="337" t="s">
        <v>474</v>
      </c>
      <c r="D4470" s="340">
        <v>3568.97</v>
      </c>
    </row>
    <row r="4471" spans="1:4" ht="67.5">
      <c r="A4471" s="337">
        <v>98084</v>
      </c>
      <c r="B4471" s="338" t="s">
        <v>5089</v>
      </c>
      <c r="C4471" s="337" t="s">
        <v>474</v>
      </c>
      <c r="D4471" s="340">
        <v>5016.24</v>
      </c>
    </row>
    <row r="4472" spans="1:4" ht="67.5">
      <c r="A4472" s="337">
        <v>98085</v>
      </c>
      <c r="B4472" s="338" t="s">
        <v>5090</v>
      </c>
      <c r="C4472" s="337" t="s">
        <v>474</v>
      </c>
      <c r="D4472" s="340">
        <v>6786.49</v>
      </c>
    </row>
    <row r="4473" spans="1:4" ht="67.5">
      <c r="A4473" s="337">
        <v>98086</v>
      </c>
      <c r="B4473" s="338" t="s">
        <v>5091</v>
      </c>
      <c r="C4473" s="337" t="s">
        <v>474</v>
      </c>
      <c r="D4473" s="340">
        <v>7687.7</v>
      </c>
    </row>
    <row r="4474" spans="1:4" ht="67.5">
      <c r="A4474" s="337">
        <v>98087</v>
      </c>
      <c r="B4474" s="338" t="s">
        <v>5092</v>
      </c>
      <c r="C4474" s="337" t="s">
        <v>474</v>
      </c>
      <c r="D4474" s="340">
        <v>8259.41</v>
      </c>
    </row>
    <row r="4475" spans="1:4" ht="67.5">
      <c r="A4475" s="337">
        <v>98088</v>
      </c>
      <c r="B4475" s="338" t="s">
        <v>5093</v>
      </c>
      <c r="C4475" s="337" t="s">
        <v>474</v>
      </c>
      <c r="D4475" s="340">
        <v>2295.62</v>
      </c>
    </row>
    <row r="4476" spans="1:4" ht="67.5">
      <c r="A4476" s="337">
        <v>98089</v>
      </c>
      <c r="B4476" s="338" t="s">
        <v>5094</v>
      </c>
      <c r="C4476" s="337" t="s">
        <v>474</v>
      </c>
      <c r="D4476" s="340">
        <v>3622.24</v>
      </c>
    </row>
    <row r="4477" spans="1:4" ht="67.5">
      <c r="A4477" s="337">
        <v>98090</v>
      </c>
      <c r="B4477" s="338" t="s">
        <v>5095</v>
      </c>
      <c r="C4477" s="337" t="s">
        <v>474</v>
      </c>
      <c r="D4477" s="340">
        <v>5678.8</v>
      </c>
    </row>
    <row r="4478" spans="1:4" ht="67.5">
      <c r="A4478" s="337">
        <v>98091</v>
      </c>
      <c r="B4478" s="338" t="s">
        <v>5096</v>
      </c>
      <c r="C4478" s="337" t="s">
        <v>474</v>
      </c>
      <c r="D4478" s="340">
        <v>7332.41</v>
      </c>
    </row>
    <row r="4479" spans="1:4" ht="67.5">
      <c r="A4479" s="337">
        <v>98092</v>
      </c>
      <c r="B4479" s="338" t="s">
        <v>5097</v>
      </c>
      <c r="C4479" s="337" t="s">
        <v>474</v>
      </c>
      <c r="D4479" s="340">
        <v>8598.41</v>
      </c>
    </row>
    <row r="4480" spans="1:4" ht="67.5">
      <c r="A4480" s="337">
        <v>98093</v>
      </c>
      <c r="B4480" s="338" t="s">
        <v>5098</v>
      </c>
      <c r="C4480" s="337" t="s">
        <v>474</v>
      </c>
      <c r="D4480" s="340">
        <v>10145.73</v>
      </c>
    </row>
    <row r="4481" spans="1:4" ht="67.5">
      <c r="A4481" s="337">
        <v>98094</v>
      </c>
      <c r="B4481" s="338" t="s">
        <v>5099</v>
      </c>
      <c r="C4481" s="337" t="s">
        <v>474</v>
      </c>
      <c r="D4481" s="340">
        <v>1950.27</v>
      </c>
    </row>
    <row r="4482" spans="1:4" ht="67.5">
      <c r="A4482" s="337">
        <v>98099</v>
      </c>
      <c r="B4482" s="338" t="s">
        <v>5100</v>
      </c>
      <c r="C4482" s="337" t="s">
        <v>474</v>
      </c>
      <c r="D4482" s="340">
        <v>3348.64</v>
      </c>
    </row>
    <row r="4483" spans="1:4" ht="67.5">
      <c r="A4483" s="337">
        <v>98100</v>
      </c>
      <c r="B4483" s="338" t="s">
        <v>5101</v>
      </c>
      <c r="C4483" s="337" t="s">
        <v>474</v>
      </c>
      <c r="D4483" s="340">
        <v>4364.0600000000004</v>
      </c>
    </row>
    <row r="4484" spans="1:4" ht="67.5">
      <c r="A4484" s="337">
        <v>98101</v>
      </c>
      <c r="B4484" s="338" t="s">
        <v>5102</v>
      </c>
      <c r="C4484" s="337" t="s">
        <v>474</v>
      </c>
      <c r="D4484" s="340">
        <v>6451.7</v>
      </c>
    </row>
    <row r="4485" spans="1:4" ht="81">
      <c r="A4485" s="337">
        <v>98109</v>
      </c>
      <c r="B4485" s="338" t="s">
        <v>5103</v>
      </c>
      <c r="C4485" s="337" t="s">
        <v>474</v>
      </c>
      <c r="D4485" s="339">
        <v>569.49</v>
      </c>
    </row>
    <row r="4486" spans="1:4" ht="40.5">
      <c r="A4486" s="337">
        <v>98110</v>
      </c>
      <c r="B4486" s="338" t="s">
        <v>5104</v>
      </c>
      <c r="C4486" s="337" t="s">
        <v>474</v>
      </c>
      <c r="D4486" s="339">
        <v>334.25</v>
      </c>
    </row>
    <row r="4487" spans="1:4" ht="40.5">
      <c r="A4487" s="337">
        <v>98111</v>
      </c>
      <c r="B4487" s="338" t="s">
        <v>5105</v>
      </c>
      <c r="C4487" s="337" t="s">
        <v>474</v>
      </c>
      <c r="D4487" s="339">
        <v>17.920000000000002</v>
      </c>
    </row>
    <row r="4488" spans="1:4" ht="40.5">
      <c r="A4488" s="337">
        <v>98114</v>
      </c>
      <c r="B4488" s="338" t="s">
        <v>5106</v>
      </c>
      <c r="C4488" s="337" t="s">
        <v>474</v>
      </c>
      <c r="D4488" s="339">
        <v>451.13</v>
      </c>
    </row>
    <row r="4489" spans="1:4" ht="40.5">
      <c r="A4489" s="337">
        <v>98115</v>
      </c>
      <c r="B4489" s="338" t="s">
        <v>5107</v>
      </c>
      <c r="C4489" s="337" t="s">
        <v>474</v>
      </c>
      <c r="D4489" s="339">
        <v>82.4</v>
      </c>
    </row>
    <row r="4490" spans="1:4" ht="67.5">
      <c r="A4490" s="337">
        <v>89957</v>
      </c>
      <c r="B4490" s="338" t="s">
        <v>5108</v>
      </c>
      <c r="C4490" s="337" t="s">
        <v>474</v>
      </c>
      <c r="D4490" s="339">
        <v>96.67</v>
      </c>
    </row>
    <row r="4491" spans="1:4" ht="67.5">
      <c r="A4491" s="337">
        <v>89959</v>
      </c>
      <c r="B4491" s="338" t="s">
        <v>5109</v>
      </c>
      <c r="C4491" s="337" t="s">
        <v>474</v>
      </c>
      <c r="D4491" s="339">
        <v>162.69999999999999</v>
      </c>
    </row>
    <row r="4492" spans="1:4" ht="40.5">
      <c r="A4492" s="337">
        <v>40729</v>
      </c>
      <c r="B4492" s="338" t="s">
        <v>5110</v>
      </c>
      <c r="C4492" s="337" t="s">
        <v>474</v>
      </c>
      <c r="D4492" s="339">
        <v>171.28</v>
      </c>
    </row>
    <row r="4493" spans="1:4" ht="27">
      <c r="A4493" s="337" t="s">
        <v>5111</v>
      </c>
      <c r="B4493" s="338" t="s">
        <v>5112</v>
      </c>
      <c r="C4493" s="337" t="s">
        <v>474</v>
      </c>
      <c r="D4493" s="339">
        <v>50.68</v>
      </c>
    </row>
    <row r="4494" spans="1:4" ht="27">
      <c r="A4494" s="337" t="s">
        <v>5113</v>
      </c>
      <c r="B4494" s="338" t="s">
        <v>5114</v>
      </c>
      <c r="C4494" s="337" t="s">
        <v>474</v>
      </c>
      <c r="D4494" s="339">
        <v>53.61</v>
      </c>
    </row>
    <row r="4495" spans="1:4" ht="27">
      <c r="A4495" s="337" t="s">
        <v>5115</v>
      </c>
      <c r="B4495" s="338" t="s">
        <v>5116</v>
      </c>
      <c r="C4495" s="337" t="s">
        <v>474</v>
      </c>
      <c r="D4495" s="339">
        <v>70.72</v>
      </c>
    </row>
    <row r="4496" spans="1:4" ht="27">
      <c r="A4496" s="337" t="s">
        <v>5117</v>
      </c>
      <c r="B4496" s="338" t="s">
        <v>5118</v>
      </c>
      <c r="C4496" s="337" t="s">
        <v>474</v>
      </c>
      <c r="D4496" s="339">
        <v>81.819999999999993</v>
      </c>
    </row>
    <row r="4497" spans="1:4" ht="27">
      <c r="A4497" s="337" t="s">
        <v>5119</v>
      </c>
      <c r="B4497" s="338" t="s">
        <v>5120</v>
      </c>
      <c r="C4497" s="337" t="s">
        <v>474</v>
      </c>
      <c r="D4497" s="339">
        <v>108.79</v>
      </c>
    </row>
    <row r="4498" spans="1:4" ht="27">
      <c r="A4498" s="337" t="s">
        <v>5121</v>
      </c>
      <c r="B4498" s="338" t="s">
        <v>5122</v>
      </c>
      <c r="C4498" s="337" t="s">
        <v>474</v>
      </c>
      <c r="D4498" s="339">
        <v>214.14</v>
      </c>
    </row>
    <row r="4499" spans="1:4" ht="27">
      <c r="A4499" s="337" t="s">
        <v>5123</v>
      </c>
      <c r="B4499" s="338" t="s">
        <v>5124</v>
      </c>
      <c r="C4499" s="337" t="s">
        <v>474</v>
      </c>
      <c r="D4499" s="339">
        <v>358.76</v>
      </c>
    </row>
    <row r="4500" spans="1:4" ht="27">
      <c r="A4500" s="337" t="s">
        <v>5125</v>
      </c>
      <c r="B4500" s="338" t="s">
        <v>5126</v>
      </c>
      <c r="C4500" s="337" t="s">
        <v>474</v>
      </c>
      <c r="D4500" s="339">
        <v>68.12</v>
      </c>
    </row>
    <row r="4501" spans="1:4" ht="27">
      <c r="A4501" s="337" t="s">
        <v>5127</v>
      </c>
      <c r="B4501" s="338" t="s">
        <v>5128</v>
      </c>
      <c r="C4501" s="337" t="s">
        <v>474</v>
      </c>
      <c r="D4501" s="339">
        <v>85.79</v>
      </c>
    </row>
    <row r="4502" spans="1:4" ht="27">
      <c r="A4502" s="337" t="s">
        <v>5129</v>
      </c>
      <c r="B4502" s="338" t="s">
        <v>5130</v>
      </c>
      <c r="C4502" s="337" t="s">
        <v>474</v>
      </c>
      <c r="D4502" s="339">
        <v>118.53</v>
      </c>
    </row>
    <row r="4503" spans="1:4" ht="27">
      <c r="A4503" s="337" t="s">
        <v>5131</v>
      </c>
      <c r="B4503" s="338" t="s">
        <v>5132</v>
      </c>
      <c r="C4503" s="337" t="s">
        <v>474</v>
      </c>
      <c r="D4503" s="339">
        <v>133.47999999999999</v>
      </c>
    </row>
    <row r="4504" spans="1:4" ht="27">
      <c r="A4504" s="337" t="s">
        <v>5133</v>
      </c>
      <c r="B4504" s="338" t="s">
        <v>5134</v>
      </c>
      <c r="C4504" s="337" t="s">
        <v>474</v>
      </c>
      <c r="D4504" s="339">
        <v>177.88</v>
      </c>
    </row>
    <row r="4505" spans="1:4" ht="27">
      <c r="A4505" s="337" t="s">
        <v>5135</v>
      </c>
      <c r="B4505" s="338" t="s">
        <v>5136</v>
      </c>
      <c r="C4505" s="337" t="s">
        <v>474</v>
      </c>
      <c r="D4505" s="339">
        <v>253.34</v>
      </c>
    </row>
    <row r="4506" spans="1:4" ht="27">
      <c r="A4506" s="337" t="s">
        <v>5137</v>
      </c>
      <c r="B4506" s="338" t="s">
        <v>5138</v>
      </c>
      <c r="C4506" s="337" t="s">
        <v>474</v>
      </c>
      <c r="D4506" s="339">
        <v>332.35</v>
      </c>
    </row>
    <row r="4507" spans="1:4" ht="27">
      <c r="A4507" s="337" t="s">
        <v>5139</v>
      </c>
      <c r="B4507" s="338" t="s">
        <v>5140</v>
      </c>
      <c r="C4507" s="337" t="s">
        <v>474</v>
      </c>
      <c r="D4507" s="339">
        <v>507.48</v>
      </c>
    </row>
    <row r="4508" spans="1:4" ht="27">
      <c r="A4508" s="337" t="s">
        <v>5141</v>
      </c>
      <c r="B4508" s="338" t="s">
        <v>5142</v>
      </c>
      <c r="C4508" s="337" t="s">
        <v>474</v>
      </c>
      <c r="D4508" s="339">
        <v>49.93</v>
      </c>
    </row>
    <row r="4509" spans="1:4" ht="27">
      <c r="A4509" s="337" t="s">
        <v>5143</v>
      </c>
      <c r="B4509" s="338" t="s">
        <v>5144</v>
      </c>
      <c r="C4509" s="337" t="s">
        <v>474</v>
      </c>
      <c r="D4509" s="339">
        <v>53.19</v>
      </c>
    </row>
    <row r="4510" spans="1:4" ht="27">
      <c r="A4510" s="337" t="s">
        <v>5145</v>
      </c>
      <c r="B4510" s="338" t="s">
        <v>5146</v>
      </c>
      <c r="C4510" s="337" t="s">
        <v>474</v>
      </c>
      <c r="D4510" s="339">
        <v>79.94</v>
      </c>
    </row>
    <row r="4511" spans="1:4" ht="27">
      <c r="A4511" s="337" t="s">
        <v>5147</v>
      </c>
      <c r="B4511" s="338" t="s">
        <v>5148</v>
      </c>
      <c r="C4511" s="337" t="s">
        <v>474</v>
      </c>
      <c r="D4511" s="339">
        <v>109.34</v>
      </c>
    </row>
    <row r="4512" spans="1:4" ht="27">
      <c r="A4512" s="337" t="s">
        <v>5149</v>
      </c>
      <c r="B4512" s="338" t="s">
        <v>5150</v>
      </c>
      <c r="C4512" s="337" t="s">
        <v>474</v>
      </c>
      <c r="D4512" s="339">
        <v>186.12</v>
      </c>
    </row>
    <row r="4513" spans="1:4" ht="27">
      <c r="A4513" s="337" t="s">
        <v>5151</v>
      </c>
      <c r="B4513" s="338" t="s">
        <v>5152</v>
      </c>
      <c r="C4513" s="337" t="s">
        <v>474</v>
      </c>
      <c r="D4513" s="339">
        <v>237.92</v>
      </c>
    </row>
    <row r="4514" spans="1:4" ht="27">
      <c r="A4514" s="337" t="s">
        <v>5153</v>
      </c>
      <c r="B4514" s="338" t="s">
        <v>5154</v>
      </c>
      <c r="C4514" s="337" t="s">
        <v>474</v>
      </c>
      <c r="D4514" s="339">
        <v>405.17</v>
      </c>
    </row>
    <row r="4515" spans="1:4" ht="27">
      <c r="A4515" s="337" t="s">
        <v>5155</v>
      </c>
      <c r="B4515" s="338" t="s">
        <v>5156</v>
      </c>
      <c r="C4515" s="337" t="s">
        <v>474</v>
      </c>
      <c r="D4515" s="339">
        <v>56.2</v>
      </c>
    </row>
    <row r="4516" spans="1:4" ht="40.5">
      <c r="A4516" s="337" t="s">
        <v>5157</v>
      </c>
      <c r="B4516" s="338" t="s">
        <v>5158</v>
      </c>
      <c r="C4516" s="337" t="s">
        <v>474</v>
      </c>
      <c r="D4516" s="339">
        <v>165.79</v>
      </c>
    </row>
    <row r="4517" spans="1:4" ht="27">
      <c r="A4517" s="337" t="s">
        <v>5159</v>
      </c>
      <c r="B4517" s="338" t="s">
        <v>5160</v>
      </c>
      <c r="C4517" s="337" t="s">
        <v>474</v>
      </c>
      <c r="D4517" s="339">
        <v>72.89</v>
      </c>
    </row>
    <row r="4518" spans="1:4" ht="67.5">
      <c r="A4518" s="337" t="s">
        <v>5161</v>
      </c>
      <c r="B4518" s="338" t="s">
        <v>5162</v>
      </c>
      <c r="C4518" s="337" t="s">
        <v>474</v>
      </c>
      <c r="D4518" s="339">
        <v>204.37</v>
      </c>
    </row>
    <row r="4519" spans="1:4" ht="40.5">
      <c r="A4519" s="337">
        <v>85117</v>
      </c>
      <c r="B4519" s="338" t="s">
        <v>5163</v>
      </c>
      <c r="C4519" s="337" t="s">
        <v>474</v>
      </c>
      <c r="D4519" s="339">
        <v>34.869999999999997</v>
      </c>
    </row>
    <row r="4520" spans="1:4" ht="40.5">
      <c r="A4520" s="337">
        <v>89349</v>
      </c>
      <c r="B4520" s="338" t="s">
        <v>5164</v>
      </c>
      <c r="C4520" s="337" t="s">
        <v>474</v>
      </c>
      <c r="D4520" s="339">
        <v>13.99</v>
      </c>
    </row>
    <row r="4521" spans="1:4" ht="40.5">
      <c r="A4521" s="337">
        <v>89351</v>
      </c>
      <c r="B4521" s="338" t="s">
        <v>5165</v>
      </c>
      <c r="C4521" s="337" t="s">
        <v>474</v>
      </c>
      <c r="D4521" s="339">
        <v>15.43</v>
      </c>
    </row>
    <row r="4522" spans="1:4" ht="40.5">
      <c r="A4522" s="337">
        <v>89352</v>
      </c>
      <c r="B4522" s="338" t="s">
        <v>5166</v>
      </c>
      <c r="C4522" s="337" t="s">
        <v>474</v>
      </c>
      <c r="D4522" s="339">
        <v>17.05</v>
      </c>
    </row>
    <row r="4523" spans="1:4" ht="40.5">
      <c r="A4523" s="337">
        <v>89353</v>
      </c>
      <c r="B4523" s="338" t="s">
        <v>5167</v>
      </c>
      <c r="C4523" s="337" t="s">
        <v>474</v>
      </c>
      <c r="D4523" s="339">
        <v>17.62</v>
      </c>
    </row>
    <row r="4524" spans="1:4" ht="54">
      <c r="A4524" s="337">
        <v>89354</v>
      </c>
      <c r="B4524" s="338" t="s">
        <v>5168</v>
      </c>
      <c r="C4524" s="337" t="s">
        <v>474</v>
      </c>
      <c r="D4524" s="339">
        <v>238.43</v>
      </c>
    </row>
    <row r="4525" spans="1:4" ht="67.5">
      <c r="A4525" s="337">
        <v>89969</v>
      </c>
      <c r="B4525" s="338" t="s">
        <v>5169</v>
      </c>
      <c r="C4525" s="337" t="s">
        <v>474</v>
      </c>
      <c r="D4525" s="339">
        <v>24.2</v>
      </c>
    </row>
    <row r="4526" spans="1:4" ht="54">
      <c r="A4526" s="337">
        <v>89970</v>
      </c>
      <c r="B4526" s="338" t="s">
        <v>5170</v>
      </c>
      <c r="C4526" s="337" t="s">
        <v>474</v>
      </c>
      <c r="D4526" s="339">
        <v>25.28</v>
      </c>
    </row>
    <row r="4527" spans="1:4" ht="54">
      <c r="A4527" s="337">
        <v>89971</v>
      </c>
      <c r="B4527" s="338" t="s">
        <v>5171</v>
      </c>
      <c r="C4527" s="337" t="s">
        <v>474</v>
      </c>
      <c r="D4527" s="339">
        <v>25.23</v>
      </c>
    </row>
    <row r="4528" spans="1:4" ht="54">
      <c r="A4528" s="337">
        <v>89972</v>
      </c>
      <c r="B4528" s="338" t="s">
        <v>5172</v>
      </c>
      <c r="C4528" s="337" t="s">
        <v>474</v>
      </c>
      <c r="D4528" s="339">
        <v>27.2</v>
      </c>
    </row>
    <row r="4529" spans="1:4" ht="54">
      <c r="A4529" s="337">
        <v>89973</v>
      </c>
      <c r="B4529" s="338" t="s">
        <v>5173</v>
      </c>
      <c r="C4529" s="337" t="s">
        <v>474</v>
      </c>
      <c r="D4529" s="339">
        <v>394.97</v>
      </c>
    </row>
    <row r="4530" spans="1:4" ht="54">
      <c r="A4530" s="337">
        <v>89974</v>
      </c>
      <c r="B4530" s="338" t="s">
        <v>5174</v>
      </c>
      <c r="C4530" s="337" t="s">
        <v>474</v>
      </c>
      <c r="D4530" s="339">
        <v>201.14</v>
      </c>
    </row>
    <row r="4531" spans="1:4" ht="54">
      <c r="A4531" s="337">
        <v>89984</v>
      </c>
      <c r="B4531" s="338" t="s">
        <v>5175</v>
      </c>
      <c r="C4531" s="337" t="s">
        <v>474</v>
      </c>
      <c r="D4531" s="339">
        <v>33.409999999999997</v>
      </c>
    </row>
    <row r="4532" spans="1:4" ht="54">
      <c r="A4532" s="337">
        <v>89985</v>
      </c>
      <c r="B4532" s="338" t="s">
        <v>5176</v>
      </c>
      <c r="C4532" s="337" t="s">
        <v>474</v>
      </c>
      <c r="D4532" s="339">
        <v>34.24</v>
      </c>
    </row>
    <row r="4533" spans="1:4" ht="54">
      <c r="A4533" s="337">
        <v>89986</v>
      </c>
      <c r="B4533" s="338" t="s">
        <v>5177</v>
      </c>
      <c r="C4533" s="337" t="s">
        <v>474</v>
      </c>
      <c r="D4533" s="339">
        <v>32.71</v>
      </c>
    </row>
    <row r="4534" spans="1:4" ht="54">
      <c r="A4534" s="337">
        <v>89987</v>
      </c>
      <c r="B4534" s="338" t="s">
        <v>5178</v>
      </c>
      <c r="C4534" s="337" t="s">
        <v>474</v>
      </c>
      <c r="D4534" s="339">
        <v>35.78</v>
      </c>
    </row>
    <row r="4535" spans="1:4" ht="40.5">
      <c r="A4535" s="337">
        <v>90371</v>
      </c>
      <c r="B4535" s="338" t="s">
        <v>5179</v>
      </c>
      <c r="C4535" s="337" t="s">
        <v>474</v>
      </c>
      <c r="D4535" s="339">
        <v>23.29</v>
      </c>
    </row>
    <row r="4536" spans="1:4" ht="67.5">
      <c r="A4536" s="337">
        <v>94489</v>
      </c>
      <c r="B4536" s="338" t="s">
        <v>5180</v>
      </c>
      <c r="C4536" s="337" t="s">
        <v>474</v>
      </c>
      <c r="D4536" s="339">
        <v>20.22</v>
      </c>
    </row>
    <row r="4537" spans="1:4" ht="67.5">
      <c r="A4537" s="337">
        <v>94490</v>
      </c>
      <c r="B4537" s="338" t="s">
        <v>5181</v>
      </c>
      <c r="C4537" s="337" t="s">
        <v>474</v>
      </c>
      <c r="D4537" s="339">
        <v>33.6</v>
      </c>
    </row>
    <row r="4538" spans="1:4" ht="67.5">
      <c r="A4538" s="337">
        <v>94491</v>
      </c>
      <c r="B4538" s="338" t="s">
        <v>5182</v>
      </c>
      <c r="C4538" s="337" t="s">
        <v>474</v>
      </c>
      <c r="D4538" s="339">
        <v>46.2</v>
      </c>
    </row>
    <row r="4539" spans="1:4" ht="67.5">
      <c r="A4539" s="337">
        <v>94492</v>
      </c>
      <c r="B4539" s="338" t="s">
        <v>5183</v>
      </c>
      <c r="C4539" s="337" t="s">
        <v>474</v>
      </c>
      <c r="D4539" s="339">
        <v>47.38</v>
      </c>
    </row>
    <row r="4540" spans="1:4" ht="67.5">
      <c r="A4540" s="337">
        <v>94493</v>
      </c>
      <c r="B4540" s="338" t="s">
        <v>5184</v>
      </c>
      <c r="C4540" s="337" t="s">
        <v>474</v>
      </c>
      <c r="D4540" s="339">
        <v>86.35</v>
      </c>
    </row>
    <row r="4541" spans="1:4" ht="67.5">
      <c r="A4541" s="337">
        <v>94494</v>
      </c>
      <c r="B4541" s="338" t="s">
        <v>5185</v>
      </c>
      <c r="C4541" s="337" t="s">
        <v>474</v>
      </c>
      <c r="D4541" s="339">
        <v>36.04</v>
      </c>
    </row>
    <row r="4542" spans="1:4" ht="67.5">
      <c r="A4542" s="337">
        <v>94495</v>
      </c>
      <c r="B4542" s="338" t="s">
        <v>5186</v>
      </c>
      <c r="C4542" s="337" t="s">
        <v>474</v>
      </c>
      <c r="D4542" s="339">
        <v>42.45</v>
      </c>
    </row>
    <row r="4543" spans="1:4" ht="81">
      <c r="A4543" s="337">
        <v>94496</v>
      </c>
      <c r="B4543" s="338" t="s">
        <v>5187</v>
      </c>
      <c r="C4543" s="337" t="s">
        <v>474</v>
      </c>
      <c r="D4543" s="339">
        <v>49.36</v>
      </c>
    </row>
    <row r="4544" spans="1:4" ht="81">
      <c r="A4544" s="337">
        <v>94497</v>
      </c>
      <c r="B4544" s="338" t="s">
        <v>5188</v>
      </c>
      <c r="C4544" s="337" t="s">
        <v>474</v>
      </c>
      <c r="D4544" s="339">
        <v>55.61</v>
      </c>
    </row>
    <row r="4545" spans="1:4" ht="67.5">
      <c r="A4545" s="337">
        <v>94498</v>
      </c>
      <c r="B4545" s="338" t="s">
        <v>5189</v>
      </c>
      <c r="C4545" s="337" t="s">
        <v>474</v>
      </c>
      <c r="D4545" s="339">
        <v>68.569999999999993</v>
      </c>
    </row>
    <row r="4546" spans="1:4" ht="81">
      <c r="A4546" s="337">
        <v>94499</v>
      </c>
      <c r="B4546" s="338" t="s">
        <v>5190</v>
      </c>
      <c r="C4546" s="337" t="s">
        <v>474</v>
      </c>
      <c r="D4546" s="339">
        <v>113.53</v>
      </c>
    </row>
    <row r="4547" spans="1:4" ht="67.5">
      <c r="A4547" s="337">
        <v>94500</v>
      </c>
      <c r="B4547" s="338" t="s">
        <v>5191</v>
      </c>
      <c r="C4547" s="337" t="s">
        <v>474</v>
      </c>
      <c r="D4547" s="339">
        <v>132.96</v>
      </c>
    </row>
    <row r="4548" spans="1:4" ht="67.5">
      <c r="A4548" s="337">
        <v>94501</v>
      </c>
      <c r="B4548" s="338" t="s">
        <v>5192</v>
      </c>
      <c r="C4548" s="337" t="s">
        <v>474</v>
      </c>
      <c r="D4548" s="339">
        <v>246.87</v>
      </c>
    </row>
    <row r="4549" spans="1:4" ht="81">
      <c r="A4549" s="337">
        <v>94792</v>
      </c>
      <c r="B4549" s="338" t="s">
        <v>5193</v>
      </c>
      <c r="C4549" s="337" t="s">
        <v>474</v>
      </c>
      <c r="D4549" s="339">
        <v>58.03</v>
      </c>
    </row>
    <row r="4550" spans="1:4" ht="94.5">
      <c r="A4550" s="337">
        <v>94793</v>
      </c>
      <c r="B4550" s="338" t="s">
        <v>5194</v>
      </c>
      <c r="C4550" s="337" t="s">
        <v>474</v>
      </c>
      <c r="D4550" s="339">
        <v>71.510000000000005</v>
      </c>
    </row>
    <row r="4551" spans="1:4" ht="94.5">
      <c r="A4551" s="337">
        <v>94794</v>
      </c>
      <c r="B4551" s="338" t="s">
        <v>5195</v>
      </c>
      <c r="C4551" s="337" t="s">
        <v>474</v>
      </c>
      <c r="D4551" s="339">
        <v>73.62</v>
      </c>
    </row>
    <row r="4552" spans="1:4" ht="40.5">
      <c r="A4552" s="337">
        <v>94795</v>
      </c>
      <c r="B4552" s="338" t="s">
        <v>5196</v>
      </c>
      <c r="C4552" s="337" t="s">
        <v>474</v>
      </c>
      <c r="D4552" s="339">
        <v>27.09</v>
      </c>
    </row>
    <row r="4553" spans="1:4" ht="40.5">
      <c r="A4553" s="337">
        <v>94796</v>
      </c>
      <c r="B4553" s="338" t="s">
        <v>5197</v>
      </c>
      <c r="C4553" s="337" t="s">
        <v>474</v>
      </c>
      <c r="D4553" s="339">
        <v>33.61</v>
      </c>
    </row>
    <row r="4554" spans="1:4" ht="40.5">
      <c r="A4554" s="337">
        <v>94797</v>
      </c>
      <c r="B4554" s="338" t="s">
        <v>5198</v>
      </c>
      <c r="C4554" s="337" t="s">
        <v>474</v>
      </c>
      <c r="D4554" s="339">
        <v>32.159999999999997</v>
      </c>
    </row>
    <row r="4555" spans="1:4" ht="40.5">
      <c r="A4555" s="337">
        <v>94798</v>
      </c>
      <c r="B4555" s="338" t="s">
        <v>5199</v>
      </c>
      <c r="C4555" s="337" t="s">
        <v>474</v>
      </c>
      <c r="D4555" s="339">
        <v>67.900000000000006</v>
      </c>
    </row>
    <row r="4556" spans="1:4" ht="40.5">
      <c r="A4556" s="337">
        <v>94799</v>
      </c>
      <c r="B4556" s="338" t="s">
        <v>5200</v>
      </c>
      <c r="C4556" s="337" t="s">
        <v>474</v>
      </c>
      <c r="D4556" s="339">
        <v>66.459999999999994</v>
      </c>
    </row>
    <row r="4557" spans="1:4" ht="40.5">
      <c r="A4557" s="337">
        <v>94800</v>
      </c>
      <c r="B4557" s="338" t="s">
        <v>5201</v>
      </c>
      <c r="C4557" s="337" t="s">
        <v>474</v>
      </c>
      <c r="D4557" s="339">
        <v>112.06</v>
      </c>
    </row>
    <row r="4558" spans="1:4" ht="81">
      <c r="A4558" s="337">
        <v>95248</v>
      </c>
      <c r="B4558" s="338" t="s">
        <v>5202</v>
      </c>
      <c r="C4558" s="337" t="s">
        <v>474</v>
      </c>
      <c r="D4558" s="339">
        <v>40.700000000000003</v>
      </c>
    </row>
    <row r="4559" spans="1:4" ht="81">
      <c r="A4559" s="337">
        <v>95249</v>
      </c>
      <c r="B4559" s="338" t="s">
        <v>5203</v>
      </c>
      <c r="C4559" s="337" t="s">
        <v>474</v>
      </c>
      <c r="D4559" s="339">
        <v>43.13</v>
      </c>
    </row>
    <row r="4560" spans="1:4" ht="67.5">
      <c r="A4560" s="337">
        <v>95250</v>
      </c>
      <c r="B4560" s="338" t="s">
        <v>5204</v>
      </c>
      <c r="C4560" s="337" t="s">
        <v>474</v>
      </c>
      <c r="D4560" s="339">
        <v>49.49</v>
      </c>
    </row>
    <row r="4561" spans="1:4" ht="81">
      <c r="A4561" s="337">
        <v>95251</v>
      </c>
      <c r="B4561" s="338" t="s">
        <v>5205</v>
      </c>
      <c r="C4561" s="337" t="s">
        <v>474</v>
      </c>
      <c r="D4561" s="339">
        <v>62.09</v>
      </c>
    </row>
    <row r="4562" spans="1:4" ht="81">
      <c r="A4562" s="337">
        <v>95252</v>
      </c>
      <c r="B4562" s="338" t="s">
        <v>5206</v>
      </c>
      <c r="C4562" s="337" t="s">
        <v>474</v>
      </c>
      <c r="D4562" s="339">
        <v>69.58</v>
      </c>
    </row>
    <row r="4563" spans="1:4" ht="67.5">
      <c r="A4563" s="337">
        <v>95253</v>
      </c>
      <c r="B4563" s="338" t="s">
        <v>5207</v>
      </c>
      <c r="C4563" s="337" t="s">
        <v>474</v>
      </c>
      <c r="D4563" s="339">
        <v>94.59</v>
      </c>
    </row>
    <row r="4564" spans="1:4" ht="54">
      <c r="A4564" s="337">
        <v>95634</v>
      </c>
      <c r="B4564" s="338" t="s">
        <v>5208</v>
      </c>
      <c r="C4564" s="337" t="s">
        <v>474</v>
      </c>
      <c r="D4564" s="339">
        <v>106.71</v>
      </c>
    </row>
    <row r="4565" spans="1:4" ht="54">
      <c r="A4565" s="337">
        <v>95635</v>
      </c>
      <c r="B4565" s="338" t="s">
        <v>5209</v>
      </c>
      <c r="C4565" s="337" t="s">
        <v>474</v>
      </c>
      <c r="D4565" s="339">
        <v>112.93</v>
      </c>
    </row>
    <row r="4566" spans="1:4" ht="54">
      <c r="A4566" s="337">
        <v>95637</v>
      </c>
      <c r="B4566" s="338" t="s">
        <v>5210</v>
      </c>
      <c r="C4566" s="337" t="s">
        <v>474</v>
      </c>
      <c r="D4566" s="339">
        <v>317.07</v>
      </c>
    </row>
    <row r="4567" spans="1:4" ht="54">
      <c r="A4567" s="337">
        <v>95638</v>
      </c>
      <c r="B4567" s="338" t="s">
        <v>5211</v>
      </c>
      <c r="C4567" s="337" t="s">
        <v>474</v>
      </c>
      <c r="D4567" s="339">
        <v>382.2</v>
      </c>
    </row>
    <row r="4568" spans="1:4" ht="54">
      <c r="A4568" s="337">
        <v>95639</v>
      </c>
      <c r="B4568" s="338" t="s">
        <v>5212</v>
      </c>
      <c r="C4568" s="337" t="s">
        <v>474</v>
      </c>
      <c r="D4568" s="339">
        <v>474.94</v>
      </c>
    </row>
    <row r="4569" spans="1:4" ht="67.5">
      <c r="A4569" s="337">
        <v>95641</v>
      </c>
      <c r="B4569" s="338" t="s">
        <v>5213</v>
      </c>
      <c r="C4569" s="337" t="s">
        <v>474</v>
      </c>
      <c r="D4569" s="339">
        <v>183.12</v>
      </c>
    </row>
    <row r="4570" spans="1:4" ht="67.5">
      <c r="A4570" s="337">
        <v>95642</v>
      </c>
      <c r="B4570" s="338" t="s">
        <v>5214</v>
      </c>
      <c r="C4570" s="337" t="s">
        <v>474</v>
      </c>
      <c r="D4570" s="339">
        <v>269.98</v>
      </c>
    </row>
    <row r="4571" spans="1:4" ht="67.5">
      <c r="A4571" s="337">
        <v>95643</v>
      </c>
      <c r="B4571" s="338" t="s">
        <v>5215</v>
      </c>
      <c r="C4571" s="337" t="s">
        <v>474</v>
      </c>
      <c r="D4571" s="339">
        <v>352.41</v>
      </c>
    </row>
    <row r="4572" spans="1:4" ht="67.5">
      <c r="A4572" s="337">
        <v>95644</v>
      </c>
      <c r="B4572" s="338" t="s">
        <v>5216</v>
      </c>
      <c r="C4572" s="337" t="s">
        <v>474</v>
      </c>
      <c r="D4572" s="339">
        <v>131.02000000000001</v>
      </c>
    </row>
    <row r="4573" spans="1:4" ht="67.5">
      <c r="A4573" s="337">
        <v>95645</v>
      </c>
      <c r="B4573" s="338" t="s">
        <v>5217</v>
      </c>
      <c r="C4573" s="337" t="s">
        <v>474</v>
      </c>
      <c r="D4573" s="339">
        <v>236.63</v>
      </c>
    </row>
    <row r="4574" spans="1:4" ht="67.5">
      <c r="A4574" s="337">
        <v>95646</v>
      </c>
      <c r="B4574" s="338" t="s">
        <v>5218</v>
      </c>
      <c r="C4574" s="337" t="s">
        <v>474</v>
      </c>
      <c r="D4574" s="339">
        <v>351.88</v>
      </c>
    </row>
    <row r="4575" spans="1:4" ht="67.5">
      <c r="A4575" s="337">
        <v>95647</v>
      </c>
      <c r="B4575" s="338" t="s">
        <v>5219</v>
      </c>
      <c r="C4575" s="337" t="s">
        <v>474</v>
      </c>
      <c r="D4575" s="339">
        <v>460.29</v>
      </c>
    </row>
    <row r="4576" spans="1:4" ht="27">
      <c r="A4576" s="337">
        <v>95673</v>
      </c>
      <c r="B4576" s="338" t="s">
        <v>5220</v>
      </c>
      <c r="C4576" s="337" t="s">
        <v>474</v>
      </c>
      <c r="D4576" s="339">
        <v>90.87</v>
      </c>
    </row>
    <row r="4577" spans="1:4" ht="27">
      <c r="A4577" s="337">
        <v>95674</v>
      </c>
      <c r="B4577" s="338" t="s">
        <v>5221</v>
      </c>
      <c r="C4577" s="337" t="s">
        <v>474</v>
      </c>
      <c r="D4577" s="339">
        <v>96.46</v>
      </c>
    </row>
    <row r="4578" spans="1:4" ht="27">
      <c r="A4578" s="337">
        <v>95675</v>
      </c>
      <c r="B4578" s="338" t="s">
        <v>5222</v>
      </c>
      <c r="C4578" s="337" t="s">
        <v>474</v>
      </c>
      <c r="D4578" s="339">
        <v>117.82</v>
      </c>
    </row>
    <row r="4579" spans="1:4" ht="40.5">
      <c r="A4579" s="337">
        <v>95676</v>
      </c>
      <c r="B4579" s="338" t="s">
        <v>5223</v>
      </c>
      <c r="C4579" s="337" t="s">
        <v>474</v>
      </c>
      <c r="D4579" s="339">
        <v>62.83</v>
      </c>
    </row>
    <row r="4580" spans="1:4" ht="67.5">
      <c r="A4580" s="337">
        <v>97741</v>
      </c>
      <c r="B4580" s="338" t="s">
        <v>5224</v>
      </c>
      <c r="C4580" s="337" t="s">
        <v>474</v>
      </c>
      <c r="D4580" s="339">
        <v>103.95</v>
      </c>
    </row>
    <row r="4581" spans="1:4" ht="27">
      <c r="A4581" s="337">
        <v>72285</v>
      </c>
      <c r="B4581" s="338" t="s">
        <v>5225</v>
      </c>
      <c r="C4581" s="337" t="s">
        <v>474</v>
      </c>
      <c r="D4581" s="339">
        <v>76.55</v>
      </c>
    </row>
    <row r="4582" spans="1:4" ht="27">
      <c r="A4582" s="337">
        <v>90436</v>
      </c>
      <c r="B4582" s="338" t="s">
        <v>5226</v>
      </c>
      <c r="C4582" s="337" t="s">
        <v>474</v>
      </c>
      <c r="D4582" s="339">
        <v>9.98</v>
      </c>
    </row>
    <row r="4583" spans="1:4" ht="40.5">
      <c r="A4583" s="337">
        <v>90437</v>
      </c>
      <c r="B4583" s="338" t="s">
        <v>5227</v>
      </c>
      <c r="C4583" s="337" t="s">
        <v>474</v>
      </c>
      <c r="D4583" s="339">
        <v>24.26</v>
      </c>
    </row>
    <row r="4584" spans="1:4" ht="27">
      <c r="A4584" s="337">
        <v>90438</v>
      </c>
      <c r="B4584" s="338" t="s">
        <v>5228</v>
      </c>
      <c r="C4584" s="337" t="s">
        <v>474</v>
      </c>
      <c r="D4584" s="339">
        <v>34.76</v>
      </c>
    </row>
    <row r="4585" spans="1:4" ht="27">
      <c r="A4585" s="337">
        <v>90439</v>
      </c>
      <c r="B4585" s="338" t="s">
        <v>5229</v>
      </c>
      <c r="C4585" s="337" t="s">
        <v>474</v>
      </c>
      <c r="D4585" s="339">
        <v>39.950000000000003</v>
      </c>
    </row>
    <row r="4586" spans="1:4" ht="40.5">
      <c r="A4586" s="337">
        <v>90440</v>
      </c>
      <c r="B4586" s="338" t="s">
        <v>5230</v>
      </c>
      <c r="C4586" s="337" t="s">
        <v>474</v>
      </c>
      <c r="D4586" s="339">
        <v>64</v>
      </c>
    </row>
    <row r="4587" spans="1:4" ht="27">
      <c r="A4587" s="337">
        <v>90441</v>
      </c>
      <c r="B4587" s="338" t="s">
        <v>5231</v>
      </c>
      <c r="C4587" s="337" t="s">
        <v>474</v>
      </c>
      <c r="D4587" s="339">
        <v>81.75</v>
      </c>
    </row>
    <row r="4588" spans="1:4" ht="40.5">
      <c r="A4588" s="337">
        <v>90443</v>
      </c>
      <c r="B4588" s="338" t="s">
        <v>5232</v>
      </c>
      <c r="C4588" s="337" t="s">
        <v>172</v>
      </c>
      <c r="D4588" s="339">
        <v>9.07</v>
      </c>
    </row>
    <row r="4589" spans="1:4" ht="40.5">
      <c r="A4589" s="337">
        <v>90444</v>
      </c>
      <c r="B4589" s="338" t="s">
        <v>5233</v>
      </c>
      <c r="C4589" s="337" t="s">
        <v>172</v>
      </c>
      <c r="D4589" s="339">
        <v>17.14</v>
      </c>
    </row>
    <row r="4590" spans="1:4" ht="54">
      <c r="A4590" s="337">
        <v>90445</v>
      </c>
      <c r="B4590" s="338" t="s">
        <v>5234</v>
      </c>
      <c r="C4590" s="337" t="s">
        <v>172</v>
      </c>
      <c r="D4590" s="339">
        <v>18.29</v>
      </c>
    </row>
    <row r="4591" spans="1:4" ht="40.5">
      <c r="A4591" s="337">
        <v>90446</v>
      </c>
      <c r="B4591" s="338" t="s">
        <v>5235</v>
      </c>
      <c r="C4591" s="337" t="s">
        <v>172</v>
      </c>
      <c r="D4591" s="339">
        <v>19.88</v>
      </c>
    </row>
    <row r="4592" spans="1:4" ht="40.5">
      <c r="A4592" s="337">
        <v>90447</v>
      </c>
      <c r="B4592" s="338" t="s">
        <v>5236</v>
      </c>
      <c r="C4592" s="337" t="s">
        <v>172</v>
      </c>
      <c r="D4592" s="339">
        <v>4.41</v>
      </c>
    </row>
    <row r="4593" spans="1:4" ht="40.5">
      <c r="A4593" s="337">
        <v>90451</v>
      </c>
      <c r="B4593" s="338" t="s">
        <v>5237</v>
      </c>
      <c r="C4593" s="337" t="s">
        <v>474</v>
      </c>
      <c r="D4593" s="339">
        <v>3.13</v>
      </c>
    </row>
    <row r="4594" spans="1:4" ht="40.5">
      <c r="A4594" s="337">
        <v>90452</v>
      </c>
      <c r="B4594" s="338" t="s">
        <v>5238</v>
      </c>
      <c r="C4594" s="337" t="s">
        <v>474</v>
      </c>
      <c r="D4594" s="339">
        <v>14.57</v>
      </c>
    </row>
    <row r="4595" spans="1:4" ht="40.5">
      <c r="A4595" s="337">
        <v>90453</v>
      </c>
      <c r="B4595" s="338" t="s">
        <v>5239</v>
      </c>
      <c r="C4595" s="337" t="s">
        <v>474</v>
      </c>
      <c r="D4595" s="339">
        <v>1.78</v>
      </c>
    </row>
    <row r="4596" spans="1:4" ht="40.5">
      <c r="A4596" s="337">
        <v>90454</v>
      </c>
      <c r="B4596" s="338" t="s">
        <v>5240</v>
      </c>
      <c r="C4596" s="337" t="s">
        <v>474</v>
      </c>
      <c r="D4596" s="339">
        <v>3.06</v>
      </c>
    </row>
    <row r="4597" spans="1:4" ht="27">
      <c r="A4597" s="337">
        <v>90455</v>
      </c>
      <c r="B4597" s="338" t="s">
        <v>5241</v>
      </c>
      <c r="C4597" s="337" t="s">
        <v>474</v>
      </c>
      <c r="D4597" s="339">
        <v>4.13</v>
      </c>
    </row>
    <row r="4598" spans="1:4" ht="40.5">
      <c r="A4598" s="337">
        <v>90456</v>
      </c>
      <c r="B4598" s="338" t="s">
        <v>5242</v>
      </c>
      <c r="C4598" s="337" t="s">
        <v>474</v>
      </c>
      <c r="D4598" s="339">
        <v>2.91</v>
      </c>
    </row>
    <row r="4599" spans="1:4" ht="40.5">
      <c r="A4599" s="337">
        <v>90457</v>
      </c>
      <c r="B4599" s="338" t="s">
        <v>5243</v>
      </c>
      <c r="C4599" s="337" t="s">
        <v>474</v>
      </c>
      <c r="D4599" s="339">
        <v>6.64</v>
      </c>
    </row>
    <row r="4600" spans="1:4" ht="40.5">
      <c r="A4600" s="337">
        <v>90458</v>
      </c>
      <c r="B4600" s="338" t="s">
        <v>5244</v>
      </c>
      <c r="C4600" s="337" t="s">
        <v>474</v>
      </c>
      <c r="D4600" s="339">
        <v>18.850000000000001</v>
      </c>
    </row>
    <row r="4601" spans="1:4" ht="40.5">
      <c r="A4601" s="337">
        <v>90459</v>
      </c>
      <c r="B4601" s="338" t="s">
        <v>5245</v>
      </c>
      <c r="C4601" s="337" t="s">
        <v>474</v>
      </c>
      <c r="D4601" s="339">
        <v>26.58</v>
      </c>
    </row>
    <row r="4602" spans="1:4" ht="40.5">
      <c r="A4602" s="337">
        <v>90460</v>
      </c>
      <c r="B4602" s="338" t="s">
        <v>5246</v>
      </c>
      <c r="C4602" s="337" t="s">
        <v>172</v>
      </c>
      <c r="D4602" s="339">
        <v>20.5</v>
      </c>
    </row>
    <row r="4603" spans="1:4" ht="40.5">
      <c r="A4603" s="337">
        <v>90461</v>
      </c>
      <c r="B4603" s="338" t="s">
        <v>5247</v>
      </c>
      <c r="C4603" s="337" t="s">
        <v>172</v>
      </c>
      <c r="D4603" s="339">
        <v>11.31</v>
      </c>
    </row>
    <row r="4604" spans="1:4" ht="40.5">
      <c r="A4604" s="337">
        <v>90462</v>
      </c>
      <c r="B4604" s="338" t="s">
        <v>5248</v>
      </c>
      <c r="C4604" s="337" t="s">
        <v>172</v>
      </c>
      <c r="D4604" s="339">
        <v>2.46</v>
      </c>
    </row>
    <row r="4605" spans="1:4" ht="40.5">
      <c r="A4605" s="337">
        <v>90463</v>
      </c>
      <c r="B4605" s="338" t="s">
        <v>5249</v>
      </c>
      <c r="C4605" s="337" t="s">
        <v>172</v>
      </c>
      <c r="D4605" s="339">
        <v>1.96</v>
      </c>
    </row>
    <row r="4606" spans="1:4" ht="40.5">
      <c r="A4606" s="337">
        <v>90466</v>
      </c>
      <c r="B4606" s="338" t="s">
        <v>5250</v>
      </c>
      <c r="C4606" s="337" t="s">
        <v>172</v>
      </c>
      <c r="D4606" s="339">
        <v>9.06</v>
      </c>
    </row>
    <row r="4607" spans="1:4" ht="54">
      <c r="A4607" s="337">
        <v>90467</v>
      </c>
      <c r="B4607" s="338" t="s">
        <v>5251</v>
      </c>
      <c r="C4607" s="337" t="s">
        <v>172</v>
      </c>
      <c r="D4607" s="339">
        <v>14.34</v>
      </c>
    </row>
    <row r="4608" spans="1:4" ht="40.5">
      <c r="A4608" s="337">
        <v>90468</v>
      </c>
      <c r="B4608" s="338" t="s">
        <v>5252</v>
      </c>
      <c r="C4608" s="337" t="s">
        <v>172</v>
      </c>
      <c r="D4608" s="339">
        <v>3.97</v>
      </c>
    </row>
    <row r="4609" spans="1:4" ht="54">
      <c r="A4609" s="337">
        <v>90469</v>
      </c>
      <c r="B4609" s="338" t="s">
        <v>5253</v>
      </c>
      <c r="C4609" s="337" t="s">
        <v>172</v>
      </c>
      <c r="D4609" s="339">
        <v>6.38</v>
      </c>
    </row>
    <row r="4610" spans="1:4" ht="40.5">
      <c r="A4610" s="337">
        <v>90470</v>
      </c>
      <c r="B4610" s="338" t="s">
        <v>5254</v>
      </c>
      <c r="C4610" s="337" t="s">
        <v>172</v>
      </c>
      <c r="D4610" s="339">
        <v>8.77</v>
      </c>
    </row>
    <row r="4611" spans="1:4" ht="54">
      <c r="A4611" s="337">
        <v>91166</v>
      </c>
      <c r="B4611" s="338" t="s">
        <v>5255</v>
      </c>
      <c r="C4611" s="337" t="s">
        <v>172</v>
      </c>
      <c r="D4611" s="339">
        <v>2.94</v>
      </c>
    </row>
    <row r="4612" spans="1:4" ht="67.5">
      <c r="A4612" s="337">
        <v>91167</v>
      </c>
      <c r="B4612" s="338" t="s">
        <v>5256</v>
      </c>
      <c r="C4612" s="337" t="s">
        <v>172</v>
      </c>
      <c r="D4612" s="339">
        <v>7.99</v>
      </c>
    </row>
    <row r="4613" spans="1:4" ht="67.5">
      <c r="A4613" s="337">
        <v>91168</v>
      </c>
      <c r="B4613" s="338" t="s">
        <v>5257</v>
      </c>
      <c r="C4613" s="337" t="s">
        <v>172</v>
      </c>
      <c r="D4613" s="339">
        <v>6.03</v>
      </c>
    </row>
    <row r="4614" spans="1:4" ht="54">
      <c r="A4614" s="337">
        <v>91169</v>
      </c>
      <c r="B4614" s="338" t="s">
        <v>5258</v>
      </c>
      <c r="C4614" s="337" t="s">
        <v>172</v>
      </c>
      <c r="D4614" s="339">
        <v>7.16</v>
      </c>
    </row>
    <row r="4615" spans="1:4" ht="81">
      <c r="A4615" s="337">
        <v>91170</v>
      </c>
      <c r="B4615" s="338" t="s">
        <v>5259</v>
      </c>
      <c r="C4615" s="337" t="s">
        <v>172</v>
      </c>
      <c r="D4615" s="339">
        <v>2.06</v>
      </c>
    </row>
    <row r="4616" spans="1:4" ht="81">
      <c r="A4616" s="337">
        <v>91171</v>
      </c>
      <c r="B4616" s="338" t="s">
        <v>5260</v>
      </c>
      <c r="C4616" s="337" t="s">
        <v>172</v>
      </c>
      <c r="D4616" s="339">
        <v>2.56</v>
      </c>
    </row>
    <row r="4617" spans="1:4" ht="67.5">
      <c r="A4617" s="337">
        <v>91172</v>
      </c>
      <c r="B4617" s="338" t="s">
        <v>5261</v>
      </c>
      <c r="C4617" s="337" t="s">
        <v>172</v>
      </c>
      <c r="D4617" s="339">
        <v>3.78</v>
      </c>
    </row>
    <row r="4618" spans="1:4" ht="67.5">
      <c r="A4618" s="337">
        <v>91173</v>
      </c>
      <c r="B4618" s="338" t="s">
        <v>5262</v>
      </c>
      <c r="C4618" s="337" t="s">
        <v>172</v>
      </c>
      <c r="D4618" s="339">
        <v>1.04</v>
      </c>
    </row>
    <row r="4619" spans="1:4" ht="67.5">
      <c r="A4619" s="337">
        <v>91174</v>
      </c>
      <c r="B4619" s="338" t="s">
        <v>5263</v>
      </c>
      <c r="C4619" s="337" t="s">
        <v>172</v>
      </c>
      <c r="D4619" s="339">
        <v>2.0299999999999998</v>
      </c>
    </row>
    <row r="4620" spans="1:4" ht="67.5">
      <c r="A4620" s="337">
        <v>91175</v>
      </c>
      <c r="B4620" s="338" t="s">
        <v>5264</v>
      </c>
      <c r="C4620" s="337" t="s">
        <v>172</v>
      </c>
      <c r="D4620" s="339">
        <v>3.33</v>
      </c>
    </row>
    <row r="4621" spans="1:4" ht="67.5">
      <c r="A4621" s="337">
        <v>91176</v>
      </c>
      <c r="B4621" s="338" t="s">
        <v>5265</v>
      </c>
      <c r="C4621" s="337" t="s">
        <v>172</v>
      </c>
      <c r="D4621" s="339">
        <v>29.51</v>
      </c>
    </row>
    <row r="4622" spans="1:4" ht="67.5">
      <c r="A4622" s="337">
        <v>91177</v>
      </c>
      <c r="B4622" s="338" t="s">
        <v>5266</v>
      </c>
      <c r="C4622" s="337" t="s">
        <v>172</v>
      </c>
      <c r="D4622" s="339">
        <v>13.27</v>
      </c>
    </row>
    <row r="4623" spans="1:4" ht="67.5">
      <c r="A4623" s="337">
        <v>91178</v>
      </c>
      <c r="B4623" s="338" t="s">
        <v>5267</v>
      </c>
      <c r="C4623" s="337" t="s">
        <v>172</v>
      </c>
      <c r="D4623" s="339">
        <v>13.24</v>
      </c>
    </row>
    <row r="4624" spans="1:4" ht="67.5">
      <c r="A4624" s="337">
        <v>91179</v>
      </c>
      <c r="B4624" s="338" t="s">
        <v>5268</v>
      </c>
      <c r="C4624" s="337" t="s">
        <v>172</v>
      </c>
      <c r="D4624" s="339">
        <v>7.57</v>
      </c>
    </row>
    <row r="4625" spans="1:4" ht="81">
      <c r="A4625" s="337">
        <v>91180</v>
      </c>
      <c r="B4625" s="338" t="s">
        <v>5269</v>
      </c>
      <c r="C4625" s="337" t="s">
        <v>172</v>
      </c>
      <c r="D4625" s="339">
        <v>6.09</v>
      </c>
    </row>
    <row r="4626" spans="1:4" ht="67.5">
      <c r="A4626" s="337">
        <v>91181</v>
      </c>
      <c r="B4626" s="338" t="s">
        <v>5270</v>
      </c>
      <c r="C4626" s="337" t="s">
        <v>172</v>
      </c>
      <c r="D4626" s="339">
        <v>6.5</v>
      </c>
    </row>
    <row r="4627" spans="1:4" ht="54">
      <c r="A4627" s="337">
        <v>91182</v>
      </c>
      <c r="B4627" s="338" t="s">
        <v>5271</v>
      </c>
      <c r="C4627" s="337" t="s">
        <v>172</v>
      </c>
      <c r="D4627" s="339">
        <v>19.13</v>
      </c>
    </row>
    <row r="4628" spans="1:4" ht="67.5">
      <c r="A4628" s="337">
        <v>91183</v>
      </c>
      <c r="B4628" s="338" t="s">
        <v>5272</v>
      </c>
      <c r="C4628" s="337" t="s">
        <v>172</v>
      </c>
      <c r="D4628" s="339">
        <v>9.4700000000000006</v>
      </c>
    </row>
    <row r="4629" spans="1:4" ht="54">
      <c r="A4629" s="337">
        <v>91184</v>
      </c>
      <c r="B4629" s="338" t="s">
        <v>5273</v>
      </c>
      <c r="C4629" s="337" t="s">
        <v>172</v>
      </c>
      <c r="D4629" s="339">
        <v>8.85</v>
      </c>
    </row>
    <row r="4630" spans="1:4" ht="67.5">
      <c r="A4630" s="337">
        <v>91185</v>
      </c>
      <c r="B4630" s="338" t="s">
        <v>5274</v>
      </c>
      <c r="C4630" s="337" t="s">
        <v>172</v>
      </c>
      <c r="D4630" s="339">
        <v>4.91</v>
      </c>
    </row>
    <row r="4631" spans="1:4" ht="67.5">
      <c r="A4631" s="337">
        <v>91186</v>
      </c>
      <c r="B4631" s="338" t="s">
        <v>5275</v>
      </c>
      <c r="C4631" s="337" t="s">
        <v>172</v>
      </c>
      <c r="D4631" s="339">
        <v>4.05</v>
      </c>
    </row>
    <row r="4632" spans="1:4" ht="67.5">
      <c r="A4632" s="337">
        <v>91187</v>
      </c>
      <c r="B4632" s="338" t="s">
        <v>5276</v>
      </c>
      <c r="C4632" s="337" t="s">
        <v>172</v>
      </c>
      <c r="D4632" s="339">
        <v>4.66</v>
      </c>
    </row>
    <row r="4633" spans="1:4" ht="40.5">
      <c r="A4633" s="337">
        <v>91188</v>
      </c>
      <c r="B4633" s="338" t="s">
        <v>5277</v>
      </c>
      <c r="C4633" s="337" t="s">
        <v>474</v>
      </c>
      <c r="D4633" s="339">
        <v>4.84</v>
      </c>
    </row>
    <row r="4634" spans="1:4" ht="54">
      <c r="A4634" s="337">
        <v>91189</v>
      </c>
      <c r="B4634" s="338" t="s">
        <v>5278</v>
      </c>
      <c r="C4634" s="337" t="s">
        <v>474</v>
      </c>
      <c r="D4634" s="339">
        <v>32.56</v>
      </c>
    </row>
    <row r="4635" spans="1:4" ht="40.5">
      <c r="A4635" s="337">
        <v>91190</v>
      </c>
      <c r="B4635" s="338" t="s">
        <v>5279</v>
      </c>
      <c r="C4635" s="337" t="s">
        <v>474</v>
      </c>
      <c r="D4635" s="339">
        <v>3.51</v>
      </c>
    </row>
    <row r="4636" spans="1:4" ht="40.5">
      <c r="A4636" s="337">
        <v>91191</v>
      </c>
      <c r="B4636" s="338" t="s">
        <v>5280</v>
      </c>
      <c r="C4636" s="337" t="s">
        <v>474</v>
      </c>
      <c r="D4636" s="339">
        <v>3.72</v>
      </c>
    </row>
    <row r="4637" spans="1:4" ht="40.5">
      <c r="A4637" s="337">
        <v>91192</v>
      </c>
      <c r="B4637" s="338" t="s">
        <v>5281</v>
      </c>
      <c r="C4637" s="337" t="s">
        <v>474</v>
      </c>
      <c r="D4637" s="339">
        <v>4.12</v>
      </c>
    </row>
    <row r="4638" spans="1:4" ht="54">
      <c r="A4638" s="337">
        <v>91222</v>
      </c>
      <c r="B4638" s="338" t="s">
        <v>5282</v>
      </c>
      <c r="C4638" s="337" t="s">
        <v>172</v>
      </c>
      <c r="D4638" s="339">
        <v>9.77</v>
      </c>
    </row>
    <row r="4639" spans="1:4" ht="67.5">
      <c r="A4639" s="337">
        <v>94480</v>
      </c>
      <c r="B4639" s="338" t="s">
        <v>5283</v>
      </c>
      <c r="C4639" s="337" t="s">
        <v>474</v>
      </c>
      <c r="D4639" s="340">
        <v>1444.7</v>
      </c>
    </row>
    <row r="4640" spans="1:4" ht="67.5">
      <c r="A4640" s="337">
        <v>94481</v>
      </c>
      <c r="B4640" s="338" t="s">
        <v>5284</v>
      </c>
      <c r="C4640" s="337" t="s">
        <v>474</v>
      </c>
      <c r="D4640" s="340">
        <v>1052.29</v>
      </c>
    </row>
    <row r="4641" spans="1:4" ht="67.5">
      <c r="A4641" s="337">
        <v>94482</v>
      </c>
      <c r="B4641" s="338" t="s">
        <v>5285</v>
      </c>
      <c r="C4641" s="337" t="s">
        <v>474</v>
      </c>
      <c r="D4641" s="339">
        <v>848.44</v>
      </c>
    </row>
    <row r="4642" spans="1:4" ht="67.5">
      <c r="A4642" s="337">
        <v>94483</v>
      </c>
      <c r="B4642" s="338" t="s">
        <v>5286</v>
      </c>
      <c r="C4642" s="337" t="s">
        <v>474</v>
      </c>
      <c r="D4642" s="339">
        <v>725.28</v>
      </c>
    </row>
    <row r="4643" spans="1:4" ht="27">
      <c r="A4643" s="337">
        <v>95541</v>
      </c>
      <c r="B4643" s="338" t="s">
        <v>5287</v>
      </c>
      <c r="C4643" s="337" t="s">
        <v>474</v>
      </c>
      <c r="D4643" s="339">
        <v>3.24</v>
      </c>
    </row>
    <row r="4644" spans="1:4" ht="40.5">
      <c r="A4644" s="337">
        <v>95573</v>
      </c>
      <c r="B4644" s="338" t="s">
        <v>5288</v>
      </c>
      <c r="C4644" s="337" t="s">
        <v>474</v>
      </c>
      <c r="D4644" s="339">
        <v>45.66</v>
      </c>
    </row>
    <row r="4645" spans="1:4" ht="40.5">
      <c r="A4645" s="337">
        <v>95574</v>
      </c>
      <c r="B4645" s="338" t="s">
        <v>5289</v>
      </c>
      <c r="C4645" s="337" t="s">
        <v>474</v>
      </c>
      <c r="D4645" s="339">
        <v>34.33</v>
      </c>
    </row>
    <row r="4646" spans="1:4" ht="40.5">
      <c r="A4646" s="337">
        <v>96559</v>
      </c>
      <c r="B4646" s="338" t="s">
        <v>5290</v>
      </c>
      <c r="C4646" s="337" t="s">
        <v>145</v>
      </c>
      <c r="D4646" s="339">
        <v>57.82</v>
      </c>
    </row>
    <row r="4647" spans="1:4" ht="40.5">
      <c r="A4647" s="337">
        <v>96560</v>
      </c>
      <c r="B4647" s="338" t="s">
        <v>5291</v>
      </c>
      <c r="C4647" s="337" t="s">
        <v>145</v>
      </c>
      <c r="D4647" s="339">
        <v>30.2</v>
      </c>
    </row>
    <row r="4648" spans="1:4" ht="40.5">
      <c r="A4648" s="337">
        <v>96561</v>
      </c>
      <c r="B4648" s="338" t="s">
        <v>5292</v>
      </c>
      <c r="C4648" s="337" t="s">
        <v>145</v>
      </c>
      <c r="D4648" s="339">
        <v>19.05</v>
      </c>
    </row>
    <row r="4649" spans="1:4" ht="67.5">
      <c r="A4649" s="337">
        <v>96562</v>
      </c>
      <c r="B4649" s="338" t="s">
        <v>5293</v>
      </c>
      <c r="C4649" s="337" t="s">
        <v>172</v>
      </c>
      <c r="D4649" s="339">
        <v>30.29</v>
      </c>
    </row>
    <row r="4650" spans="1:4" ht="67.5">
      <c r="A4650" s="337">
        <v>96563</v>
      </c>
      <c r="B4650" s="338" t="s">
        <v>5294</v>
      </c>
      <c r="C4650" s="337" t="s">
        <v>172</v>
      </c>
      <c r="D4650" s="339">
        <v>33.369999999999997</v>
      </c>
    </row>
    <row r="4651" spans="1:4" ht="40.5">
      <c r="A4651" s="337">
        <v>98113</v>
      </c>
      <c r="B4651" s="338" t="s">
        <v>5295</v>
      </c>
      <c r="C4651" s="337" t="s">
        <v>474</v>
      </c>
      <c r="D4651" s="340">
        <v>1828.45</v>
      </c>
    </row>
    <row r="4652" spans="1:4" ht="27">
      <c r="A4652" s="337" t="s">
        <v>5296</v>
      </c>
      <c r="B4652" s="338" t="s">
        <v>5297</v>
      </c>
      <c r="C4652" s="337" t="s">
        <v>474</v>
      </c>
      <c r="D4652" s="339">
        <v>364.8</v>
      </c>
    </row>
    <row r="4653" spans="1:4" ht="27">
      <c r="A4653" s="337" t="s">
        <v>5298</v>
      </c>
      <c r="B4653" s="338" t="s">
        <v>5299</v>
      </c>
      <c r="C4653" s="337" t="s">
        <v>474</v>
      </c>
      <c r="D4653" s="339">
        <v>474.24</v>
      </c>
    </row>
    <row r="4654" spans="1:4" ht="27">
      <c r="A4654" s="337" t="s">
        <v>5300</v>
      </c>
      <c r="B4654" s="338" t="s">
        <v>5301</v>
      </c>
      <c r="C4654" s="337" t="s">
        <v>474</v>
      </c>
      <c r="D4654" s="339">
        <v>153.15</v>
      </c>
    </row>
    <row r="4655" spans="1:4" ht="27">
      <c r="A4655" s="337" t="s">
        <v>5302</v>
      </c>
      <c r="B4655" s="338" t="s">
        <v>5303</v>
      </c>
      <c r="C4655" s="337" t="s">
        <v>474</v>
      </c>
      <c r="D4655" s="339">
        <v>245.04</v>
      </c>
    </row>
    <row r="4656" spans="1:4" ht="27">
      <c r="A4656" s="337" t="s">
        <v>5304</v>
      </c>
      <c r="B4656" s="338" t="s">
        <v>5305</v>
      </c>
      <c r="C4656" s="337" t="s">
        <v>474</v>
      </c>
      <c r="D4656" s="339">
        <v>490.08</v>
      </c>
    </row>
    <row r="4657" spans="1:4" ht="27">
      <c r="A4657" s="337" t="s">
        <v>5306</v>
      </c>
      <c r="B4657" s="338" t="s">
        <v>5307</v>
      </c>
      <c r="C4657" s="337" t="s">
        <v>474</v>
      </c>
      <c r="D4657" s="339">
        <v>735.12</v>
      </c>
    </row>
    <row r="4658" spans="1:4" ht="27">
      <c r="A4658" s="337" t="s">
        <v>5308</v>
      </c>
      <c r="B4658" s="338" t="s">
        <v>5309</v>
      </c>
      <c r="C4658" s="337" t="s">
        <v>474</v>
      </c>
      <c r="D4658" s="339">
        <v>947.75</v>
      </c>
    </row>
    <row r="4659" spans="1:4" ht="27">
      <c r="A4659" s="337" t="s">
        <v>5310</v>
      </c>
      <c r="B4659" s="338" t="s">
        <v>5311</v>
      </c>
      <c r="C4659" s="337" t="s">
        <v>474</v>
      </c>
      <c r="D4659" s="340">
        <v>1288.94</v>
      </c>
    </row>
    <row r="4660" spans="1:4" ht="27">
      <c r="A4660" s="337" t="s">
        <v>5312</v>
      </c>
      <c r="B4660" s="338" t="s">
        <v>5313</v>
      </c>
      <c r="C4660" s="337" t="s">
        <v>474</v>
      </c>
      <c r="D4660" s="340">
        <v>1440.58</v>
      </c>
    </row>
    <row r="4661" spans="1:4" ht="27">
      <c r="A4661" s="337" t="s">
        <v>5314</v>
      </c>
      <c r="B4661" s="338" t="s">
        <v>5315</v>
      </c>
      <c r="C4661" s="337" t="s">
        <v>474</v>
      </c>
      <c r="D4661" s="339">
        <v>379.1</v>
      </c>
    </row>
    <row r="4662" spans="1:4" ht="27">
      <c r="A4662" s="337" t="s">
        <v>5316</v>
      </c>
      <c r="B4662" s="338" t="s">
        <v>5317</v>
      </c>
      <c r="C4662" s="337" t="s">
        <v>474</v>
      </c>
      <c r="D4662" s="339">
        <v>492.83</v>
      </c>
    </row>
    <row r="4663" spans="1:4" ht="27">
      <c r="A4663" s="337" t="s">
        <v>5318</v>
      </c>
      <c r="B4663" s="338" t="s">
        <v>5319</v>
      </c>
      <c r="C4663" s="337" t="s">
        <v>474</v>
      </c>
      <c r="D4663" s="339">
        <v>758.2</v>
      </c>
    </row>
    <row r="4664" spans="1:4" ht="27">
      <c r="A4664" s="337" t="s">
        <v>5320</v>
      </c>
      <c r="B4664" s="338" t="s">
        <v>5321</v>
      </c>
      <c r="C4664" s="337" t="s">
        <v>474</v>
      </c>
      <c r="D4664" s="340">
        <v>1213.1199999999999</v>
      </c>
    </row>
    <row r="4665" spans="1:4" ht="27">
      <c r="A4665" s="337" t="s">
        <v>5322</v>
      </c>
      <c r="B4665" s="338" t="s">
        <v>5323</v>
      </c>
      <c r="C4665" s="337" t="s">
        <v>474</v>
      </c>
      <c r="D4665" s="339">
        <v>153.15</v>
      </c>
    </row>
    <row r="4666" spans="1:4" ht="27">
      <c r="A4666" s="337" t="s">
        <v>5324</v>
      </c>
      <c r="B4666" s="338" t="s">
        <v>5325</v>
      </c>
      <c r="C4666" s="337" t="s">
        <v>474</v>
      </c>
      <c r="D4666" s="339">
        <v>306.3</v>
      </c>
    </row>
    <row r="4667" spans="1:4" ht="27">
      <c r="A4667" s="337" t="s">
        <v>5326</v>
      </c>
      <c r="B4667" s="338" t="s">
        <v>5327</v>
      </c>
      <c r="C4667" s="337" t="s">
        <v>474</v>
      </c>
      <c r="D4667" s="339">
        <v>612.6</v>
      </c>
    </row>
    <row r="4668" spans="1:4" ht="13.5">
      <c r="A4668" s="337">
        <v>73612</v>
      </c>
      <c r="B4668" s="338" t="s">
        <v>5328</v>
      </c>
      <c r="C4668" s="337" t="s">
        <v>474</v>
      </c>
      <c r="D4668" s="339">
        <v>301.5</v>
      </c>
    </row>
    <row r="4669" spans="1:4" ht="27">
      <c r="A4669" s="337">
        <v>73660</v>
      </c>
      <c r="B4669" s="338" t="s">
        <v>5329</v>
      </c>
      <c r="C4669" s="337" t="s">
        <v>145</v>
      </c>
      <c r="D4669" s="339">
        <v>62.95</v>
      </c>
    </row>
    <row r="4670" spans="1:4" ht="27">
      <c r="A4670" s="337">
        <v>73661</v>
      </c>
      <c r="B4670" s="338" t="s">
        <v>5330</v>
      </c>
      <c r="C4670" s="337" t="s">
        <v>474</v>
      </c>
      <c r="D4670" s="340">
        <v>1959.8</v>
      </c>
    </row>
    <row r="4671" spans="1:4" ht="27">
      <c r="A4671" s="337">
        <v>73693</v>
      </c>
      <c r="B4671" s="338" t="s">
        <v>5331</v>
      </c>
      <c r="C4671" s="337" t="s">
        <v>145</v>
      </c>
      <c r="D4671" s="339">
        <v>17.71</v>
      </c>
    </row>
    <row r="4672" spans="1:4" ht="13.5">
      <c r="A4672" s="337">
        <v>73694</v>
      </c>
      <c r="B4672" s="338" t="s">
        <v>5332</v>
      </c>
      <c r="C4672" s="337" t="s">
        <v>474</v>
      </c>
      <c r="D4672" s="339">
        <v>117.73</v>
      </c>
    </row>
    <row r="4673" spans="1:4" ht="13.5">
      <c r="A4673" s="337">
        <v>73695</v>
      </c>
      <c r="B4673" s="338" t="s">
        <v>5333</v>
      </c>
      <c r="C4673" s="337" t="s">
        <v>474</v>
      </c>
      <c r="D4673" s="339">
        <v>60.54</v>
      </c>
    </row>
    <row r="4674" spans="1:4" ht="13.5">
      <c r="A4674" s="337" t="s">
        <v>5334</v>
      </c>
      <c r="B4674" s="338" t="s">
        <v>5335</v>
      </c>
      <c r="C4674" s="337" t="s">
        <v>474</v>
      </c>
      <c r="D4674" s="339">
        <v>301.5</v>
      </c>
    </row>
    <row r="4675" spans="1:4" ht="13.5">
      <c r="A4675" s="337" t="s">
        <v>5336</v>
      </c>
      <c r="B4675" s="338" t="s">
        <v>5337</v>
      </c>
      <c r="C4675" s="337" t="s">
        <v>145</v>
      </c>
      <c r="D4675" s="339">
        <v>783.1</v>
      </c>
    </row>
    <row r="4676" spans="1:4" ht="27">
      <c r="A4676" s="337" t="s">
        <v>5338</v>
      </c>
      <c r="B4676" s="338" t="s">
        <v>5339</v>
      </c>
      <c r="C4676" s="337" t="s">
        <v>178</v>
      </c>
      <c r="D4676" s="339">
        <v>67.010000000000005</v>
      </c>
    </row>
    <row r="4677" spans="1:4" ht="27">
      <c r="A4677" s="337" t="s">
        <v>5340</v>
      </c>
      <c r="B4677" s="338" t="s">
        <v>5341</v>
      </c>
      <c r="C4677" s="337" t="s">
        <v>178</v>
      </c>
      <c r="D4677" s="339">
        <v>152.81</v>
      </c>
    </row>
    <row r="4678" spans="1:4" ht="27">
      <c r="A4678" s="337" t="s">
        <v>5342</v>
      </c>
      <c r="B4678" s="338" t="s">
        <v>5343</v>
      </c>
      <c r="C4678" s="337" t="s">
        <v>178</v>
      </c>
      <c r="D4678" s="339">
        <v>67.010000000000005</v>
      </c>
    </row>
    <row r="4679" spans="1:4" ht="27">
      <c r="A4679" s="337" t="s">
        <v>5344</v>
      </c>
      <c r="B4679" s="338" t="s">
        <v>5345</v>
      </c>
      <c r="C4679" s="337" t="s">
        <v>178</v>
      </c>
      <c r="D4679" s="339">
        <v>73.39</v>
      </c>
    </row>
    <row r="4680" spans="1:4" ht="27">
      <c r="A4680" s="337" t="s">
        <v>5346</v>
      </c>
      <c r="B4680" s="338" t="s">
        <v>5347</v>
      </c>
      <c r="C4680" s="337" t="s">
        <v>178</v>
      </c>
      <c r="D4680" s="339">
        <v>67.010000000000005</v>
      </c>
    </row>
    <row r="4681" spans="1:4" ht="27">
      <c r="A4681" s="337" t="s">
        <v>5348</v>
      </c>
      <c r="B4681" s="338" t="s">
        <v>5349</v>
      </c>
      <c r="C4681" s="337" t="s">
        <v>474</v>
      </c>
      <c r="D4681" s="339">
        <v>68.52</v>
      </c>
    </row>
    <row r="4682" spans="1:4" ht="27">
      <c r="A4682" s="337" t="s">
        <v>5350</v>
      </c>
      <c r="B4682" s="338" t="s">
        <v>5351</v>
      </c>
      <c r="C4682" s="337" t="s">
        <v>474</v>
      </c>
      <c r="D4682" s="339">
        <v>64.02</v>
      </c>
    </row>
    <row r="4683" spans="1:4" ht="40.5">
      <c r="A4683" s="337" t="s">
        <v>5352</v>
      </c>
      <c r="B4683" s="338" t="s">
        <v>5353</v>
      </c>
      <c r="C4683" s="337" t="s">
        <v>172</v>
      </c>
      <c r="D4683" s="339">
        <v>21.08</v>
      </c>
    </row>
    <row r="4684" spans="1:4" ht="27">
      <c r="A4684" s="337">
        <v>83878</v>
      </c>
      <c r="B4684" s="338" t="s">
        <v>5354</v>
      </c>
      <c r="C4684" s="337" t="s">
        <v>474</v>
      </c>
      <c r="D4684" s="339">
        <v>43.75</v>
      </c>
    </row>
    <row r="4685" spans="1:4" ht="27">
      <c r="A4685" s="337">
        <v>83879</v>
      </c>
      <c r="B4685" s="338" t="s">
        <v>5355</v>
      </c>
      <c r="C4685" s="337" t="s">
        <v>474</v>
      </c>
      <c r="D4685" s="339">
        <v>51.09</v>
      </c>
    </row>
    <row r="4686" spans="1:4" ht="67.5">
      <c r="A4686" s="337">
        <v>73658</v>
      </c>
      <c r="B4686" s="338" t="s">
        <v>5356</v>
      </c>
      <c r="C4686" s="337" t="s">
        <v>474</v>
      </c>
      <c r="D4686" s="339">
        <v>464.04</v>
      </c>
    </row>
    <row r="4687" spans="1:4" ht="108">
      <c r="A4687" s="337">
        <v>93350</v>
      </c>
      <c r="B4687" s="338" t="s">
        <v>5357</v>
      </c>
      <c r="C4687" s="337" t="s">
        <v>474</v>
      </c>
      <c r="D4687" s="339">
        <v>703.78</v>
      </c>
    </row>
    <row r="4688" spans="1:4" ht="108">
      <c r="A4688" s="337">
        <v>93351</v>
      </c>
      <c r="B4688" s="338" t="s">
        <v>5358</v>
      </c>
      <c r="C4688" s="337" t="s">
        <v>474</v>
      </c>
      <c r="D4688" s="339">
        <v>572.75</v>
      </c>
    </row>
    <row r="4689" spans="1:4" ht="108">
      <c r="A4689" s="337">
        <v>93352</v>
      </c>
      <c r="B4689" s="338" t="s">
        <v>5359</v>
      </c>
      <c r="C4689" s="337" t="s">
        <v>474</v>
      </c>
      <c r="D4689" s="339">
        <v>442.57</v>
      </c>
    </row>
    <row r="4690" spans="1:4" ht="108">
      <c r="A4690" s="337">
        <v>93353</v>
      </c>
      <c r="B4690" s="338" t="s">
        <v>5360</v>
      </c>
      <c r="C4690" s="337" t="s">
        <v>474</v>
      </c>
      <c r="D4690" s="339">
        <v>315.47000000000003</v>
      </c>
    </row>
    <row r="4691" spans="1:4" ht="108">
      <c r="A4691" s="337">
        <v>93354</v>
      </c>
      <c r="B4691" s="338" t="s">
        <v>5361</v>
      </c>
      <c r="C4691" s="337" t="s">
        <v>474</v>
      </c>
      <c r="D4691" s="339">
        <v>457.08</v>
      </c>
    </row>
    <row r="4692" spans="1:4" ht="108">
      <c r="A4692" s="337">
        <v>93355</v>
      </c>
      <c r="B4692" s="338" t="s">
        <v>5362</v>
      </c>
      <c r="C4692" s="337" t="s">
        <v>474</v>
      </c>
      <c r="D4692" s="339">
        <v>378.29</v>
      </c>
    </row>
    <row r="4693" spans="1:4" ht="108">
      <c r="A4693" s="337">
        <v>93356</v>
      </c>
      <c r="B4693" s="338" t="s">
        <v>5363</v>
      </c>
      <c r="C4693" s="337" t="s">
        <v>474</v>
      </c>
      <c r="D4693" s="339">
        <v>298.89</v>
      </c>
    </row>
    <row r="4694" spans="1:4" ht="108">
      <c r="A4694" s="337">
        <v>93357</v>
      </c>
      <c r="B4694" s="338" t="s">
        <v>5364</v>
      </c>
      <c r="C4694" s="337" t="s">
        <v>474</v>
      </c>
      <c r="D4694" s="339">
        <v>221.14</v>
      </c>
    </row>
    <row r="4695" spans="1:4" ht="27">
      <c r="A4695" s="337">
        <v>83335</v>
      </c>
      <c r="B4695" s="338" t="s">
        <v>5365</v>
      </c>
      <c r="C4695" s="337" t="s">
        <v>178</v>
      </c>
      <c r="D4695" s="339">
        <v>37.97</v>
      </c>
    </row>
    <row r="4696" spans="1:4" ht="27">
      <c r="A4696" s="337">
        <v>88548</v>
      </c>
      <c r="B4696" s="338" t="s">
        <v>5366</v>
      </c>
      <c r="C4696" s="337" t="s">
        <v>178</v>
      </c>
      <c r="D4696" s="339">
        <v>25.24</v>
      </c>
    </row>
    <row r="4697" spans="1:4" ht="27">
      <c r="A4697" s="337" t="s">
        <v>5367</v>
      </c>
      <c r="B4697" s="338" t="s">
        <v>5368</v>
      </c>
      <c r="C4697" s="337" t="s">
        <v>145</v>
      </c>
      <c r="D4697" s="339">
        <v>0.33</v>
      </c>
    </row>
    <row r="4698" spans="1:4" ht="27">
      <c r="A4698" s="337" t="s">
        <v>5369</v>
      </c>
      <c r="B4698" s="338" t="s">
        <v>5370</v>
      </c>
      <c r="C4698" s="337" t="s">
        <v>178</v>
      </c>
      <c r="D4698" s="339">
        <v>1.73</v>
      </c>
    </row>
    <row r="4699" spans="1:4" ht="67.5">
      <c r="A4699" s="337" t="s">
        <v>5371</v>
      </c>
      <c r="B4699" s="338" t="s">
        <v>5372</v>
      </c>
      <c r="C4699" s="337" t="s">
        <v>178</v>
      </c>
      <c r="D4699" s="339">
        <v>2.75</v>
      </c>
    </row>
    <row r="4700" spans="1:4" ht="40.5">
      <c r="A4700" s="337" t="s">
        <v>5373</v>
      </c>
      <c r="B4700" s="338" t="s">
        <v>5374</v>
      </c>
      <c r="C4700" s="337" t="s">
        <v>145</v>
      </c>
      <c r="D4700" s="339">
        <v>0.2</v>
      </c>
    </row>
    <row r="4701" spans="1:4" ht="54">
      <c r="A4701" s="337" t="s">
        <v>5375</v>
      </c>
      <c r="B4701" s="338" t="s">
        <v>5376</v>
      </c>
      <c r="C4701" s="337" t="s">
        <v>178</v>
      </c>
      <c r="D4701" s="339">
        <v>4.41</v>
      </c>
    </row>
    <row r="4702" spans="1:4" ht="54">
      <c r="A4702" s="337" t="s">
        <v>5377</v>
      </c>
      <c r="B4702" s="338" t="s">
        <v>5378</v>
      </c>
      <c r="C4702" s="337" t="s">
        <v>178</v>
      </c>
      <c r="D4702" s="339">
        <v>1.44</v>
      </c>
    </row>
    <row r="4703" spans="1:4" ht="54">
      <c r="A4703" s="337" t="s">
        <v>5379</v>
      </c>
      <c r="B4703" s="338" t="s">
        <v>5380</v>
      </c>
      <c r="C4703" s="337" t="s">
        <v>178</v>
      </c>
      <c r="D4703" s="339">
        <v>2.8</v>
      </c>
    </row>
    <row r="4704" spans="1:4" ht="40.5">
      <c r="A4704" s="337" t="s">
        <v>5381</v>
      </c>
      <c r="B4704" s="338" t="s">
        <v>5382</v>
      </c>
      <c r="C4704" s="337" t="s">
        <v>178</v>
      </c>
      <c r="D4704" s="339">
        <v>1.4</v>
      </c>
    </row>
    <row r="4705" spans="1:4" ht="27">
      <c r="A4705" s="337">
        <v>79472</v>
      </c>
      <c r="B4705" s="338" t="s">
        <v>5383</v>
      </c>
      <c r="C4705" s="337" t="s">
        <v>145</v>
      </c>
      <c r="D4705" s="339">
        <v>0.43</v>
      </c>
    </row>
    <row r="4706" spans="1:4" ht="13.5">
      <c r="A4706" s="337">
        <v>79473</v>
      </c>
      <c r="B4706" s="338" t="s">
        <v>5384</v>
      </c>
      <c r="C4706" s="337" t="s">
        <v>178</v>
      </c>
      <c r="D4706" s="339">
        <v>5.04</v>
      </c>
    </row>
    <row r="4707" spans="1:4" ht="27">
      <c r="A4707" s="337">
        <v>79480</v>
      </c>
      <c r="B4707" s="338" t="s">
        <v>5385</v>
      </c>
      <c r="C4707" s="337" t="s">
        <v>178</v>
      </c>
      <c r="D4707" s="339">
        <v>2.04</v>
      </c>
    </row>
    <row r="4708" spans="1:4" ht="40.5">
      <c r="A4708" s="337">
        <v>83336</v>
      </c>
      <c r="B4708" s="338" t="s">
        <v>5386</v>
      </c>
      <c r="C4708" s="337" t="s">
        <v>178</v>
      </c>
      <c r="D4708" s="339">
        <v>4.09</v>
      </c>
    </row>
    <row r="4709" spans="1:4" ht="54">
      <c r="A4709" s="337">
        <v>83338</v>
      </c>
      <c r="B4709" s="338" t="s">
        <v>5387</v>
      </c>
      <c r="C4709" s="337" t="s">
        <v>178</v>
      </c>
      <c r="D4709" s="339">
        <v>2.2599999999999998</v>
      </c>
    </row>
    <row r="4710" spans="1:4" ht="94.5">
      <c r="A4710" s="337">
        <v>89885</v>
      </c>
      <c r="B4710" s="338" t="s">
        <v>5388</v>
      </c>
      <c r="C4710" s="337" t="s">
        <v>178</v>
      </c>
      <c r="D4710" s="339">
        <v>7.56</v>
      </c>
    </row>
    <row r="4711" spans="1:4" ht="94.5">
      <c r="A4711" s="337">
        <v>89886</v>
      </c>
      <c r="B4711" s="338" t="s">
        <v>5389</v>
      </c>
      <c r="C4711" s="337" t="s">
        <v>178</v>
      </c>
      <c r="D4711" s="339">
        <v>7.59</v>
      </c>
    </row>
    <row r="4712" spans="1:4" ht="94.5">
      <c r="A4712" s="337">
        <v>89887</v>
      </c>
      <c r="B4712" s="338" t="s">
        <v>5390</v>
      </c>
      <c r="C4712" s="337" t="s">
        <v>178</v>
      </c>
      <c r="D4712" s="339">
        <v>7.87</v>
      </c>
    </row>
    <row r="4713" spans="1:4" ht="94.5">
      <c r="A4713" s="337">
        <v>89888</v>
      </c>
      <c r="B4713" s="338" t="s">
        <v>5391</v>
      </c>
      <c r="C4713" s="337" t="s">
        <v>178</v>
      </c>
      <c r="D4713" s="339">
        <v>7.78</v>
      </c>
    </row>
    <row r="4714" spans="1:4" ht="94.5">
      <c r="A4714" s="337">
        <v>89889</v>
      </c>
      <c r="B4714" s="338" t="s">
        <v>5392</v>
      </c>
      <c r="C4714" s="337" t="s">
        <v>178</v>
      </c>
      <c r="D4714" s="339">
        <v>8.08</v>
      </c>
    </row>
    <row r="4715" spans="1:4" ht="94.5">
      <c r="A4715" s="337">
        <v>89890</v>
      </c>
      <c r="B4715" s="338" t="s">
        <v>5393</v>
      </c>
      <c r="C4715" s="337" t="s">
        <v>178</v>
      </c>
      <c r="D4715" s="339">
        <v>11.3</v>
      </c>
    </row>
    <row r="4716" spans="1:4" ht="94.5">
      <c r="A4716" s="337">
        <v>89893</v>
      </c>
      <c r="B4716" s="338" t="s">
        <v>5394</v>
      </c>
      <c r="C4716" s="337" t="s">
        <v>178</v>
      </c>
      <c r="D4716" s="339">
        <v>13.93</v>
      </c>
    </row>
    <row r="4717" spans="1:4" ht="94.5">
      <c r="A4717" s="337">
        <v>89894</v>
      </c>
      <c r="B4717" s="338" t="s">
        <v>5395</v>
      </c>
      <c r="C4717" s="337" t="s">
        <v>178</v>
      </c>
      <c r="D4717" s="339">
        <v>15.49</v>
      </c>
    </row>
    <row r="4718" spans="1:4" ht="94.5">
      <c r="A4718" s="337">
        <v>89895</v>
      </c>
      <c r="B4718" s="338" t="s">
        <v>5396</v>
      </c>
      <c r="C4718" s="337" t="s">
        <v>178</v>
      </c>
      <c r="D4718" s="339">
        <v>18.86</v>
      </c>
    </row>
    <row r="4719" spans="1:4" ht="94.5">
      <c r="A4719" s="337">
        <v>89903</v>
      </c>
      <c r="B4719" s="338" t="s">
        <v>5397</v>
      </c>
      <c r="C4719" s="337" t="s">
        <v>178</v>
      </c>
      <c r="D4719" s="339">
        <v>6.72</v>
      </c>
    </row>
    <row r="4720" spans="1:4" ht="94.5">
      <c r="A4720" s="337">
        <v>89904</v>
      </c>
      <c r="B4720" s="338" t="s">
        <v>5398</v>
      </c>
      <c r="C4720" s="337" t="s">
        <v>178</v>
      </c>
      <c r="D4720" s="339">
        <v>6.76</v>
      </c>
    </row>
    <row r="4721" spans="1:4" ht="94.5">
      <c r="A4721" s="337">
        <v>89905</v>
      </c>
      <c r="B4721" s="338" t="s">
        <v>5399</v>
      </c>
      <c r="C4721" s="337" t="s">
        <v>178</v>
      </c>
      <c r="D4721" s="339">
        <v>7</v>
      </c>
    </row>
    <row r="4722" spans="1:4" ht="94.5">
      <c r="A4722" s="337">
        <v>89906</v>
      </c>
      <c r="B4722" s="338" t="s">
        <v>5400</v>
      </c>
      <c r="C4722" s="337" t="s">
        <v>178</v>
      </c>
      <c r="D4722" s="339">
        <v>6.92</v>
      </c>
    </row>
    <row r="4723" spans="1:4" ht="94.5">
      <c r="A4723" s="337">
        <v>89907</v>
      </c>
      <c r="B4723" s="338" t="s">
        <v>5401</v>
      </c>
      <c r="C4723" s="337" t="s">
        <v>178</v>
      </c>
      <c r="D4723" s="339">
        <v>7.74</v>
      </c>
    </row>
    <row r="4724" spans="1:4" ht="94.5">
      <c r="A4724" s="337">
        <v>89908</v>
      </c>
      <c r="B4724" s="338" t="s">
        <v>5402</v>
      </c>
      <c r="C4724" s="337" t="s">
        <v>178</v>
      </c>
      <c r="D4724" s="339">
        <v>10.63</v>
      </c>
    </row>
    <row r="4725" spans="1:4" ht="94.5">
      <c r="A4725" s="337">
        <v>89911</v>
      </c>
      <c r="B4725" s="338" t="s">
        <v>5403</v>
      </c>
      <c r="C4725" s="337" t="s">
        <v>178</v>
      </c>
      <c r="D4725" s="339">
        <v>12.99</v>
      </c>
    </row>
    <row r="4726" spans="1:4" ht="94.5">
      <c r="A4726" s="337">
        <v>89912</v>
      </c>
      <c r="B4726" s="338" t="s">
        <v>5404</v>
      </c>
      <c r="C4726" s="337" t="s">
        <v>178</v>
      </c>
      <c r="D4726" s="339">
        <v>13.88</v>
      </c>
    </row>
    <row r="4727" spans="1:4" ht="94.5">
      <c r="A4727" s="337">
        <v>89913</v>
      </c>
      <c r="B4727" s="338" t="s">
        <v>5405</v>
      </c>
      <c r="C4727" s="337" t="s">
        <v>178</v>
      </c>
      <c r="D4727" s="339">
        <v>16.920000000000002</v>
      </c>
    </row>
    <row r="4728" spans="1:4" ht="94.5">
      <c r="A4728" s="337">
        <v>89921</v>
      </c>
      <c r="B4728" s="338" t="s">
        <v>5406</v>
      </c>
      <c r="C4728" s="337" t="s">
        <v>178</v>
      </c>
      <c r="D4728" s="339">
        <v>6.21</v>
      </c>
    </row>
    <row r="4729" spans="1:4" ht="94.5">
      <c r="A4729" s="337">
        <v>89922</v>
      </c>
      <c r="B4729" s="338" t="s">
        <v>5407</v>
      </c>
      <c r="C4729" s="337" t="s">
        <v>178</v>
      </c>
      <c r="D4729" s="339">
        <v>6.25</v>
      </c>
    </row>
    <row r="4730" spans="1:4" ht="94.5">
      <c r="A4730" s="337">
        <v>89923</v>
      </c>
      <c r="B4730" s="338" t="s">
        <v>5408</v>
      </c>
      <c r="C4730" s="337" t="s">
        <v>178</v>
      </c>
      <c r="D4730" s="339">
        <v>6.53</v>
      </c>
    </row>
    <row r="4731" spans="1:4" ht="94.5">
      <c r="A4731" s="337">
        <v>89924</v>
      </c>
      <c r="B4731" s="338" t="s">
        <v>5409</v>
      </c>
      <c r="C4731" s="337" t="s">
        <v>178</v>
      </c>
      <c r="D4731" s="339">
        <v>6.43</v>
      </c>
    </row>
    <row r="4732" spans="1:4" ht="94.5">
      <c r="A4732" s="337">
        <v>89925</v>
      </c>
      <c r="B4732" s="338" t="s">
        <v>5410</v>
      </c>
      <c r="C4732" s="337" t="s">
        <v>178</v>
      </c>
      <c r="D4732" s="339">
        <v>6.73</v>
      </c>
    </row>
    <row r="4733" spans="1:4" ht="94.5">
      <c r="A4733" s="337">
        <v>89926</v>
      </c>
      <c r="B4733" s="338" t="s">
        <v>5411</v>
      </c>
      <c r="C4733" s="337" t="s">
        <v>178</v>
      </c>
      <c r="D4733" s="339">
        <v>10.19</v>
      </c>
    </row>
    <row r="4734" spans="1:4" ht="94.5">
      <c r="A4734" s="337">
        <v>89929</v>
      </c>
      <c r="B4734" s="338" t="s">
        <v>5412</v>
      </c>
      <c r="C4734" s="337" t="s">
        <v>178</v>
      </c>
      <c r="D4734" s="339">
        <v>13.09</v>
      </c>
    </row>
    <row r="4735" spans="1:4" ht="94.5">
      <c r="A4735" s="337">
        <v>89930</v>
      </c>
      <c r="B4735" s="338" t="s">
        <v>5413</v>
      </c>
      <c r="C4735" s="337" t="s">
        <v>178</v>
      </c>
      <c r="D4735" s="339">
        <v>14.05</v>
      </c>
    </row>
    <row r="4736" spans="1:4" ht="94.5">
      <c r="A4736" s="337">
        <v>89931</v>
      </c>
      <c r="B4736" s="338" t="s">
        <v>5414</v>
      </c>
      <c r="C4736" s="337" t="s">
        <v>178</v>
      </c>
      <c r="D4736" s="339">
        <v>17.690000000000001</v>
      </c>
    </row>
    <row r="4737" spans="1:4" ht="94.5">
      <c r="A4737" s="337">
        <v>89939</v>
      </c>
      <c r="B4737" s="338" t="s">
        <v>5415</v>
      </c>
      <c r="C4737" s="337" t="s">
        <v>178</v>
      </c>
      <c r="D4737" s="339">
        <v>5.82</v>
      </c>
    </row>
    <row r="4738" spans="1:4" ht="94.5">
      <c r="A4738" s="337">
        <v>89940</v>
      </c>
      <c r="B4738" s="338" t="s">
        <v>5416</v>
      </c>
      <c r="C4738" s="337" t="s">
        <v>178</v>
      </c>
      <c r="D4738" s="339">
        <v>5.84</v>
      </c>
    </row>
    <row r="4739" spans="1:4" ht="94.5">
      <c r="A4739" s="337">
        <v>89941</v>
      </c>
      <c r="B4739" s="338" t="s">
        <v>5417</v>
      </c>
      <c r="C4739" s="337" t="s">
        <v>178</v>
      </c>
      <c r="D4739" s="339">
        <v>6.1</v>
      </c>
    </row>
    <row r="4740" spans="1:4" ht="94.5">
      <c r="A4740" s="337">
        <v>89942</v>
      </c>
      <c r="B4740" s="338" t="s">
        <v>5418</v>
      </c>
      <c r="C4740" s="337" t="s">
        <v>178</v>
      </c>
      <c r="D4740" s="339">
        <v>6.02</v>
      </c>
    </row>
    <row r="4741" spans="1:4" ht="94.5">
      <c r="A4741" s="337">
        <v>89943</v>
      </c>
      <c r="B4741" s="338" t="s">
        <v>5419</v>
      </c>
      <c r="C4741" s="337" t="s">
        <v>178</v>
      </c>
      <c r="D4741" s="339">
        <v>6.28</v>
      </c>
    </row>
    <row r="4742" spans="1:4" ht="94.5">
      <c r="A4742" s="337">
        <v>89944</v>
      </c>
      <c r="B4742" s="338" t="s">
        <v>5420</v>
      </c>
      <c r="C4742" s="337" t="s">
        <v>178</v>
      </c>
      <c r="D4742" s="339">
        <v>9.3800000000000008</v>
      </c>
    </row>
    <row r="4743" spans="1:4" ht="94.5">
      <c r="A4743" s="337">
        <v>89947</v>
      </c>
      <c r="B4743" s="338" t="s">
        <v>5421</v>
      </c>
      <c r="C4743" s="337" t="s">
        <v>178</v>
      </c>
      <c r="D4743" s="339">
        <v>11.6</v>
      </c>
    </row>
    <row r="4744" spans="1:4" ht="94.5">
      <c r="A4744" s="337">
        <v>89948</v>
      </c>
      <c r="B4744" s="338" t="s">
        <v>5422</v>
      </c>
      <c r="C4744" s="337" t="s">
        <v>178</v>
      </c>
      <c r="D4744" s="339">
        <v>12.84</v>
      </c>
    </row>
    <row r="4745" spans="1:4" ht="94.5">
      <c r="A4745" s="337">
        <v>89949</v>
      </c>
      <c r="B4745" s="338" t="s">
        <v>5423</v>
      </c>
      <c r="C4745" s="337" t="s">
        <v>178</v>
      </c>
      <c r="D4745" s="339">
        <v>15.7</v>
      </c>
    </row>
    <row r="4746" spans="1:4" ht="40.5">
      <c r="A4746" s="337">
        <v>96520</v>
      </c>
      <c r="B4746" s="338" t="s">
        <v>5424</v>
      </c>
      <c r="C4746" s="337" t="s">
        <v>178</v>
      </c>
      <c r="D4746" s="339">
        <v>67.16</v>
      </c>
    </row>
    <row r="4747" spans="1:4" ht="40.5">
      <c r="A4747" s="337">
        <v>96521</v>
      </c>
      <c r="B4747" s="338" t="s">
        <v>5425</v>
      </c>
      <c r="C4747" s="337" t="s">
        <v>178</v>
      </c>
      <c r="D4747" s="339">
        <v>29.29</v>
      </c>
    </row>
    <row r="4748" spans="1:4" ht="40.5">
      <c r="A4748" s="337">
        <v>96522</v>
      </c>
      <c r="B4748" s="338" t="s">
        <v>5426</v>
      </c>
      <c r="C4748" s="337" t="s">
        <v>178</v>
      </c>
      <c r="D4748" s="339">
        <v>100.89</v>
      </c>
    </row>
    <row r="4749" spans="1:4" ht="40.5">
      <c r="A4749" s="337">
        <v>96523</v>
      </c>
      <c r="B4749" s="338" t="s">
        <v>5427</v>
      </c>
      <c r="C4749" s="337" t="s">
        <v>178</v>
      </c>
      <c r="D4749" s="339">
        <v>64.599999999999994</v>
      </c>
    </row>
    <row r="4750" spans="1:4" ht="40.5">
      <c r="A4750" s="337">
        <v>96524</v>
      </c>
      <c r="B4750" s="338" t="s">
        <v>5428</v>
      </c>
      <c r="C4750" s="337" t="s">
        <v>178</v>
      </c>
      <c r="D4750" s="339">
        <v>119.37</v>
      </c>
    </row>
    <row r="4751" spans="1:4" ht="40.5">
      <c r="A4751" s="337">
        <v>96525</v>
      </c>
      <c r="B4751" s="338" t="s">
        <v>5429</v>
      </c>
      <c r="C4751" s="337" t="s">
        <v>178</v>
      </c>
      <c r="D4751" s="339">
        <v>25.65</v>
      </c>
    </row>
    <row r="4752" spans="1:4" ht="40.5">
      <c r="A4752" s="337">
        <v>96526</v>
      </c>
      <c r="B4752" s="338" t="s">
        <v>5430</v>
      </c>
      <c r="C4752" s="337" t="s">
        <v>178</v>
      </c>
      <c r="D4752" s="339">
        <v>203.49</v>
      </c>
    </row>
    <row r="4753" spans="1:4" ht="40.5">
      <c r="A4753" s="337">
        <v>96527</v>
      </c>
      <c r="B4753" s="338" t="s">
        <v>5431</v>
      </c>
      <c r="C4753" s="337" t="s">
        <v>178</v>
      </c>
      <c r="D4753" s="339">
        <v>84.88</v>
      </c>
    </row>
    <row r="4754" spans="1:4" ht="54">
      <c r="A4754" s="337">
        <v>96528</v>
      </c>
      <c r="B4754" s="338" t="s">
        <v>5432</v>
      </c>
      <c r="C4754" s="337" t="s">
        <v>145</v>
      </c>
      <c r="D4754" s="339">
        <v>84.05</v>
      </c>
    </row>
    <row r="4755" spans="1:4" ht="94.5">
      <c r="A4755" s="337">
        <v>98116</v>
      </c>
      <c r="B4755" s="338" t="s">
        <v>5433</v>
      </c>
      <c r="C4755" s="337" t="s">
        <v>178</v>
      </c>
      <c r="D4755" s="339">
        <v>11.82</v>
      </c>
    </row>
    <row r="4756" spans="1:4" ht="94.5">
      <c r="A4756" s="337">
        <v>98117</v>
      </c>
      <c r="B4756" s="338" t="s">
        <v>5434</v>
      </c>
      <c r="C4756" s="337" t="s">
        <v>178</v>
      </c>
      <c r="D4756" s="339">
        <v>11.08</v>
      </c>
    </row>
    <row r="4757" spans="1:4" ht="94.5">
      <c r="A4757" s="337">
        <v>98118</v>
      </c>
      <c r="B4757" s="338" t="s">
        <v>5435</v>
      </c>
      <c r="C4757" s="337" t="s">
        <v>178</v>
      </c>
      <c r="D4757" s="339">
        <v>11.12</v>
      </c>
    </row>
    <row r="4758" spans="1:4" ht="94.5">
      <c r="A4758" s="337">
        <v>98119</v>
      </c>
      <c r="B4758" s="338" t="s">
        <v>5436</v>
      </c>
      <c r="C4758" s="337" t="s">
        <v>178</v>
      </c>
      <c r="D4758" s="339">
        <v>9.84</v>
      </c>
    </row>
    <row r="4759" spans="1:4" ht="54">
      <c r="A4759" s="337">
        <v>72915</v>
      </c>
      <c r="B4759" s="338" t="s">
        <v>5437</v>
      </c>
      <c r="C4759" s="337" t="s">
        <v>178</v>
      </c>
      <c r="D4759" s="339">
        <v>9.85</v>
      </c>
    </row>
    <row r="4760" spans="1:4" ht="54">
      <c r="A4760" s="337">
        <v>72917</v>
      </c>
      <c r="B4760" s="338" t="s">
        <v>5438</v>
      </c>
      <c r="C4760" s="337" t="s">
        <v>178</v>
      </c>
      <c r="D4760" s="339">
        <v>11.26</v>
      </c>
    </row>
    <row r="4761" spans="1:4" ht="54">
      <c r="A4761" s="337">
        <v>72918</v>
      </c>
      <c r="B4761" s="338" t="s">
        <v>5439</v>
      </c>
      <c r="C4761" s="337" t="s">
        <v>178</v>
      </c>
      <c r="D4761" s="339">
        <v>13.13</v>
      </c>
    </row>
    <row r="4762" spans="1:4" ht="40.5">
      <c r="A4762" s="337" t="s">
        <v>5440</v>
      </c>
      <c r="B4762" s="338" t="s">
        <v>5441</v>
      </c>
      <c r="C4762" s="337" t="s">
        <v>178</v>
      </c>
      <c r="D4762" s="339">
        <v>143.1</v>
      </c>
    </row>
    <row r="4763" spans="1:4" ht="27">
      <c r="A4763" s="337" t="s">
        <v>5442</v>
      </c>
      <c r="B4763" s="338" t="s">
        <v>5443</v>
      </c>
      <c r="C4763" s="337" t="s">
        <v>178</v>
      </c>
      <c r="D4763" s="339">
        <v>214.65</v>
      </c>
    </row>
    <row r="4764" spans="1:4" ht="40.5">
      <c r="A4764" s="337" t="s">
        <v>5444</v>
      </c>
      <c r="B4764" s="338" t="s">
        <v>5445</v>
      </c>
      <c r="C4764" s="337" t="s">
        <v>178</v>
      </c>
      <c r="D4764" s="339">
        <v>34.340000000000003</v>
      </c>
    </row>
    <row r="4765" spans="1:4" ht="40.5">
      <c r="A4765" s="337" t="s">
        <v>5446</v>
      </c>
      <c r="B4765" s="338" t="s">
        <v>5447</v>
      </c>
      <c r="C4765" s="337" t="s">
        <v>178</v>
      </c>
      <c r="D4765" s="339">
        <v>30.9</v>
      </c>
    </row>
    <row r="4766" spans="1:4" ht="40.5">
      <c r="A4766" s="337">
        <v>83343</v>
      </c>
      <c r="B4766" s="338" t="s">
        <v>5448</v>
      </c>
      <c r="C4766" s="337" t="s">
        <v>178</v>
      </c>
      <c r="D4766" s="339">
        <v>12.35</v>
      </c>
    </row>
    <row r="4767" spans="1:4" ht="94.5">
      <c r="A4767" s="337">
        <v>90082</v>
      </c>
      <c r="B4767" s="338" t="s">
        <v>5449</v>
      </c>
      <c r="C4767" s="337" t="s">
        <v>178</v>
      </c>
      <c r="D4767" s="339">
        <v>7.6</v>
      </c>
    </row>
    <row r="4768" spans="1:4" ht="94.5">
      <c r="A4768" s="337">
        <v>90084</v>
      </c>
      <c r="B4768" s="338" t="s">
        <v>5450</v>
      </c>
      <c r="C4768" s="337" t="s">
        <v>178</v>
      </c>
      <c r="D4768" s="339">
        <v>7.38</v>
      </c>
    </row>
    <row r="4769" spans="1:4" ht="108">
      <c r="A4769" s="337">
        <v>90085</v>
      </c>
      <c r="B4769" s="338" t="s">
        <v>5451</v>
      </c>
      <c r="C4769" s="337" t="s">
        <v>178</v>
      </c>
      <c r="D4769" s="339">
        <v>6.94</v>
      </c>
    </row>
    <row r="4770" spans="1:4" ht="94.5">
      <c r="A4770" s="337">
        <v>90086</v>
      </c>
      <c r="B4770" s="338" t="s">
        <v>5452</v>
      </c>
      <c r="C4770" s="337" t="s">
        <v>178</v>
      </c>
      <c r="D4770" s="339">
        <v>7.01</v>
      </c>
    </row>
    <row r="4771" spans="1:4" ht="94.5">
      <c r="A4771" s="337">
        <v>90087</v>
      </c>
      <c r="B4771" s="338" t="s">
        <v>5453</v>
      </c>
      <c r="C4771" s="337" t="s">
        <v>178</v>
      </c>
      <c r="D4771" s="339">
        <v>6.15</v>
      </c>
    </row>
    <row r="4772" spans="1:4" ht="94.5">
      <c r="A4772" s="337">
        <v>90088</v>
      </c>
      <c r="B4772" s="338" t="s">
        <v>5454</v>
      </c>
      <c r="C4772" s="337" t="s">
        <v>178</v>
      </c>
      <c r="D4772" s="339">
        <v>6.29</v>
      </c>
    </row>
    <row r="4773" spans="1:4" ht="108">
      <c r="A4773" s="337">
        <v>90090</v>
      </c>
      <c r="B4773" s="338" t="s">
        <v>5455</v>
      </c>
      <c r="C4773" s="337" t="s">
        <v>178</v>
      </c>
      <c r="D4773" s="339">
        <v>6.04</v>
      </c>
    </row>
    <row r="4774" spans="1:4" ht="94.5">
      <c r="A4774" s="337">
        <v>90091</v>
      </c>
      <c r="B4774" s="338" t="s">
        <v>5456</v>
      </c>
      <c r="C4774" s="337" t="s">
        <v>178</v>
      </c>
      <c r="D4774" s="339">
        <v>4.54</v>
      </c>
    </row>
    <row r="4775" spans="1:4" ht="108">
      <c r="A4775" s="337">
        <v>90092</v>
      </c>
      <c r="B4775" s="338" t="s">
        <v>5457</v>
      </c>
      <c r="C4775" s="337" t="s">
        <v>178</v>
      </c>
      <c r="D4775" s="339">
        <v>4.3899999999999997</v>
      </c>
    </row>
    <row r="4776" spans="1:4" ht="108">
      <c r="A4776" s="337">
        <v>90093</v>
      </c>
      <c r="B4776" s="338" t="s">
        <v>5458</v>
      </c>
      <c r="C4776" s="337" t="s">
        <v>178</v>
      </c>
      <c r="D4776" s="339">
        <v>4.12</v>
      </c>
    </row>
    <row r="4777" spans="1:4" ht="108">
      <c r="A4777" s="337">
        <v>90094</v>
      </c>
      <c r="B4777" s="338" t="s">
        <v>5459</v>
      </c>
      <c r="C4777" s="337" t="s">
        <v>178</v>
      </c>
      <c r="D4777" s="339">
        <v>4.17</v>
      </c>
    </row>
    <row r="4778" spans="1:4" ht="108">
      <c r="A4778" s="337">
        <v>90095</v>
      </c>
      <c r="B4778" s="338" t="s">
        <v>5460</v>
      </c>
      <c r="C4778" s="337" t="s">
        <v>178</v>
      </c>
      <c r="D4778" s="339">
        <v>3.67</v>
      </c>
    </row>
    <row r="4779" spans="1:4" ht="108">
      <c r="A4779" s="337">
        <v>90096</v>
      </c>
      <c r="B4779" s="338" t="s">
        <v>5461</v>
      </c>
      <c r="C4779" s="337" t="s">
        <v>178</v>
      </c>
      <c r="D4779" s="339">
        <v>3.75</v>
      </c>
    </row>
    <row r="4780" spans="1:4" ht="108">
      <c r="A4780" s="337">
        <v>90098</v>
      </c>
      <c r="B4780" s="338" t="s">
        <v>5462</v>
      </c>
      <c r="C4780" s="337" t="s">
        <v>178</v>
      </c>
      <c r="D4780" s="339">
        <v>3.59</v>
      </c>
    </row>
    <row r="4781" spans="1:4" ht="94.5">
      <c r="A4781" s="337">
        <v>90099</v>
      </c>
      <c r="B4781" s="338" t="s">
        <v>5463</v>
      </c>
      <c r="C4781" s="337" t="s">
        <v>178</v>
      </c>
      <c r="D4781" s="339">
        <v>10.07</v>
      </c>
    </row>
    <row r="4782" spans="1:4" ht="94.5">
      <c r="A4782" s="337">
        <v>90100</v>
      </c>
      <c r="B4782" s="338" t="s">
        <v>5464</v>
      </c>
      <c r="C4782" s="337" t="s">
        <v>178</v>
      </c>
      <c r="D4782" s="339">
        <v>8.5500000000000007</v>
      </c>
    </row>
    <row r="4783" spans="1:4" ht="94.5">
      <c r="A4783" s="337">
        <v>90101</v>
      </c>
      <c r="B4783" s="338" t="s">
        <v>5465</v>
      </c>
      <c r="C4783" s="337" t="s">
        <v>178</v>
      </c>
      <c r="D4783" s="339">
        <v>8.4600000000000009</v>
      </c>
    </row>
    <row r="4784" spans="1:4" ht="108">
      <c r="A4784" s="337">
        <v>90102</v>
      </c>
      <c r="B4784" s="338" t="s">
        <v>5466</v>
      </c>
      <c r="C4784" s="337" t="s">
        <v>178</v>
      </c>
      <c r="D4784" s="339">
        <v>7.69</v>
      </c>
    </row>
    <row r="4785" spans="1:4" ht="121.5">
      <c r="A4785" s="337">
        <v>90105</v>
      </c>
      <c r="B4785" s="338" t="s">
        <v>5467</v>
      </c>
      <c r="C4785" s="337" t="s">
        <v>178</v>
      </c>
      <c r="D4785" s="339">
        <v>6.01</v>
      </c>
    </row>
    <row r="4786" spans="1:4" ht="121.5">
      <c r="A4786" s="337">
        <v>90106</v>
      </c>
      <c r="B4786" s="338" t="s">
        <v>5468</v>
      </c>
      <c r="C4786" s="337" t="s">
        <v>178</v>
      </c>
      <c r="D4786" s="339">
        <v>5.1100000000000003</v>
      </c>
    </row>
    <row r="4787" spans="1:4" ht="121.5">
      <c r="A4787" s="337">
        <v>90107</v>
      </c>
      <c r="B4787" s="338" t="s">
        <v>5469</v>
      </c>
      <c r="C4787" s="337" t="s">
        <v>178</v>
      </c>
      <c r="D4787" s="339">
        <v>5.05</v>
      </c>
    </row>
    <row r="4788" spans="1:4" ht="121.5">
      <c r="A4788" s="337">
        <v>90108</v>
      </c>
      <c r="B4788" s="338" t="s">
        <v>5470</v>
      </c>
      <c r="C4788" s="337" t="s">
        <v>178</v>
      </c>
      <c r="D4788" s="339">
        <v>4.59</v>
      </c>
    </row>
    <row r="4789" spans="1:4" ht="40.5">
      <c r="A4789" s="337">
        <v>93358</v>
      </c>
      <c r="B4789" s="338" t="s">
        <v>5471</v>
      </c>
      <c r="C4789" s="337" t="s">
        <v>178</v>
      </c>
      <c r="D4789" s="339">
        <v>56.61</v>
      </c>
    </row>
    <row r="4790" spans="1:4" ht="27">
      <c r="A4790" s="337">
        <v>79482</v>
      </c>
      <c r="B4790" s="338" t="s">
        <v>5472</v>
      </c>
      <c r="C4790" s="337" t="s">
        <v>178</v>
      </c>
      <c r="D4790" s="339">
        <v>61.48</v>
      </c>
    </row>
    <row r="4791" spans="1:4" ht="81">
      <c r="A4791" s="337">
        <v>94304</v>
      </c>
      <c r="B4791" s="338" t="s">
        <v>5473</v>
      </c>
      <c r="C4791" s="337" t="s">
        <v>178</v>
      </c>
      <c r="D4791" s="339">
        <v>24.29</v>
      </c>
    </row>
    <row r="4792" spans="1:4" ht="81">
      <c r="A4792" s="337">
        <v>94305</v>
      </c>
      <c r="B4792" s="338" t="s">
        <v>5474</v>
      </c>
      <c r="C4792" s="337" t="s">
        <v>178</v>
      </c>
      <c r="D4792" s="339">
        <v>22.02</v>
      </c>
    </row>
    <row r="4793" spans="1:4" ht="81">
      <c r="A4793" s="337">
        <v>94306</v>
      </c>
      <c r="B4793" s="338" t="s">
        <v>5475</v>
      </c>
      <c r="C4793" s="337" t="s">
        <v>178</v>
      </c>
      <c r="D4793" s="339">
        <v>19.13</v>
      </c>
    </row>
    <row r="4794" spans="1:4" ht="81">
      <c r="A4794" s="337">
        <v>94307</v>
      </c>
      <c r="B4794" s="338" t="s">
        <v>5476</v>
      </c>
      <c r="C4794" s="337" t="s">
        <v>178</v>
      </c>
      <c r="D4794" s="339">
        <v>19.809999999999999</v>
      </c>
    </row>
    <row r="4795" spans="1:4" ht="81">
      <c r="A4795" s="337">
        <v>94308</v>
      </c>
      <c r="B4795" s="338" t="s">
        <v>5477</v>
      </c>
      <c r="C4795" s="337" t="s">
        <v>178</v>
      </c>
      <c r="D4795" s="339">
        <v>18.010000000000002</v>
      </c>
    </row>
    <row r="4796" spans="1:4" ht="81">
      <c r="A4796" s="337">
        <v>94309</v>
      </c>
      <c r="B4796" s="338" t="s">
        <v>5478</v>
      </c>
      <c r="C4796" s="337" t="s">
        <v>178</v>
      </c>
      <c r="D4796" s="339">
        <v>18.84</v>
      </c>
    </row>
    <row r="4797" spans="1:4" ht="81">
      <c r="A4797" s="337">
        <v>94310</v>
      </c>
      <c r="B4797" s="338" t="s">
        <v>5479</v>
      </c>
      <c r="C4797" s="337" t="s">
        <v>178</v>
      </c>
      <c r="D4797" s="339">
        <v>17.41</v>
      </c>
    </row>
    <row r="4798" spans="1:4" ht="67.5">
      <c r="A4798" s="337">
        <v>94315</v>
      </c>
      <c r="B4798" s="338" t="s">
        <v>5480</v>
      </c>
      <c r="C4798" s="337" t="s">
        <v>178</v>
      </c>
      <c r="D4798" s="339">
        <v>28.34</v>
      </c>
    </row>
    <row r="4799" spans="1:4" ht="81">
      <c r="A4799" s="337">
        <v>94316</v>
      </c>
      <c r="B4799" s="338" t="s">
        <v>5481</v>
      </c>
      <c r="C4799" s="337" t="s">
        <v>178</v>
      </c>
      <c r="D4799" s="339">
        <v>23.18</v>
      </c>
    </row>
    <row r="4800" spans="1:4" ht="81">
      <c r="A4800" s="337">
        <v>94317</v>
      </c>
      <c r="B4800" s="338" t="s">
        <v>5482</v>
      </c>
      <c r="C4800" s="337" t="s">
        <v>178</v>
      </c>
      <c r="D4800" s="339">
        <v>20.91</v>
      </c>
    </row>
    <row r="4801" spans="1:4" ht="81">
      <c r="A4801" s="337">
        <v>94318</v>
      </c>
      <c r="B4801" s="338" t="s">
        <v>5483</v>
      </c>
      <c r="C4801" s="337" t="s">
        <v>178</v>
      </c>
      <c r="D4801" s="339">
        <v>17.97</v>
      </c>
    </row>
    <row r="4802" spans="1:4" ht="40.5">
      <c r="A4802" s="337">
        <v>94319</v>
      </c>
      <c r="B4802" s="338" t="s">
        <v>5484</v>
      </c>
      <c r="C4802" s="337" t="s">
        <v>178</v>
      </c>
      <c r="D4802" s="339">
        <v>31.23</v>
      </c>
    </row>
    <row r="4803" spans="1:4" ht="81">
      <c r="A4803" s="337">
        <v>94327</v>
      </c>
      <c r="B4803" s="338" t="s">
        <v>5485</v>
      </c>
      <c r="C4803" s="337" t="s">
        <v>178</v>
      </c>
      <c r="D4803" s="339">
        <v>62.96</v>
      </c>
    </row>
    <row r="4804" spans="1:4" ht="81">
      <c r="A4804" s="337">
        <v>94328</v>
      </c>
      <c r="B4804" s="338" t="s">
        <v>5486</v>
      </c>
      <c r="C4804" s="337" t="s">
        <v>178</v>
      </c>
      <c r="D4804" s="339">
        <v>60.69</v>
      </c>
    </row>
    <row r="4805" spans="1:4" ht="81">
      <c r="A4805" s="337">
        <v>94329</v>
      </c>
      <c r="B4805" s="338" t="s">
        <v>5487</v>
      </c>
      <c r="C4805" s="337" t="s">
        <v>178</v>
      </c>
      <c r="D4805" s="339">
        <v>57.8</v>
      </c>
    </row>
    <row r="4806" spans="1:4" ht="81">
      <c r="A4806" s="337">
        <v>94330</v>
      </c>
      <c r="B4806" s="338" t="s">
        <v>5488</v>
      </c>
      <c r="C4806" s="337" t="s">
        <v>178</v>
      </c>
      <c r="D4806" s="339">
        <v>58.48</v>
      </c>
    </row>
    <row r="4807" spans="1:4" ht="81">
      <c r="A4807" s="337">
        <v>94331</v>
      </c>
      <c r="B4807" s="338" t="s">
        <v>5489</v>
      </c>
      <c r="C4807" s="337" t="s">
        <v>178</v>
      </c>
      <c r="D4807" s="339">
        <v>56.68</v>
      </c>
    </row>
    <row r="4808" spans="1:4" ht="81">
      <c r="A4808" s="337">
        <v>94332</v>
      </c>
      <c r="B4808" s="338" t="s">
        <v>5490</v>
      </c>
      <c r="C4808" s="337" t="s">
        <v>178</v>
      </c>
      <c r="D4808" s="339">
        <v>57.51</v>
      </c>
    </row>
    <row r="4809" spans="1:4" ht="81">
      <c r="A4809" s="337">
        <v>94333</v>
      </c>
      <c r="B4809" s="338" t="s">
        <v>5491</v>
      </c>
      <c r="C4809" s="337" t="s">
        <v>178</v>
      </c>
      <c r="D4809" s="339">
        <v>56.08</v>
      </c>
    </row>
    <row r="4810" spans="1:4" ht="67.5">
      <c r="A4810" s="337">
        <v>94338</v>
      </c>
      <c r="B4810" s="338" t="s">
        <v>5492</v>
      </c>
      <c r="C4810" s="337" t="s">
        <v>178</v>
      </c>
      <c r="D4810" s="339">
        <v>67.010000000000005</v>
      </c>
    </row>
    <row r="4811" spans="1:4" ht="81">
      <c r="A4811" s="337">
        <v>94339</v>
      </c>
      <c r="B4811" s="338" t="s">
        <v>5493</v>
      </c>
      <c r="C4811" s="337" t="s">
        <v>178</v>
      </c>
      <c r="D4811" s="339">
        <v>61.85</v>
      </c>
    </row>
    <row r="4812" spans="1:4" ht="81">
      <c r="A4812" s="337">
        <v>94340</v>
      </c>
      <c r="B4812" s="338" t="s">
        <v>5494</v>
      </c>
      <c r="C4812" s="337" t="s">
        <v>178</v>
      </c>
      <c r="D4812" s="339">
        <v>59.58</v>
      </c>
    </row>
    <row r="4813" spans="1:4" ht="81">
      <c r="A4813" s="337">
        <v>94341</v>
      </c>
      <c r="B4813" s="338" t="s">
        <v>5495</v>
      </c>
      <c r="C4813" s="337" t="s">
        <v>178</v>
      </c>
      <c r="D4813" s="339">
        <v>56.64</v>
      </c>
    </row>
    <row r="4814" spans="1:4" ht="40.5">
      <c r="A4814" s="337">
        <v>94342</v>
      </c>
      <c r="B4814" s="338" t="s">
        <v>5496</v>
      </c>
      <c r="C4814" s="337" t="s">
        <v>178</v>
      </c>
      <c r="D4814" s="339">
        <v>69.900000000000006</v>
      </c>
    </row>
    <row r="4815" spans="1:4" ht="54">
      <c r="A4815" s="337">
        <v>96385</v>
      </c>
      <c r="B4815" s="338" t="s">
        <v>5497</v>
      </c>
      <c r="C4815" s="337" t="s">
        <v>178</v>
      </c>
      <c r="D4815" s="339">
        <v>4.8499999999999996</v>
      </c>
    </row>
    <row r="4816" spans="1:4" ht="54">
      <c r="A4816" s="337">
        <v>96386</v>
      </c>
      <c r="B4816" s="338" t="s">
        <v>5498</v>
      </c>
      <c r="C4816" s="337" t="s">
        <v>178</v>
      </c>
      <c r="D4816" s="339">
        <v>4.67</v>
      </c>
    </row>
    <row r="4817" spans="1:4" ht="27">
      <c r="A4817" s="337">
        <v>83346</v>
      </c>
      <c r="B4817" s="338" t="s">
        <v>5499</v>
      </c>
      <c r="C4817" s="337" t="s">
        <v>178</v>
      </c>
      <c r="D4817" s="339">
        <v>0.88</v>
      </c>
    </row>
    <row r="4818" spans="1:4" ht="94.5">
      <c r="A4818" s="337">
        <v>93360</v>
      </c>
      <c r="B4818" s="338" t="s">
        <v>5500</v>
      </c>
      <c r="C4818" s="337" t="s">
        <v>178</v>
      </c>
      <c r="D4818" s="339">
        <v>13.21</v>
      </c>
    </row>
    <row r="4819" spans="1:4" ht="94.5">
      <c r="A4819" s="337">
        <v>93361</v>
      </c>
      <c r="B4819" s="338" t="s">
        <v>5501</v>
      </c>
      <c r="C4819" s="337" t="s">
        <v>178</v>
      </c>
      <c r="D4819" s="339">
        <v>11.02</v>
      </c>
    </row>
    <row r="4820" spans="1:4" ht="108">
      <c r="A4820" s="337">
        <v>93362</v>
      </c>
      <c r="B4820" s="338" t="s">
        <v>5502</v>
      </c>
      <c r="C4820" s="337" t="s">
        <v>178</v>
      </c>
      <c r="D4820" s="339">
        <v>8.08</v>
      </c>
    </row>
    <row r="4821" spans="1:4" ht="94.5">
      <c r="A4821" s="337">
        <v>93363</v>
      </c>
      <c r="B4821" s="338" t="s">
        <v>5503</v>
      </c>
      <c r="C4821" s="337" t="s">
        <v>178</v>
      </c>
      <c r="D4821" s="339">
        <v>8.73</v>
      </c>
    </row>
    <row r="4822" spans="1:4" ht="108">
      <c r="A4822" s="337">
        <v>93364</v>
      </c>
      <c r="B4822" s="338" t="s">
        <v>5504</v>
      </c>
      <c r="C4822" s="337" t="s">
        <v>178</v>
      </c>
      <c r="D4822" s="339">
        <v>6.93</v>
      </c>
    </row>
    <row r="4823" spans="1:4" ht="94.5">
      <c r="A4823" s="337">
        <v>93365</v>
      </c>
      <c r="B4823" s="338" t="s">
        <v>5505</v>
      </c>
      <c r="C4823" s="337" t="s">
        <v>178</v>
      </c>
      <c r="D4823" s="339">
        <v>7.71</v>
      </c>
    </row>
    <row r="4824" spans="1:4" ht="108">
      <c r="A4824" s="337">
        <v>93366</v>
      </c>
      <c r="B4824" s="338" t="s">
        <v>5506</v>
      </c>
      <c r="C4824" s="337" t="s">
        <v>178</v>
      </c>
      <c r="D4824" s="339">
        <v>6.35</v>
      </c>
    </row>
    <row r="4825" spans="1:4" ht="94.5">
      <c r="A4825" s="337">
        <v>93367</v>
      </c>
      <c r="B4825" s="338" t="s">
        <v>5507</v>
      </c>
      <c r="C4825" s="337" t="s">
        <v>178</v>
      </c>
      <c r="D4825" s="339">
        <v>12.31</v>
      </c>
    </row>
    <row r="4826" spans="1:4" ht="94.5">
      <c r="A4826" s="337">
        <v>93368</v>
      </c>
      <c r="B4826" s="338" t="s">
        <v>5508</v>
      </c>
      <c r="C4826" s="337" t="s">
        <v>178</v>
      </c>
      <c r="D4826" s="339">
        <v>10.06</v>
      </c>
    </row>
    <row r="4827" spans="1:4" ht="108">
      <c r="A4827" s="337">
        <v>93369</v>
      </c>
      <c r="B4827" s="338" t="s">
        <v>5509</v>
      </c>
      <c r="C4827" s="337" t="s">
        <v>178</v>
      </c>
      <c r="D4827" s="339">
        <v>7.17</v>
      </c>
    </row>
    <row r="4828" spans="1:4" ht="94.5">
      <c r="A4828" s="337">
        <v>93370</v>
      </c>
      <c r="B4828" s="338" t="s">
        <v>5510</v>
      </c>
      <c r="C4828" s="337" t="s">
        <v>178</v>
      </c>
      <c r="D4828" s="339">
        <v>7.85</v>
      </c>
    </row>
    <row r="4829" spans="1:4" ht="108">
      <c r="A4829" s="337">
        <v>93371</v>
      </c>
      <c r="B4829" s="338" t="s">
        <v>5511</v>
      </c>
      <c r="C4829" s="337" t="s">
        <v>178</v>
      </c>
      <c r="D4829" s="339">
        <v>6.05</v>
      </c>
    </row>
    <row r="4830" spans="1:4" ht="94.5">
      <c r="A4830" s="337">
        <v>93372</v>
      </c>
      <c r="B4830" s="338" t="s">
        <v>5512</v>
      </c>
      <c r="C4830" s="337" t="s">
        <v>178</v>
      </c>
      <c r="D4830" s="339">
        <v>6.88</v>
      </c>
    </row>
    <row r="4831" spans="1:4" ht="108">
      <c r="A4831" s="337">
        <v>93373</v>
      </c>
      <c r="B4831" s="338" t="s">
        <v>5513</v>
      </c>
      <c r="C4831" s="337" t="s">
        <v>178</v>
      </c>
      <c r="D4831" s="339">
        <v>5.46</v>
      </c>
    </row>
    <row r="4832" spans="1:4" ht="94.5">
      <c r="A4832" s="337">
        <v>93374</v>
      </c>
      <c r="B4832" s="338" t="s">
        <v>5514</v>
      </c>
      <c r="C4832" s="337" t="s">
        <v>178</v>
      </c>
      <c r="D4832" s="339">
        <v>15.22</v>
      </c>
    </row>
    <row r="4833" spans="1:4" ht="94.5">
      <c r="A4833" s="337">
        <v>93375</v>
      </c>
      <c r="B4833" s="338" t="s">
        <v>5515</v>
      </c>
      <c r="C4833" s="337" t="s">
        <v>178</v>
      </c>
      <c r="D4833" s="339">
        <v>11.68</v>
      </c>
    </row>
    <row r="4834" spans="1:4" ht="94.5">
      <c r="A4834" s="337">
        <v>93376</v>
      </c>
      <c r="B4834" s="338" t="s">
        <v>5516</v>
      </c>
      <c r="C4834" s="337" t="s">
        <v>178</v>
      </c>
      <c r="D4834" s="339">
        <v>9.56</v>
      </c>
    </row>
    <row r="4835" spans="1:4" ht="108">
      <c r="A4835" s="337">
        <v>93377</v>
      </c>
      <c r="B4835" s="338" t="s">
        <v>5517</v>
      </c>
      <c r="C4835" s="337" t="s">
        <v>178</v>
      </c>
      <c r="D4835" s="339">
        <v>6.47</v>
      </c>
    </row>
    <row r="4836" spans="1:4" ht="94.5">
      <c r="A4836" s="337">
        <v>93378</v>
      </c>
      <c r="B4836" s="338" t="s">
        <v>5518</v>
      </c>
      <c r="C4836" s="337" t="s">
        <v>178</v>
      </c>
      <c r="D4836" s="339">
        <v>14.15</v>
      </c>
    </row>
    <row r="4837" spans="1:4" ht="94.5">
      <c r="A4837" s="337">
        <v>93379</v>
      </c>
      <c r="B4837" s="338" t="s">
        <v>5519</v>
      </c>
      <c r="C4837" s="337" t="s">
        <v>178</v>
      </c>
      <c r="D4837" s="339">
        <v>10.88</v>
      </c>
    </row>
    <row r="4838" spans="1:4" ht="94.5">
      <c r="A4838" s="337">
        <v>93380</v>
      </c>
      <c r="B4838" s="338" t="s">
        <v>5520</v>
      </c>
      <c r="C4838" s="337" t="s">
        <v>178</v>
      </c>
      <c r="D4838" s="339">
        <v>8.94</v>
      </c>
    </row>
    <row r="4839" spans="1:4" ht="108">
      <c r="A4839" s="337">
        <v>93381</v>
      </c>
      <c r="B4839" s="338" t="s">
        <v>5521</v>
      </c>
      <c r="C4839" s="337" t="s">
        <v>178</v>
      </c>
      <c r="D4839" s="339">
        <v>6.02</v>
      </c>
    </row>
    <row r="4840" spans="1:4" ht="27">
      <c r="A4840" s="337">
        <v>93382</v>
      </c>
      <c r="B4840" s="338" t="s">
        <v>5522</v>
      </c>
      <c r="C4840" s="337" t="s">
        <v>178</v>
      </c>
      <c r="D4840" s="339">
        <v>19.27</v>
      </c>
    </row>
    <row r="4841" spans="1:4" ht="27">
      <c r="A4841" s="337">
        <v>96995</v>
      </c>
      <c r="B4841" s="338" t="s">
        <v>5523</v>
      </c>
      <c r="C4841" s="337" t="s">
        <v>178</v>
      </c>
      <c r="D4841" s="339">
        <v>34.32</v>
      </c>
    </row>
    <row r="4842" spans="1:4" ht="40.5">
      <c r="A4842" s="337">
        <v>72838</v>
      </c>
      <c r="B4842" s="338" t="s">
        <v>5524</v>
      </c>
      <c r="C4842" s="337" t="s">
        <v>5525</v>
      </c>
      <c r="D4842" s="339">
        <v>0.87</v>
      </c>
    </row>
    <row r="4843" spans="1:4" ht="40.5">
      <c r="A4843" s="337">
        <v>72839</v>
      </c>
      <c r="B4843" s="338" t="s">
        <v>5526</v>
      </c>
      <c r="C4843" s="337" t="s">
        <v>5525</v>
      </c>
      <c r="D4843" s="339">
        <v>0.7</v>
      </c>
    </row>
    <row r="4844" spans="1:4" ht="27">
      <c r="A4844" s="337">
        <v>72840</v>
      </c>
      <c r="B4844" s="338" t="s">
        <v>5527</v>
      </c>
      <c r="C4844" s="337" t="s">
        <v>5525</v>
      </c>
      <c r="D4844" s="339">
        <v>0.57999999999999996</v>
      </c>
    </row>
    <row r="4845" spans="1:4" ht="54">
      <c r="A4845" s="337">
        <v>72844</v>
      </c>
      <c r="B4845" s="338" t="s">
        <v>5528</v>
      </c>
      <c r="C4845" s="337" t="s">
        <v>5529</v>
      </c>
      <c r="D4845" s="339">
        <v>0.76</v>
      </c>
    </row>
    <row r="4846" spans="1:4" ht="40.5">
      <c r="A4846" s="337">
        <v>72845</v>
      </c>
      <c r="B4846" s="338" t="s">
        <v>5530</v>
      </c>
      <c r="C4846" s="337" t="s">
        <v>5529</v>
      </c>
      <c r="D4846" s="339">
        <v>4.58</v>
      </c>
    </row>
    <row r="4847" spans="1:4" ht="40.5">
      <c r="A4847" s="337">
        <v>72846</v>
      </c>
      <c r="B4847" s="338" t="s">
        <v>5531</v>
      </c>
      <c r="C4847" s="337" t="s">
        <v>5529</v>
      </c>
      <c r="D4847" s="339">
        <v>3.78</v>
      </c>
    </row>
    <row r="4848" spans="1:4" ht="40.5">
      <c r="A4848" s="337">
        <v>72847</v>
      </c>
      <c r="B4848" s="338" t="s">
        <v>5532</v>
      </c>
      <c r="C4848" s="337" t="s">
        <v>5529</v>
      </c>
      <c r="D4848" s="339">
        <v>8.16</v>
      </c>
    </row>
    <row r="4849" spans="1:4" ht="40.5">
      <c r="A4849" s="337">
        <v>72848</v>
      </c>
      <c r="B4849" s="338" t="s">
        <v>5533</v>
      </c>
      <c r="C4849" s="337" t="s">
        <v>5529</v>
      </c>
      <c r="D4849" s="339">
        <v>2.04</v>
      </c>
    </row>
    <row r="4850" spans="1:4" ht="54">
      <c r="A4850" s="337">
        <v>72849</v>
      </c>
      <c r="B4850" s="338" t="s">
        <v>5534</v>
      </c>
      <c r="C4850" s="337" t="s">
        <v>5529</v>
      </c>
      <c r="D4850" s="339">
        <v>2.61</v>
      </c>
    </row>
    <row r="4851" spans="1:4" ht="40.5">
      <c r="A4851" s="337">
        <v>72850</v>
      </c>
      <c r="B4851" s="338" t="s">
        <v>5535</v>
      </c>
      <c r="C4851" s="337" t="s">
        <v>5529</v>
      </c>
      <c r="D4851" s="339">
        <v>10.95</v>
      </c>
    </row>
    <row r="4852" spans="1:4" ht="40.5">
      <c r="A4852" s="337">
        <v>72882</v>
      </c>
      <c r="B4852" s="338" t="s">
        <v>5524</v>
      </c>
      <c r="C4852" s="337" t="s">
        <v>193</v>
      </c>
      <c r="D4852" s="339">
        <v>1.29</v>
      </c>
    </row>
    <row r="4853" spans="1:4" ht="40.5">
      <c r="A4853" s="337">
        <v>72883</v>
      </c>
      <c r="B4853" s="338" t="s">
        <v>5526</v>
      </c>
      <c r="C4853" s="337" t="s">
        <v>193</v>
      </c>
      <c r="D4853" s="339">
        <v>1.03</v>
      </c>
    </row>
    <row r="4854" spans="1:4" ht="27">
      <c r="A4854" s="337">
        <v>72884</v>
      </c>
      <c r="B4854" s="338" t="s">
        <v>5527</v>
      </c>
      <c r="C4854" s="337" t="s">
        <v>193</v>
      </c>
      <c r="D4854" s="339">
        <v>0.87</v>
      </c>
    </row>
    <row r="4855" spans="1:4" ht="54">
      <c r="A4855" s="337">
        <v>72888</v>
      </c>
      <c r="B4855" s="338" t="s">
        <v>5528</v>
      </c>
      <c r="C4855" s="337" t="s">
        <v>178</v>
      </c>
      <c r="D4855" s="339">
        <v>1.1399999999999999</v>
      </c>
    </row>
    <row r="4856" spans="1:4" ht="54">
      <c r="A4856" s="337">
        <v>72890</v>
      </c>
      <c r="B4856" s="338" t="s">
        <v>5536</v>
      </c>
      <c r="C4856" s="337" t="s">
        <v>178</v>
      </c>
      <c r="D4856" s="339">
        <v>6.89</v>
      </c>
    </row>
    <row r="4857" spans="1:4" ht="54">
      <c r="A4857" s="337">
        <v>72891</v>
      </c>
      <c r="B4857" s="338" t="s">
        <v>5537</v>
      </c>
      <c r="C4857" s="337" t="s">
        <v>178</v>
      </c>
      <c r="D4857" s="339">
        <v>5.68</v>
      </c>
    </row>
    <row r="4858" spans="1:4" ht="54">
      <c r="A4858" s="337">
        <v>72892</v>
      </c>
      <c r="B4858" s="338" t="s">
        <v>5538</v>
      </c>
      <c r="C4858" s="337" t="s">
        <v>178</v>
      </c>
      <c r="D4858" s="339">
        <v>12.24</v>
      </c>
    </row>
    <row r="4859" spans="1:4" ht="54">
      <c r="A4859" s="337">
        <v>72893</v>
      </c>
      <c r="B4859" s="338" t="s">
        <v>5539</v>
      </c>
      <c r="C4859" s="337" t="s">
        <v>178</v>
      </c>
      <c r="D4859" s="339">
        <v>3.05</v>
      </c>
    </row>
    <row r="4860" spans="1:4" ht="54">
      <c r="A4860" s="337">
        <v>72894</v>
      </c>
      <c r="B4860" s="338" t="s">
        <v>5540</v>
      </c>
      <c r="C4860" s="337" t="s">
        <v>178</v>
      </c>
      <c r="D4860" s="339">
        <v>3.91</v>
      </c>
    </row>
    <row r="4861" spans="1:4" ht="40.5">
      <c r="A4861" s="337">
        <v>72895</v>
      </c>
      <c r="B4861" s="338" t="s">
        <v>5541</v>
      </c>
      <c r="C4861" s="337" t="s">
        <v>178</v>
      </c>
      <c r="D4861" s="339">
        <v>20.65</v>
      </c>
    </row>
    <row r="4862" spans="1:4" ht="27">
      <c r="A4862" s="337">
        <v>72897</v>
      </c>
      <c r="B4862" s="338" t="s">
        <v>5542</v>
      </c>
      <c r="C4862" s="337" t="s">
        <v>178</v>
      </c>
      <c r="D4862" s="339">
        <v>17.34</v>
      </c>
    </row>
    <row r="4863" spans="1:4" ht="27">
      <c r="A4863" s="337">
        <v>72898</v>
      </c>
      <c r="B4863" s="338" t="s">
        <v>5543</v>
      </c>
      <c r="C4863" s="337" t="s">
        <v>178</v>
      </c>
      <c r="D4863" s="339">
        <v>3.45</v>
      </c>
    </row>
    <row r="4864" spans="1:4" ht="40.5">
      <c r="A4864" s="337">
        <v>72899</v>
      </c>
      <c r="B4864" s="338" t="s">
        <v>5544</v>
      </c>
      <c r="C4864" s="337" t="s">
        <v>178</v>
      </c>
      <c r="D4864" s="339">
        <v>5.33</v>
      </c>
    </row>
    <row r="4865" spans="1:4" ht="40.5">
      <c r="A4865" s="337">
        <v>72900</v>
      </c>
      <c r="B4865" s="338" t="s">
        <v>5545</v>
      </c>
      <c r="C4865" s="337" t="s">
        <v>178</v>
      </c>
      <c r="D4865" s="339">
        <v>5.87</v>
      </c>
    </row>
    <row r="4866" spans="1:4" ht="67.5">
      <c r="A4866" s="337" t="s">
        <v>5546</v>
      </c>
      <c r="B4866" s="338" t="s">
        <v>5547</v>
      </c>
      <c r="C4866" s="337" t="s">
        <v>178</v>
      </c>
      <c r="D4866" s="339">
        <v>1.5</v>
      </c>
    </row>
    <row r="4867" spans="1:4" ht="40.5">
      <c r="A4867" s="337" t="s">
        <v>5548</v>
      </c>
      <c r="B4867" s="338" t="s">
        <v>5549</v>
      </c>
      <c r="C4867" s="337" t="s">
        <v>178</v>
      </c>
      <c r="D4867" s="339">
        <v>2.91</v>
      </c>
    </row>
    <row r="4868" spans="1:4" ht="13.5">
      <c r="A4868" s="337">
        <v>83356</v>
      </c>
      <c r="B4868" s="338" t="s">
        <v>5550</v>
      </c>
      <c r="C4868" s="337" t="s">
        <v>193</v>
      </c>
      <c r="D4868" s="339">
        <v>0.77</v>
      </c>
    </row>
    <row r="4869" spans="1:4" ht="27">
      <c r="A4869" s="337">
        <v>83358</v>
      </c>
      <c r="B4869" s="338" t="s">
        <v>5551</v>
      </c>
      <c r="C4869" s="337" t="s">
        <v>193</v>
      </c>
      <c r="D4869" s="339">
        <v>1.6</v>
      </c>
    </row>
    <row r="4870" spans="1:4" ht="40.5">
      <c r="A4870" s="337">
        <v>95303</v>
      </c>
      <c r="B4870" s="338" t="s">
        <v>5552</v>
      </c>
      <c r="C4870" s="337" t="s">
        <v>193</v>
      </c>
      <c r="D4870" s="339">
        <v>0.99</v>
      </c>
    </row>
    <row r="4871" spans="1:4" ht="40.5">
      <c r="A4871" s="337">
        <v>97912</v>
      </c>
      <c r="B4871" s="338" t="s">
        <v>5553</v>
      </c>
      <c r="C4871" s="337" t="s">
        <v>193</v>
      </c>
      <c r="D4871" s="339">
        <v>2.12</v>
      </c>
    </row>
    <row r="4872" spans="1:4" ht="40.5">
      <c r="A4872" s="337">
        <v>97913</v>
      </c>
      <c r="B4872" s="338" t="s">
        <v>5554</v>
      </c>
      <c r="C4872" s="337" t="s">
        <v>193</v>
      </c>
      <c r="D4872" s="339">
        <v>1.62</v>
      </c>
    </row>
    <row r="4873" spans="1:4" ht="40.5">
      <c r="A4873" s="337">
        <v>97914</v>
      </c>
      <c r="B4873" s="338" t="s">
        <v>5555</v>
      </c>
      <c r="C4873" s="337" t="s">
        <v>193</v>
      </c>
      <c r="D4873" s="339">
        <v>1.52</v>
      </c>
    </row>
    <row r="4874" spans="1:4" ht="54">
      <c r="A4874" s="337">
        <v>97915</v>
      </c>
      <c r="B4874" s="338" t="s">
        <v>5556</v>
      </c>
      <c r="C4874" s="337" t="s">
        <v>193</v>
      </c>
      <c r="D4874" s="339">
        <v>1.08</v>
      </c>
    </row>
    <row r="4875" spans="1:4" ht="40.5">
      <c r="A4875" s="337">
        <v>97916</v>
      </c>
      <c r="B4875" s="338" t="s">
        <v>5557</v>
      </c>
      <c r="C4875" s="337" t="s">
        <v>5525</v>
      </c>
      <c r="D4875" s="339">
        <v>1.4</v>
      </c>
    </row>
    <row r="4876" spans="1:4" ht="40.5">
      <c r="A4876" s="337">
        <v>97917</v>
      </c>
      <c r="B4876" s="338" t="s">
        <v>5558</v>
      </c>
      <c r="C4876" s="337" t="s">
        <v>5525</v>
      </c>
      <c r="D4876" s="339">
        <v>1.08</v>
      </c>
    </row>
    <row r="4877" spans="1:4" ht="40.5">
      <c r="A4877" s="337">
        <v>97918</v>
      </c>
      <c r="B4877" s="338" t="s">
        <v>5559</v>
      </c>
      <c r="C4877" s="337" t="s">
        <v>5525</v>
      </c>
      <c r="D4877" s="339">
        <v>1</v>
      </c>
    </row>
    <row r="4878" spans="1:4" ht="54">
      <c r="A4878" s="337">
        <v>97919</v>
      </c>
      <c r="B4878" s="338" t="s">
        <v>5560</v>
      </c>
      <c r="C4878" s="337" t="s">
        <v>5525</v>
      </c>
      <c r="D4878" s="339">
        <v>0.71</v>
      </c>
    </row>
    <row r="4879" spans="1:4" ht="40.5">
      <c r="A4879" s="337">
        <v>94097</v>
      </c>
      <c r="B4879" s="338" t="s">
        <v>5561</v>
      </c>
      <c r="C4879" s="337" t="s">
        <v>145</v>
      </c>
      <c r="D4879" s="339">
        <v>4.1500000000000004</v>
      </c>
    </row>
    <row r="4880" spans="1:4" ht="40.5">
      <c r="A4880" s="337">
        <v>94098</v>
      </c>
      <c r="B4880" s="338" t="s">
        <v>5562</v>
      </c>
      <c r="C4880" s="337" t="s">
        <v>145</v>
      </c>
      <c r="D4880" s="339">
        <v>4.74</v>
      </c>
    </row>
    <row r="4881" spans="1:4" ht="54">
      <c r="A4881" s="337">
        <v>94099</v>
      </c>
      <c r="B4881" s="338" t="s">
        <v>5563</v>
      </c>
      <c r="C4881" s="337" t="s">
        <v>145</v>
      </c>
      <c r="D4881" s="339">
        <v>2.0699999999999998</v>
      </c>
    </row>
    <row r="4882" spans="1:4" ht="54">
      <c r="A4882" s="337">
        <v>94100</v>
      </c>
      <c r="B4882" s="338" t="s">
        <v>5564</v>
      </c>
      <c r="C4882" s="337" t="s">
        <v>145</v>
      </c>
      <c r="D4882" s="339">
        <v>2.65</v>
      </c>
    </row>
    <row r="4883" spans="1:4" ht="67.5">
      <c r="A4883" s="337">
        <v>94102</v>
      </c>
      <c r="B4883" s="338" t="s">
        <v>5565</v>
      </c>
      <c r="C4883" s="337" t="s">
        <v>178</v>
      </c>
      <c r="D4883" s="339">
        <v>151.87</v>
      </c>
    </row>
    <row r="4884" spans="1:4" ht="67.5">
      <c r="A4884" s="337">
        <v>94103</v>
      </c>
      <c r="B4884" s="338" t="s">
        <v>5566</v>
      </c>
      <c r="C4884" s="337" t="s">
        <v>178</v>
      </c>
      <c r="D4884" s="339">
        <v>191.2</v>
      </c>
    </row>
    <row r="4885" spans="1:4" ht="54">
      <c r="A4885" s="337">
        <v>94104</v>
      </c>
      <c r="B4885" s="338" t="s">
        <v>5567</v>
      </c>
      <c r="C4885" s="337" t="s">
        <v>178</v>
      </c>
      <c r="D4885" s="339">
        <v>155.16999999999999</v>
      </c>
    </row>
    <row r="4886" spans="1:4" ht="54">
      <c r="A4886" s="337">
        <v>94105</v>
      </c>
      <c r="B4886" s="338" t="s">
        <v>5568</v>
      </c>
      <c r="C4886" s="337" t="s">
        <v>178</v>
      </c>
      <c r="D4886" s="339">
        <v>194.54</v>
      </c>
    </row>
    <row r="4887" spans="1:4" ht="67.5">
      <c r="A4887" s="337">
        <v>94106</v>
      </c>
      <c r="B4887" s="338" t="s">
        <v>5569</v>
      </c>
      <c r="C4887" s="337" t="s">
        <v>178</v>
      </c>
      <c r="D4887" s="339">
        <v>135.34</v>
      </c>
    </row>
    <row r="4888" spans="1:4" ht="67.5">
      <c r="A4888" s="337">
        <v>94107</v>
      </c>
      <c r="B4888" s="338" t="s">
        <v>5570</v>
      </c>
      <c r="C4888" s="337" t="s">
        <v>178</v>
      </c>
      <c r="D4888" s="339">
        <v>174.71</v>
      </c>
    </row>
    <row r="4889" spans="1:4" ht="54">
      <c r="A4889" s="337">
        <v>94108</v>
      </c>
      <c r="B4889" s="338" t="s">
        <v>5571</v>
      </c>
      <c r="C4889" s="337" t="s">
        <v>178</v>
      </c>
      <c r="D4889" s="339">
        <v>138.66</v>
      </c>
    </row>
    <row r="4890" spans="1:4" ht="54">
      <c r="A4890" s="337">
        <v>94110</v>
      </c>
      <c r="B4890" s="338" t="s">
        <v>5572</v>
      </c>
      <c r="C4890" s="337" t="s">
        <v>178</v>
      </c>
      <c r="D4890" s="339">
        <v>177.99</v>
      </c>
    </row>
    <row r="4891" spans="1:4" ht="67.5">
      <c r="A4891" s="337">
        <v>94111</v>
      </c>
      <c r="B4891" s="338" t="s">
        <v>5573</v>
      </c>
      <c r="C4891" s="337" t="s">
        <v>178</v>
      </c>
      <c r="D4891" s="339">
        <v>129.38999999999999</v>
      </c>
    </row>
    <row r="4892" spans="1:4" ht="67.5">
      <c r="A4892" s="337">
        <v>94112</v>
      </c>
      <c r="B4892" s="338" t="s">
        <v>5574</v>
      </c>
      <c r="C4892" s="337" t="s">
        <v>178</v>
      </c>
      <c r="D4892" s="339">
        <v>163.52000000000001</v>
      </c>
    </row>
    <row r="4893" spans="1:4" ht="67.5">
      <c r="A4893" s="337">
        <v>94113</v>
      </c>
      <c r="B4893" s="338" t="s">
        <v>5575</v>
      </c>
      <c r="C4893" s="337" t="s">
        <v>178</v>
      </c>
      <c r="D4893" s="339">
        <v>134.69999999999999</v>
      </c>
    </row>
    <row r="4894" spans="1:4" ht="67.5">
      <c r="A4894" s="337">
        <v>94114</v>
      </c>
      <c r="B4894" s="338" t="s">
        <v>5576</v>
      </c>
      <c r="C4894" s="337" t="s">
        <v>178</v>
      </c>
      <c r="D4894" s="339">
        <v>169.5</v>
      </c>
    </row>
    <row r="4895" spans="1:4" ht="67.5">
      <c r="A4895" s="337">
        <v>94115</v>
      </c>
      <c r="B4895" s="338" t="s">
        <v>5577</v>
      </c>
      <c r="C4895" s="337" t="s">
        <v>178</v>
      </c>
      <c r="D4895" s="339">
        <v>104.6</v>
      </c>
    </row>
    <row r="4896" spans="1:4" ht="67.5">
      <c r="A4896" s="337">
        <v>94116</v>
      </c>
      <c r="B4896" s="338" t="s">
        <v>5578</v>
      </c>
      <c r="C4896" s="337" t="s">
        <v>178</v>
      </c>
      <c r="D4896" s="339">
        <v>135.1</v>
      </c>
    </row>
    <row r="4897" spans="1:4" ht="67.5">
      <c r="A4897" s="337">
        <v>94117</v>
      </c>
      <c r="B4897" s="338" t="s">
        <v>5579</v>
      </c>
      <c r="C4897" s="337" t="s">
        <v>178</v>
      </c>
      <c r="D4897" s="339">
        <v>109.54</v>
      </c>
    </row>
    <row r="4898" spans="1:4" ht="67.5">
      <c r="A4898" s="337">
        <v>94118</v>
      </c>
      <c r="B4898" s="338" t="s">
        <v>5580</v>
      </c>
      <c r="C4898" s="337" t="s">
        <v>178</v>
      </c>
      <c r="D4898" s="339">
        <v>140.91</v>
      </c>
    </row>
    <row r="4899" spans="1:4" ht="13.5">
      <c r="A4899" s="337">
        <v>6514</v>
      </c>
      <c r="B4899" s="338" t="s">
        <v>5581</v>
      </c>
      <c r="C4899" s="337" t="s">
        <v>178</v>
      </c>
      <c r="D4899" s="339">
        <v>101.66</v>
      </c>
    </row>
    <row r="4900" spans="1:4" ht="27">
      <c r="A4900" s="337">
        <v>88549</v>
      </c>
      <c r="B4900" s="338" t="s">
        <v>5582</v>
      </c>
      <c r="C4900" s="337" t="s">
        <v>178</v>
      </c>
      <c r="D4900" s="339">
        <v>81.260000000000005</v>
      </c>
    </row>
    <row r="4901" spans="1:4" ht="27">
      <c r="A4901" s="337">
        <v>41721</v>
      </c>
      <c r="B4901" s="338" t="s">
        <v>5583</v>
      </c>
      <c r="C4901" s="337" t="s">
        <v>178</v>
      </c>
      <c r="D4901" s="339">
        <v>2.85</v>
      </c>
    </row>
    <row r="4902" spans="1:4" ht="27">
      <c r="A4902" s="337">
        <v>41722</v>
      </c>
      <c r="B4902" s="338" t="s">
        <v>5584</v>
      </c>
      <c r="C4902" s="337" t="s">
        <v>178</v>
      </c>
      <c r="D4902" s="339">
        <v>4.0999999999999996</v>
      </c>
    </row>
    <row r="4903" spans="1:4" ht="27">
      <c r="A4903" s="337" t="s">
        <v>5585</v>
      </c>
      <c r="B4903" s="338" t="s">
        <v>5586</v>
      </c>
      <c r="C4903" s="337" t="s">
        <v>178</v>
      </c>
      <c r="D4903" s="339">
        <v>4.17</v>
      </c>
    </row>
    <row r="4904" spans="1:4" ht="54">
      <c r="A4904" s="337" t="s">
        <v>5587</v>
      </c>
      <c r="B4904" s="338" t="s">
        <v>5588</v>
      </c>
      <c r="C4904" s="337" t="s">
        <v>178</v>
      </c>
      <c r="D4904" s="339">
        <v>4.91</v>
      </c>
    </row>
    <row r="4905" spans="1:4" ht="40.5">
      <c r="A4905" s="337" t="s">
        <v>5589</v>
      </c>
      <c r="B4905" s="338" t="s">
        <v>5590</v>
      </c>
      <c r="C4905" s="337" t="s">
        <v>178</v>
      </c>
      <c r="D4905" s="339">
        <v>1.54</v>
      </c>
    </row>
    <row r="4906" spans="1:4" ht="40.5">
      <c r="A4906" s="337">
        <v>83344</v>
      </c>
      <c r="B4906" s="338" t="s">
        <v>5591</v>
      </c>
      <c r="C4906" s="337" t="s">
        <v>178</v>
      </c>
      <c r="D4906" s="339">
        <v>0.85</v>
      </c>
    </row>
    <row r="4907" spans="1:4" ht="27">
      <c r="A4907" s="337">
        <v>95606</v>
      </c>
      <c r="B4907" s="338" t="s">
        <v>5592</v>
      </c>
      <c r="C4907" s="337" t="s">
        <v>178</v>
      </c>
      <c r="D4907" s="339">
        <v>1.19</v>
      </c>
    </row>
    <row r="4908" spans="1:4" ht="54">
      <c r="A4908" s="337">
        <v>72131</v>
      </c>
      <c r="B4908" s="338" t="s">
        <v>5593</v>
      </c>
      <c r="C4908" s="337" t="s">
        <v>145</v>
      </c>
      <c r="D4908" s="339">
        <v>112.89</v>
      </c>
    </row>
    <row r="4909" spans="1:4" ht="54">
      <c r="A4909" s="337">
        <v>72132</v>
      </c>
      <c r="B4909" s="338" t="s">
        <v>5594</v>
      </c>
      <c r="C4909" s="337" t="s">
        <v>145</v>
      </c>
      <c r="D4909" s="339">
        <v>58.17</v>
      </c>
    </row>
    <row r="4910" spans="1:4" ht="54">
      <c r="A4910" s="337">
        <v>72133</v>
      </c>
      <c r="B4910" s="338" t="s">
        <v>5595</v>
      </c>
      <c r="C4910" s="337" t="s">
        <v>145</v>
      </c>
      <c r="D4910" s="339">
        <v>199.05</v>
      </c>
    </row>
    <row r="4911" spans="1:4" ht="81">
      <c r="A4911" s="337">
        <v>87471</v>
      </c>
      <c r="B4911" s="338" t="s">
        <v>5596</v>
      </c>
      <c r="C4911" s="337" t="s">
        <v>145</v>
      </c>
      <c r="D4911" s="339">
        <v>36.799999999999997</v>
      </c>
    </row>
    <row r="4912" spans="1:4" ht="81">
      <c r="A4912" s="337">
        <v>87472</v>
      </c>
      <c r="B4912" s="338" t="s">
        <v>5597</v>
      </c>
      <c r="C4912" s="337" t="s">
        <v>145</v>
      </c>
      <c r="D4912" s="339">
        <v>37.74</v>
      </c>
    </row>
    <row r="4913" spans="1:4" ht="81">
      <c r="A4913" s="337">
        <v>87473</v>
      </c>
      <c r="B4913" s="338" t="s">
        <v>5598</v>
      </c>
      <c r="C4913" s="337" t="s">
        <v>145</v>
      </c>
      <c r="D4913" s="339">
        <v>50.85</v>
      </c>
    </row>
    <row r="4914" spans="1:4" ht="81">
      <c r="A4914" s="337">
        <v>87474</v>
      </c>
      <c r="B4914" s="338" t="s">
        <v>5599</v>
      </c>
      <c r="C4914" s="337" t="s">
        <v>145</v>
      </c>
      <c r="D4914" s="339">
        <v>51.92</v>
      </c>
    </row>
    <row r="4915" spans="1:4" ht="81">
      <c r="A4915" s="337">
        <v>87475</v>
      </c>
      <c r="B4915" s="338" t="s">
        <v>5600</v>
      </c>
      <c r="C4915" s="337" t="s">
        <v>145</v>
      </c>
      <c r="D4915" s="339">
        <v>59.94</v>
      </c>
    </row>
    <row r="4916" spans="1:4" ht="81">
      <c r="A4916" s="337">
        <v>87476</v>
      </c>
      <c r="B4916" s="338" t="s">
        <v>5601</v>
      </c>
      <c r="C4916" s="337" t="s">
        <v>145</v>
      </c>
      <c r="D4916" s="339">
        <v>61.19</v>
      </c>
    </row>
    <row r="4917" spans="1:4" ht="81">
      <c r="A4917" s="337">
        <v>87477</v>
      </c>
      <c r="B4917" s="338" t="s">
        <v>5602</v>
      </c>
      <c r="C4917" s="337" t="s">
        <v>145</v>
      </c>
      <c r="D4917" s="339">
        <v>33.43</v>
      </c>
    </row>
    <row r="4918" spans="1:4" ht="81">
      <c r="A4918" s="337">
        <v>87478</v>
      </c>
      <c r="B4918" s="338" t="s">
        <v>5603</v>
      </c>
      <c r="C4918" s="337" t="s">
        <v>145</v>
      </c>
      <c r="D4918" s="339">
        <v>34.369999999999997</v>
      </c>
    </row>
    <row r="4919" spans="1:4" ht="81">
      <c r="A4919" s="337">
        <v>87479</v>
      </c>
      <c r="B4919" s="338" t="s">
        <v>5604</v>
      </c>
      <c r="C4919" s="337" t="s">
        <v>145</v>
      </c>
      <c r="D4919" s="339">
        <v>47.02</v>
      </c>
    </row>
    <row r="4920" spans="1:4" ht="81">
      <c r="A4920" s="337">
        <v>87480</v>
      </c>
      <c r="B4920" s="338" t="s">
        <v>5605</v>
      </c>
      <c r="C4920" s="337" t="s">
        <v>145</v>
      </c>
      <c r="D4920" s="339">
        <v>48.09</v>
      </c>
    </row>
    <row r="4921" spans="1:4" ht="81">
      <c r="A4921" s="337">
        <v>87481</v>
      </c>
      <c r="B4921" s="338" t="s">
        <v>5606</v>
      </c>
      <c r="C4921" s="337" t="s">
        <v>145</v>
      </c>
      <c r="D4921" s="339">
        <v>56.12</v>
      </c>
    </row>
    <row r="4922" spans="1:4" ht="81">
      <c r="A4922" s="337">
        <v>87482</v>
      </c>
      <c r="B4922" s="338" t="s">
        <v>5607</v>
      </c>
      <c r="C4922" s="337" t="s">
        <v>145</v>
      </c>
      <c r="D4922" s="339">
        <v>57.37</v>
      </c>
    </row>
    <row r="4923" spans="1:4" ht="81">
      <c r="A4923" s="337">
        <v>87483</v>
      </c>
      <c r="B4923" s="338" t="s">
        <v>5608</v>
      </c>
      <c r="C4923" s="337" t="s">
        <v>145</v>
      </c>
      <c r="D4923" s="339">
        <v>42.07</v>
      </c>
    </row>
    <row r="4924" spans="1:4" ht="81">
      <c r="A4924" s="337">
        <v>87484</v>
      </c>
      <c r="B4924" s="338" t="s">
        <v>5609</v>
      </c>
      <c r="C4924" s="337" t="s">
        <v>145</v>
      </c>
      <c r="D4924" s="339">
        <v>43.01</v>
      </c>
    </row>
    <row r="4925" spans="1:4" ht="81">
      <c r="A4925" s="337">
        <v>87485</v>
      </c>
      <c r="B4925" s="338" t="s">
        <v>5610</v>
      </c>
      <c r="C4925" s="337" t="s">
        <v>145</v>
      </c>
      <c r="D4925" s="339">
        <v>56.23</v>
      </c>
    </row>
    <row r="4926" spans="1:4" ht="81">
      <c r="A4926" s="337">
        <v>87487</v>
      </c>
      <c r="B4926" s="338" t="s">
        <v>5611</v>
      </c>
      <c r="C4926" s="337" t="s">
        <v>145</v>
      </c>
      <c r="D4926" s="339">
        <v>65.17</v>
      </c>
    </row>
    <row r="4927" spans="1:4" ht="81">
      <c r="A4927" s="337">
        <v>87488</v>
      </c>
      <c r="B4927" s="338" t="s">
        <v>5612</v>
      </c>
      <c r="C4927" s="337" t="s">
        <v>145</v>
      </c>
      <c r="D4927" s="339">
        <v>66.42</v>
      </c>
    </row>
    <row r="4928" spans="1:4" ht="81">
      <c r="A4928" s="337">
        <v>87489</v>
      </c>
      <c r="B4928" s="338" t="s">
        <v>5613</v>
      </c>
      <c r="C4928" s="337" t="s">
        <v>145</v>
      </c>
      <c r="D4928" s="339">
        <v>36.479999999999997</v>
      </c>
    </row>
    <row r="4929" spans="1:4" ht="81">
      <c r="A4929" s="337">
        <v>87490</v>
      </c>
      <c r="B4929" s="338" t="s">
        <v>5614</v>
      </c>
      <c r="C4929" s="337" t="s">
        <v>145</v>
      </c>
      <c r="D4929" s="339">
        <v>37.42</v>
      </c>
    </row>
    <row r="4930" spans="1:4" ht="81">
      <c r="A4930" s="337">
        <v>87491</v>
      </c>
      <c r="B4930" s="338" t="s">
        <v>5615</v>
      </c>
      <c r="C4930" s="337" t="s">
        <v>145</v>
      </c>
      <c r="D4930" s="339">
        <v>50.17</v>
      </c>
    </row>
    <row r="4931" spans="1:4" ht="81">
      <c r="A4931" s="337">
        <v>87492</v>
      </c>
      <c r="B4931" s="338" t="s">
        <v>5616</v>
      </c>
      <c r="C4931" s="337" t="s">
        <v>145</v>
      </c>
      <c r="D4931" s="339">
        <v>51.24</v>
      </c>
    </row>
    <row r="4932" spans="1:4" ht="81">
      <c r="A4932" s="337">
        <v>87493</v>
      </c>
      <c r="B4932" s="338" t="s">
        <v>5617</v>
      </c>
      <c r="C4932" s="337" t="s">
        <v>145</v>
      </c>
      <c r="D4932" s="339">
        <v>59.38</v>
      </c>
    </row>
    <row r="4933" spans="1:4" ht="81">
      <c r="A4933" s="337">
        <v>87494</v>
      </c>
      <c r="B4933" s="338" t="s">
        <v>5618</v>
      </c>
      <c r="C4933" s="337" t="s">
        <v>145</v>
      </c>
      <c r="D4933" s="339">
        <v>60.63</v>
      </c>
    </row>
    <row r="4934" spans="1:4" ht="81">
      <c r="A4934" s="337">
        <v>87495</v>
      </c>
      <c r="B4934" s="338" t="s">
        <v>5619</v>
      </c>
      <c r="C4934" s="337" t="s">
        <v>145</v>
      </c>
      <c r="D4934" s="339">
        <v>61.4</v>
      </c>
    </row>
    <row r="4935" spans="1:4" ht="81">
      <c r="A4935" s="337">
        <v>87496</v>
      </c>
      <c r="B4935" s="338" t="s">
        <v>5620</v>
      </c>
      <c r="C4935" s="337" t="s">
        <v>145</v>
      </c>
      <c r="D4935" s="339">
        <v>62.29</v>
      </c>
    </row>
    <row r="4936" spans="1:4" ht="81">
      <c r="A4936" s="337">
        <v>87497</v>
      </c>
      <c r="B4936" s="338" t="s">
        <v>5621</v>
      </c>
      <c r="C4936" s="337" t="s">
        <v>145</v>
      </c>
      <c r="D4936" s="339">
        <v>59.75</v>
      </c>
    </row>
    <row r="4937" spans="1:4" ht="81">
      <c r="A4937" s="337">
        <v>87498</v>
      </c>
      <c r="B4937" s="338" t="s">
        <v>5622</v>
      </c>
      <c r="C4937" s="337" t="s">
        <v>145</v>
      </c>
      <c r="D4937" s="339">
        <v>60.87</v>
      </c>
    </row>
    <row r="4938" spans="1:4" ht="81">
      <c r="A4938" s="337">
        <v>87499</v>
      </c>
      <c r="B4938" s="338" t="s">
        <v>5623</v>
      </c>
      <c r="C4938" s="337" t="s">
        <v>145</v>
      </c>
      <c r="D4938" s="339">
        <v>66.69</v>
      </c>
    </row>
    <row r="4939" spans="1:4" ht="81">
      <c r="A4939" s="337">
        <v>87500</v>
      </c>
      <c r="B4939" s="338" t="s">
        <v>5624</v>
      </c>
      <c r="C4939" s="337" t="s">
        <v>145</v>
      </c>
      <c r="D4939" s="339">
        <v>67.650000000000006</v>
      </c>
    </row>
    <row r="4940" spans="1:4" ht="94.5">
      <c r="A4940" s="337">
        <v>87501</v>
      </c>
      <c r="B4940" s="338" t="s">
        <v>5625</v>
      </c>
      <c r="C4940" s="337" t="s">
        <v>145</v>
      </c>
      <c r="D4940" s="339">
        <v>103.58</v>
      </c>
    </row>
    <row r="4941" spans="1:4" ht="94.5">
      <c r="A4941" s="337">
        <v>87502</v>
      </c>
      <c r="B4941" s="338" t="s">
        <v>5626</v>
      </c>
      <c r="C4941" s="337" t="s">
        <v>145</v>
      </c>
      <c r="D4941" s="339">
        <v>104.79</v>
      </c>
    </row>
    <row r="4942" spans="1:4" ht="81">
      <c r="A4942" s="337">
        <v>87503</v>
      </c>
      <c r="B4942" s="338" t="s">
        <v>5627</v>
      </c>
      <c r="C4942" s="337" t="s">
        <v>145</v>
      </c>
      <c r="D4942" s="339">
        <v>52.84</v>
      </c>
    </row>
    <row r="4943" spans="1:4" ht="81">
      <c r="A4943" s="337">
        <v>87504</v>
      </c>
      <c r="B4943" s="338" t="s">
        <v>5628</v>
      </c>
      <c r="C4943" s="337" t="s">
        <v>145</v>
      </c>
      <c r="D4943" s="339">
        <v>53.73</v>
      </c>
    </row>
    <row r="4944" spans="1:4" ht="94.5">
      <c r="A4944" s="337">
        <v>87505</v>
      </c>
      <c r="B4944" s="338" t="s">
        <v>5629</v>
      </c>
      <c r="C4944" s="337" t="s">
        <v>145</v>
      </c>
      <c r="D4944" s="339">
        <v>51.22</v>
      </c>
    </row>
    <row r="4945" spans="1:4" ht="94.5">
      <c r="A4945" s="337">
        <v>87506</v>
      </c>
      <c r="B4945" s="338" t="s">
        <v>5630</v>
      </c>
      <c r="C4945" s="337" t="s">
        <v>145</v>
      </c>
      <c r="D4945" s="339">
        <v>52.34</v>
      </c>
    </row>
    <row r="4946" spans="1:4" ht="81">
      <c r="A4946" s="337">
        <v>87507</v>
      </c>
      <c r="B4946" s="338" t="s">
        <v>5631</v>
      </c>
      <c r="C4946" s="337" t="s">
        <v>145</v>
      </c>
      <c r="D4946" s="339">
        <v>55.37</v>
      </c>
    </row>
    <row r="4947" spans="1:4" ht="81">
      <c r="A4947" s="337">
        <v>87508</v>
      </c>
      <c r="B4947" s="338" t="s">
        <v>5632</v>
      </c>
      <c r="C4947" s="337" t="s">
        <v>145</v>
      </c>
      <c r="D4947" s="339">
        <v>56.33</v>
      </c>
    </row>
    <row r="4948" spans="1:4" ht="94.5">
      <c r="A4948" s="337">
        <v>87509</v>
      </c>
      <c r="B4948" s="338" t="s">
        <v>5633</v>
      </c>
      <c r="C4948" s="337" t="s">
        <v>145</v>
      </c>
      <c r="D4948" s="339">
        <v>85.23</v>
      </c>
    </row>
    <row r="4949" spans="1:4" ht="94.5">
      <c r="A4949" s="337">
        <v>87510</v>
      </c>
      <c r="B4949" s="338" t="s">
        <v>5634</v>
      </c>
      <c r="C4949" s="337" t="s">
        <v>145</v>
      </c>
      <c r="D4949" s="339">
        <v>86.44</v>
      </c>
    </row>
    <row r="4950" spans="1:4" ht="81">
      <c r="A4950" s="337">
        <v>87511</v>
      </c>
      <c r="B4950" s="338" t="s">
        <v>5635</v>
      </c>
      <c r="C4950" s="337" t="s">
        <v>145</v>
      </c>
      <c r="D4950" s="339">
        <v>68.77</v>
      </c>
    </row>
    <row r="4951" spans="1:4" ht="81">
      <c r="A4951" s="337">
        <v>87512</v>
      </c>
      <c r="B4951" s="338" t="s">
        <v>5636</v>
      </c>
      <c r="C4951" s="337" t="s">
        <v>145</v>
      </c>
      <c r="D4951" s="339">
        <v>69.66</v>
      </c>
    </row>
    <row r="4952" spans="1:4" ht="81">
      <c r="A4952" s="337">
        <v>87513</v>
      </c>
      <c r="B4952" s="338" t="s">
        <v>5637</v>
      </c>
      <c r="C4952" s="337" t="s">
        <v>145</v>
      </c>
      <c r="D4952" s="339">
        <v>67.42</v>
      </c>
    </row>
    <row r="4953" spans="1:4" ht="81">
      <c r="A4953" s="337">
        <v>87514</v>
      </c>
      <c r="B4953" s="338" t="s">
        <v>5638</v>
      </c>
      <c r="C4953" s="337" t="s">
        <v>145</v>
      </c>
      <c r="D4953" s="339">
        <v>68.540000000000006</v>
      </c>
    </row>
    <row r="4954" spans="1:4" ht="81">
      <c r="A4954" s="337">
        <v>87515</v>
      </c>
      <c r="B4954" s="338" t="s">
        <v>5639</v>
      </c>
      <c r="C4954" s="337" t="s">
        <v>145</v>
      </c>
      <c r="D4954" s="339">
        <v>76.930000000000007</v>
      </c>
    </row>
    <row r="4955" spans="1:4" ht="81">
      <c r="A4955" s="337">
        <v>87516</v>
      </c>
      <c r="B4955" s="338" t="s">
        <v>5640</v>
      </c>
      <c r="C4955" s="337" t="s">
        <v>145</v>
      </c>
      <c r="D4955" s="339">
        <v>77.89</v>
      </c>
    </row>
    <row r="4956" spans="1:4" ht="94.5">
      <c r="A4956" s="337">
        <v>87517</v>
      </c>
      <c r="B4956" s="338" t="s">
        <v>5641</v>
      </c>
      <c r="C4956" s="337" t="s">
        <v>145</v>
      </c>
      <c r="D4956" s="339">
        <v>119.53</v>
      </c>
    </row>
    <row r="4957" spans="1:4" ht="94.5">
      <c r="A4957" s="337">
        <v>87518</v>
      </c>
      <c r="B4957" s="338" t="s">
        <v>5642</v>
      </c>
      <c r="C4957" s="337" t="s">
        <v>145</v>
      </c>
      <c r="D4957" s="339">
        <v>120.74</v>
      </c>
    </row>
    <row r="4958" spans="1:4" ht="81">
      <c r="A4958" s="337">
        <v>87519</v>
      </c>
      <c r="B4958" s="338" t="s">
        <v>5643</v>
      </c>
      <c r="C4958" s="337" t="s">
        <v>145</v>
      </c>
      <c r="D4958" s="339">
        <v>57.5</v>
      </c>
    </row>
    <row r="4959" spans="1:4" ht="81">
      <c r="A4959" s="337">
        <v>87520</v>
      </c>
      <c r="B4959" s="338" t="s">
        <v>5644</v>
      </c>
      <c r="C4959" s="337" t="s">
        <v>145</v>
      </c>
      <c r="D4959" s="339">
        <v>58.39</v>
      </c>
    </row>
    <row r="4960" spans="1:4" ht="94.5">
      <c r="A4960" s="337">
        <v>87521</v>
      </c>
      <c r="B4960" s="338" t="s">
        <v>5645</v>
      </c>
      <c r="C4960" s="337" t="s">
        <v>145</v>
      </c>
      <c r="D4960" s="339">
        <v>55.92</v>
      </c>
    </row>
    <row r="4961" spans="1:4" ht="94.5">
      <c r="A4961" s="337">
        <v>87522</v>
      </c>
      <c r="B4961" s="338" t="s">
        <v>5646</v>
      </c>
      <c r="C4961" s="337" t="s">
        <v>145</v>
      </c>
      <c r="D4961" s="339">
        <v>57.04</v>
      </c>
    </row>
    <row r="4962" spans="1:4" ht="81">
      <c r="A4962" s="337">
        <v>87523</v>
      </c>
      <c r="B4962" s="338" t="s">
        <v>5647</v>
      </c>
      <c r="C4962" s="337" t="s">
        <v>145</v>
      </c>
      <c r="D4962" s="339">
        <v>61.62</v>
      </c>
    </row>
    <row r="4963" spans="1:4" ht="81">
      <c r="A4963" s="337">
        <v>87524</v>
      </c>
      <c r="B4963" s="338" t="s">
        <v>5648</v>
      </c>
      <c r="C4963" s="337" t="s">
        <v>145</v>
      </c>
      <c r="D4963" s="339">
        <v>62.58</v>
      </c>
    </row>
    <row r="4964" spans="1:4" ht="94.5">
      <c r="A4964" s="337">
        <v>87525</v>
      </c>
      <c r="B4964" s="338" t="s">
        <v>5649</v>
      </c>
      <c r="C4964" s="337" t="s">
        <v>145</v>
      </c>
      <c r="D4964" s="339">
        <v>94.92</v>
      </c>
    </row>
    <row r="4965" spans="1:4" ht="94.5">
      <c r="A4965" s="337">
        <v>87526</v>
      </c>
      <c r="B4965" s="338" t="s">
        <v>5650</v>
      </c>
      <c r="C4965" s="337" t="s">
        <v>145</v>
      </c>
      <c r="D4965" s="339">
        <v>96.13</v>
      </c>
    </row>
    <row r="4966" spans="1:4" ht="81">
      <c r="A4966" s="337">
        <v>89043</v>
      </c>
      <c r="B4966" s="338" t="s">
        <v>5651</v>
      </c>
      <c r="C4966" s="337" t="s">
        <v>145</v>
      </c>
      <c r="D4966" s="339">
        <v>58.57</v>
      </c>
    </row>
    <row r="4967" spans="1:4" ht="81">
      <c r="A4967" s="337">
        <v>89168</v>
      </c>
      <c r="B4967" s="338" t="s">
        <v>5652</v>
      </c>
      <c r="C4967" s="337" t="s">
        <v>145</v>
      </c>
      <c r="D4967" s="339">
        <v>60.23</v>
      </c>
    </row>
    <row r="4968" spans="1:4" ht="94.5">
      <c r="A4968" s="337">
        <v>89977</v>
      </c>
      <c r="B4968" s="338" t="s">
        <v>5653</v>
      </c>
      <c r="C4968" s="337" t="s">
        <v>145</v>
      </c>
      <c r="D4968" s="339">
        <v>101.04</v>
      </c>
    </row>
    <row r="4969" spans="1:4" ht="81">
      <c r="A4969" s="337">
        <v>90112</v>
      </c>
      <c r="B4969" s="338" t="s">
        <v>5654</v>
      </c>
      <c r="C4969" s="337" t="s">
        <v>145</v>
      </c>
      <c r="D4969" s="339">
        <v>57.3</v>
      </c>
    </row>
    <row r="4970" spans="1:4" ht="54">
      <c r="A4970" s="337">
        <v>95474</v>
      </c>
      <c r="B4970" s="338" t="s">
        <v>5655</v>
      </c>
      <c r="C4970" s="337" t="s">
        <v>178</v>
      </c>
      <c r="D4970" s="339">
        <v>584.30999999999995</v>
      </c>
    </row>
    <row r="4971" spans="1:4" ht="81">
      <c r="A4971" s="337">
        <v>89282</v>
      </c>
      <c r="B4971" s="338" t="s">
        <v>5656</v>
      </c>
      <c r="C4971" s="337" t="s">
        <v>145</v>
      </c>
      <c r="D4971" s="339">
        <v>47.45</v>
      </c>
    </row>
    <row r="4972" spans="1:4" ht="81">
      <c r="A4972" s="337">
        <v>89283</v>
      </c>
      <c r="B4972" s="338" t="s">
        <v>5657</v>
      </c>
      <c r="C4972" s="337" t="s">
        <v>145</v>
      </c>
      <c r="D4972" s="339">
        <v>49.23</v>
      </c>
    </row>
    <row r="4973" spans="1:4" ht="94.5">
      <c r="A4973" s="337">
        <v>89284</v>
      </c>
      <c r="B4973" s="338" t="s">
        <v>5658</v>
      </c>
      <c r="C4973" s="337" t="s">
        <v>145</v>
      </c>
      <c r="D4973" s="339">
        <v>43.55</v>
      </c>
    </row>
    <row r="4974" spans="1:4" ht="94.5">
      <c r="A4974" s="337">
        <v>89285</v>
      </c>
      <c r="B4974" s="338" t="s">
        <v>5659</v>
      </c>
      <c r="C4974" s="337" t="s">
        <v>145</v>
      </c>
      <c r="D4974" s="339">
        <v>45.33</v>
      </c>
    </row>
    <row r="4975" spans="1:4" ht="81">
      <c r="A4975" s="337">
        <v>89286</v>
      </c>
      <c r="B4975" s="338" t="s">
        <v>5660</v>
      </c>
      <c r="C4975" s="337" t="s">
        <v>145</v>
      </c>
      <c r="D4975" s="339">
        <v>51.38</v>
      </c>
    </row>
    <row r="4976" spans="1:4" ht="81">
      <c r="A4976" s="337">
        <v>89287</v>
      </c>
      <c r="B4976" s="338" t="s">
        <v>5661</v>
      </c>
      <c r="C4976" s="337" t="s">
        <v>145</v>
      </c>
      <c r="D4976" s="339">
        <v>53.16</v>
      </c>
    </row>
    <row r="4977" spans="1:4" ht="94.5">
      <c r="A4977" s="337">
        <v>89288</v>
      </c>
      <c r="B4977" s="338" t="s">
        <v>5662</v>
      </c>
      <c r="C4977" s="337" t="s">
        <v>145</v>
      </c>
      <c r="D4977" s="339">
        <v>45.91</v>
      </c>
    </row>
    <row r="4978" spans="1:4" ht="94.5">
      <c r="A4978" s="337">
        <v>89289</v>
      </c>
      <c r="B4978" s="338" t="s">
        <v>5663</v>
      </c>
      <c r="C4978" s="337" t="s">
        <v>145</v>
      </c>
      <c r="D4978" s="339">
        <v>47.69</v>
      </c>
    </row>
    <row r="4979" spans="1:4" ht="81">
      <c r="A4979" s="337">
        <v>89290</v>
      </c>
      <c r="B4979" s="338" t="s">
        <v>5664</v>
      </c>
      <c r="C4979" s="337" t="s">
        <v>145</v>
      </c>
      <c r="D4979" s="339">
        <v>55.09</v>
      </c>
    </row>
    <row r="4980" spans="1:4" ht="81">
      <c r="A4980" s="337">
        <v>89291</v>
      </c>
      <c r="B4980" s="338" t="s">
        <v>5665</v>
      </c>
      <c r="C4980" s="337" t="s">
        <v>145</v>
      </c>
      <c r="D4980" s="339">
        <v>57.07</v>
      </c>
    </row>
    <row r="4981" spans="1:4" ht="94.5">
      <c r="A4981" s="337">
        <v>89292</v>
      </c>
      <c r="B4981" s="338" t="s">
        <v>5666</v>
      </c>
      <c r="C4981" s="337" t="s">
        <v>145</v>
      </c>
      <c r="D4981" s="339">
        <v>51.24</v>
      </c>
    </row>
    <row r="4982" spans="1:4" ht="94.5">
      <c r="A4982" s="337">
        <v>89293</v>
      </c>
      <c r="B4982" s="338" t="s">
        <v>5667</v>
      </c>
      <c r="C4982" s="337" t="s">
        <v>145</v>
      </c>
      <c r="D4982" s="339">
        <v>53.22</v>
      </c>
    </row>
    <row r="4983" spans="1:4" ht="81">
      <c r="A4983" s="337">
        <v>89294</v>
      </c>
      <c r="B4983" s="338" t="s">
        <v>5668</v>
      </c>
      <c r="C4983" s="337" t="s">
        <v>145</v>
      </c>
      <c r="D4983" s="339">
        <v>60.33</v>
      </c>
    </row>
    <row r="4984" spans="1:4" ht="81">
      <c r="A4984" s="337">
        <v>89295</v>
      </c>
      <c r="B4984" s="338" t="s">
        <v>5669</v>
      </c>
      <c r="C4984" s="337" t="s">
        <v>145</v>
      </c>
      <c r="D4984" s="339">
        <v>62.31</v>
      </c>
    </row>
    <row r="4985" spans="1:4" ht="94.5">
      <c r="A4985" s="337">
        <v>89296</v>
      </c>
      <c r="B4985" s="338" t="s">
        <v>5670</v>
      </c>
      <c r="C4985" s="337" t="s">
        <v>145</v>
      </c>
      <c r="D4985" s="339">
        <v>54.29</v>
      </c>
    </row>
    <row r="4986" spans="1:4" ht="94.5">
      <c r="A4986" s="337">
        <v>89297</v>
      </c>
      <c r="B4986" s="338" t="s">
        <v>5671</v>
      </c>
      <c r="C4986" s="337" t="s">
        <v>145</v>
      </c>
      <c r="D4986" s="339">
        <v>56.27</v>
      </c>
    </row>
    <row r="4987" spans="1:4" ht="94.5">
      <c r="A4987" s="337">
        <v>89298</v>
      </c>
      <c r="B4987" s="338" t="s">
        <v>5672</v>
      </c>
      <c r="C4987" s="337" t="s">
        <v>145</v>
      </c>
      <c r="D4987" s="339">
        <v>56.14</v>
      </c>
    </row>
    <row r="4988" spans="1:4" ht="94.5">
      <c r="A4988" s="337">
        <v>89299</v>
      </c>
      <c r="B4988" s="338" t="s">
        <v>5673</v>
      </c>
      <c r="C4988" s="337" t="s">
        <v>145</v>
      </c>
      <c r="D4988" s="339">
        <v>58.66</v>
      </c>
    </row>
    <row r="4989" spans="1:4" ht="94.5">
      <c r="A4989" s="337">
        <v>89300</v>
      </c>
      <c r="B4989" s="338" t="s">
        <v>5674</v>
      </c>
      <c r="C4989" s="337" t="s">
        <v>145</v>
      </c>
      <c r="D4989" s="339">
        <v>52.24</v>
      </c>
    </row>
    <row r="4990" spans="1:4" ht="94.5">
      <c r="A4990" s="337">
        <v>89301</v>
      </c>
      <c r="B4990" s="338" t="s">
        <v>5675</v>
      </c>
      <c r="C4990" s="337" t="s">
        <v>145</v>
      </c>
      <c r="D4990" s="339">
        <v>54.76</v>
      </c>
    </row>
    <row r="4991" spans="1:4" ht="94.5">
      <c r="A4991" s="337">
        <v>89302</v>
      </c>
      <c r="B4991" s="338" t="s">
        <v>5676</v>
      </c>
      <c r="C4991" s="337" t="s">
        <v>145</v>
      </c>
      <c r="D4991" s="339">
        <v>62.68</v>
      </c>
    </row>
    <row r="4992" spans="1:4" ht="94.5">
      <c r="A4992" s="337">
        <v>89303</v>
      </c>
      <c r="B4992" s="338" t="s">
        <v>5677</v>
      </c>
      <c r="C4992" s="337" t="s">
        <v>145</v>
      </c>
      <c r="D4992" s="339">
        <v>65.2</v>
      </c>
    </row>
    <row r="4993" spans="1:4" ht="94.5">
      <c r="A4993" s="337">
        <v>89304</v>
      </c>
      <c r="B4993" s="338" t="s">
        <v>5678</v>
      </c>
      <c r="C4993" s="337" t="s">
        <v>145</v>
      </c>
      <c r="D4993" s="339">
        <v>56.22</v>
      </c>
    </row>
    <row r="4994" spans="1:4" ht="94.5">
      <c r="A4994" s="337">
        <v>89305</v>
      </c>
      <c r="B4994" s="338" t="s">
        <v>5679</v>
      </c>
      <c r="C4994" s="337" t="s">
        <v>145</v>
      </c>
      <c r="D4994" s="339">
        <v>58.74</v>
      </c>
    </row>
    <row r="4995" spans="1:4" ht="94.5">
      <c r="A4995" s="337">
        <v>89306</v>
      </c>
      <c r="B4995" s="338" t="s">
        <v>5680</v>
      </c>
      <c r="C4995" s="337" t="s">
        <v>145</v>
      </c>
      <c r="D4995" s="339">
        <v>63.95</v>
      </c>
    </row>
    <row r="4996" spans="1:4" ht="94.5">
      <c r="A4996" s="337">
        <v>89307</v>
      </c>
      <c r="B4996" s="338" t="s">
        <v>5681</v>
      </c>
      <c r="C4996" s="337" t="s">
        <v>145</v>
      </c>
      <c r="D4996" s="339">
        <v>66.760000000000005</v>
      </c>
    </row>
    <row r="4997" spans="1:4" ht="94.5">
      <c r="A4997" s="337">
        <v>89308</v>
      </c>
      <c r="B4997" s="338" t="s">
        <v>5682</v>
      </c>
      <c r="C4997" s="337" t="s">
        <v>145</v>
      </c>
      <c r="D4997" s="339">
        <v>60.12</v>
      </c>
    </row>
    <row r="4998" spans="1:4" ht="94.5">
      <c r="A4998" s="337">
        <v>89309</v>
      </c>
      <c r="B4998" s="338" t="s">
        <v>5683</v>
      </c>
      <c r="C4998" s="337" t="s">
        <v>145</v>
      </c>
      <c r="D4998" s="339">
        <v>62.93</v>
      </c>
    </row>
    <row r="4999" spans="1:4" ht="94.5">
      <c r="A4999" s="337">
        <v>89310</v>
      </c>
      <c r="B4999" s="338" t="s">
        <v>5684</v>
      </c>
      <c r="C4999" s="337" t="s">
        <v>145</v>
      </c>
      <c r="D4999" s="339">
        <v>71.77</v>
      </c>
    </row>
    <row r="5000" spans="1:4" ht="94.5">
      <c r="A5000" s="337">
        <v>89311</v>
      </c>
      <c r="B5000" s="338" t="s">
        <v>5685</v>
      </c>
      <c r="C5000" s="337" t="s">
        <v>145</v>
      </c>
      <c r="D5000" s="339">
        <v>74.58</v>
      </c>
    </row>
    <row r="5001" spans="1:4" ht="94.5">
      <c r="A5001" s="337">
        <v>89312</v>
      </c>
      <c r="B5001" s="338" t="s">
        <v>5686</v>
      </c>
      <c r="C5001" s="337" t="s">
        <v>145</v>
      </c>
      <c r="D5001" s="339">
        <v>64.790000000000006</v>
      </c>
    </row>
    <row r="5002" spans="1:4" ht="94.5">
      <c r="A5002" s="337">
        <v>89313</v>
      </c>
      <c r="B5002" s="338" t="s">
        <v>5687</v>
      </c>
      <c r="C5002" s="337" t="s">
        <v>145</v>
      </c>
      <c r="D5002" s="339">
        <v>67.599999999999994</v>
      </c>
    </row>
    <row r="5003" spans="1:4" ht="40.5">
      <c r="A5003" s="337">
        <v>95465</v>
      </c>
      <c r="B5003" s="338" t="s">
        <v>5688</v>
      </c>
      <c r="C5003" s="337" t="s">
        <v>145</v>
      </c>
      <c r="D5003" s="339">
        <v>125.47</v>
      </c>
    </row>
    <row r="5004" spans="1:4" ht="81">
      <c r="A5004" s="337">
        <v>87447</v>
      </c>
      <c r="B5004" s="338" t="s">
        <v>5689</v>
      </c>
      <c r="C5004" s="337" t="s">
        <v>145</v>
      </c>
      <c r="D5004" s="339">
        <v>47.62</v>
      </c>
    </row>
    <row r="5005" spans="1:4" ht="81">
      <c r="A5005" s="337">
        <v>87448</v>
      </c>
      <c r="B5005" s="338" t="s">
        <v>5690</v>
      </c>
      <c r="C5005" s="337" t="s">
        <v>145</v>
      </c>
      <c r="D5005" s="339">
        <v>48.06</v>
      </c>
    </row>
    <row r="5006" spans="1:4" ht="81">
      <c r="A5006" s="337">
        <v>87449</v>
      </c>
      <c r="B5006" s="338" t="s">
        <v>5691</v>
      </c>
      <c r="C5006" s="337" t="s">
        <v>145</v>
      </c>
      <c r="D5006" s="339">
        <v>60.29</v>
      </c>
    </row>
    <row r="5007" spans="1:4" ht="81">
      <c r="A5007" s="337">
        <v>87450</v>
      </c>
      <c r="B5007" s="338" t="s">
        <v>5692</v>
      </c>
      <c r="C5007" s="337" t="s">
        <v>145</v>
      </c>
      <c r="D5007" s="339">
        <v>61.22</v>
      </c>
    </row>
    <row r="5008" spans="1:4" ht="81">
      <c r="A5008" s="337">
        <v>87451</v>
      </c>
      <c r="B5008" s="338" t="s">
        <v>5693</v>
      </c>
      <c r="C5008" s="337" t="s">
        <v>145</v>
      </c>
      <c r="D5008" s="339">
        <v>73.75</v>
      </c>
    </row>
    <row r="5009" spans="1:4" ht="81">
      <c r="A5009" s="337">
        <v>87452</v>
      </c>
      <c r="B5009" s="338" t="s">
        <v>5694</v>
      </c>
      <c r="C5009" s="337" t="s">
        <v>145</v>
      </c>
      <c r="D5009" s="339">
        <v>74.180000000000007</v>
      </c>
    </row>
    <row r="5010" spans="1:4" ht="81">
      <c r="A5010" s="337">
        <v>87453</v>
      </c>
      <c r="B5010" s="338" t="s">
        <v>5695</v>
      </c>
      <c r="C5010" s="337" t="s">
        <v>145</v>
      </c>
      <c r="D5010" s="339">
        <v>44.5</v>
      </c>
    </row>
    <row r="5011" spans="1:4" ht="81">
      <c r="A5011" s="337">
        <v>87454</v>
      </c>
      <c r="B5011" s="338" t="s">
        <v>5696</v>
      </c>
      <c r="C5011" s="337" t="s">
        <v>145</v>
      </c>
      <c r="D5011" s="339">
        <v>45.3</v>
      </c>
    </row>
    <row r="5012" spans="1:4" ht="81">
      <c r="A5012" s="337">
        <v>87455</v>
      </c>
      <c r="B5012" s="338" t="s">
        <v>5697</v>
      </c>
      <c r="C5012" s="337" t="s">
        <v>145</v>
      </c>
      <c r="D5012" s="339">
        <v>56.37</v>
      </c>
    </row>
    <row r="5013" spans="1:4" ht="81">
      <c r="A5013" s="337">
        <v>87456</v>
      </c>
      <c r="B5013" s="338" t="s">
        <v>5698</v>
      </c>
      <c r="C5013" s="337" t="s">
        <v>145</v>
      </c>
      <c r="D5013" s="339">
        <v>57.63</v>
      </c>
    </row>
    <row r="5014" spans="1:4" ht="81">
      <c r="A5014" s="337">
        <v>87457</v>
      </c>
      <c r="B5014" s="338" t="s">
        <v>5699</v>
      </c>
      <c r="C5014" s="337" t="s">
        <v>145</v>
      </c>
      <c r="D5014" s="339">
        <v>69.02</v>
      </c>
    </row>
    <row r="5015" spans="1:4" ht="81">
      <c r="A5015" s="337">
        <v>87458</v>
      </c>
      <c r="B5015" s="338" t="s">
        <v>5700</v>
      </c>
      <c r="C5015" s="337" t="s">
        <v>145</v>
      </c>
      <c r="D5015" s="339">
        <v>70.180000000000007</v>
      </c>
    </row>
    <row r="5016" spans="1:4" ht="81">
      <c r="A5016" s="337">
        <v>87459</v>
      </c>
      <c r="B5016" s="338" t="s">
        <v>5701</v>
      </c>
      <c r="C5016" s="337" t="s">
        <v>145</v>
      </c>
      <c r="D5016" s="339">
        <v>52.75</v>
      </c>
    </row>
    <row r="5017" spans="1:4" ht="81">
      <c r="A5017" s="337">
        <v>87460</v>
      </c>
      <c r="B5017" s="338" t="s">
        <v>5702</v>
      </c>
      <c r="C5017" s="337" t="s">
        <v>145</v>
      </c>
      <c r="D5017" s="339">
        <v>53.55</v>
      </c>
    </row>
    <row r="5018" spans="1:4" ht="81">
      <c r="A5018" s="337">
        <v>87461</v>
      </c>
      <c r="B5018" s="338" t="s">
        <v>5703</v>
      </c>
      <c r="C5018" s="337" t="s">
        <v>145</v>
      </c>
      <c r="D5018" s="339">
        <v>65.459999999999994</v>
      </c>
    </row>
    <row r="5019" spans="1:4" ht="81">
      <c r="A5019" s="337">
        <v>87462</v>
      </c>
      <c r="B5019" s="338" t="s">
        <v>5704</v>
      </c>
      <c r="C5019" s="337" t="s">
        <v>145</v>
      </c>
      <c r="D5019" s="339">
        <v>66.39</v>
      </c>
    </row>
    <row r="5020" spans="1:4" ht="81">
      <c r="A5020" s="337">
        <v>87463</v>
      </c>
      <c r="B5020" s="338" t="s">
        <v>5705</v>
      </c>
      <c r="C5020" s="337" t="s">
        <v>145</v>
      </c>
      <c r="D5020" s="339">
        <v>78.260000000000005</v>
      </c>
    </row>
    <row r="5021" spans="1:4" ht="81">
      <c r="A5021" s="337">
        <v>87464</v>
      </c>
      <c r="B5021" s="338" t="s">
        <v>5706</v>
      </c>
      <c r="C5021" s="337" t="s">
        <v>145</v>
      </c>
      <c r="D5021" s="339">
        <v>79.42</v>
      </c>
    </row>
    <row r="5022" spans="1:4" ht="81">
      <c r="A5022" s="337">
        <v>87465</v>
      </c>
      <c r="B5022" s="338" t="s">
        <v>5707</v>
      </c>
      <c r="C5022" s="337" t="s">
        <v>145</v>
      </c>
      <c r="D5022" s="339">
        <v>47.4</v>
      </c>
    </row>
    <row r="5023" spans="1:4" ht="81">
      <c r="A5023" s="337">
        <v>87466</v>
      </c>
      <c r="B5023" s="338" t="s">
        <v>5708</v>
      </c>
      <c r="C5023" s="337" t="s">
        <v>145</v>
      </c>
      <c r="D5023" s="339">
        <v>48.2</v>
      </c>
    </row>
    <row r="5024" spans="1:4" ht="81">
      <c r="A5024" s="337">
        <v>87467</v>
      </c>
      <c r="B5024" s="338" t="s">
        <v>5709</v>
      </c>
      <c r="C5024" s="337" t="s">
        <v>145</v>
      </c>
      <c r="D5024" s="339">
        <v>59.65</v>
      </c>
    </row>
    <row r="5025" spans="1:4" ht="81">
      <c r="A5025" s="337">
        <v>87468</v>
      </c>
      <c r="B5025" s="338" t="s">
        <v>5710</v>
      </c>
      <c r="C5025" s="337" t="s">
        <v>145</v>
      </c>
      <c r="D5025" s="339">
        <v>60.58</v>
      </c>
    </row>
    <row r="5026" spans="1:4" ht="81">
      <c r="A5026" s="337">
        <v>87469</v>
      </c>
      <c r="B5026" s="338" t="s">
        <v>5711</v>
      </c>
      <c r="C5026" s="337" t="s">
        <v>145</v>
      </c>
      <c r="D5026" s="339">
        <v>72.459999999999994</v>
      </c>
    </row>
    <row r="5027" spans="1:4" ht="81">
      <c r="A5027" s="337">
        <v>87470</v>
      </c>
      <c r="B5027" s="338" t="s">
        <v>5712</v>
      </c>
      <c r="C5027" s="337" t="s">
        <v>145</v>
      </c>
      <c r="D5027" s="339">
        <v>73.62</v>
      </c>
    </row>
    <row r="5028" spans="1:4" ht="81">
      <c r="A5028" s="337">
        <v>89044</v>
      </c>
      <c r="B5028" s="338" t="s">
        <v>5713</v>
      </c>
      <c r="C5028" s="337" t="s">
        <v>145</v>
      </c>
      <c r="D5028" s="339">
        <v>47.49</v>
      </c>
    </row>
    <row r="5029" spans="1:4" ht="81">
      <c r="A5029" s="337">
        <v>89169</v>
      </c>
      <c r="B5029" s="338" t="s">
        <v>5714</v>
      </c>
      <c r="C5029" s="337" t="s">
        <v>145</v>
      </c>
      <c r="D5029" s="339">
        <v>48.16</v>
      </c>
    </row>
    <row r="5030" spans="1:4" ht="81">
      <c r="A5030" s="337">
        <v>89978</v>
      </c>
      <c r="B5030" s="338" t="s">
        <v>5715</v>
      </c>
      <c r="C5030" s="337" t="s">
        <v>145</v>
      </c>
      <c r="D5030" s="339">
        <v>60.55</v>
      </c>
    </row>
    <row r="5031" spans="1:4" ht="40.5">
      <c r="A5031" s="337" t="s">
        <v>5716</v>
      </c>
      <c r="B5031" s="338" t="s">
        <v>5717</v>
      </c>
      <c r="C5031" s="337" t="s">
        <v>145</v>
      </c>
      <c r="D5031" s="339">
        <v>113.74</v>
      </c>
    </row>
    <row r="5032" spans="1:4" ht="40.5">
      <c r="A5032" s="337" t="s">
        <v>5718</v>
      </c>
      <c r="B5032" s="338" t="s">
        <v>5719</v>
      </c>
      <c r="C5032" s="337" t="s">
        <v>145</v>
      </c>
      <c r="D5032" s="339">
        <v>113.92</v>
      </c>
    </row>
    <row r="5033" spans="1:4" ht="54">
      <c r="A5033" s="337" t="s">
        <v>5720</v>
      </c>
      <c r="B5033" s="338" t="s">
        <v>5721</v>
      </c>
      <c r="C5033" s="337" t="s">
        <v>145</v>
      </c>
      <c r="D5033" s="339">
        <v>201.82</v>
      </c>
    </row>
    <row r="5034" spans="1:4" ht="67.5">
      <c r="A5034" s="337">
        <v>89453</v>
      </c>
      <c r="B5034" s="338" t="s">
        <v>5722</v>
      </c>
      <c r="C5034" s="337" t="s">
        <v>145</v>
      </c>
      <c r="D5034" s="339">
        <v>55.41</v>
      </c>
    </row>
    <row r="5035" spans="1:4" ht="67.5">
      <c r="A5035" s="337">
        <v>89454</v>
      </c>
      <c r="B5035" s="338" t="s">
        <v>5723</v>
      </c>
      <c r="C5035" s="337" t="s">
        <v>145</v>
      </c>
      <c r="D5035" s="339">
        <v>53.09</v>
      </c>
    </row>
    <row r="5036" spans="1:4" ht="67.5">
      <c r="A5036" s="337">
        <v>89455</v>
      </c>
      <c r="B5036" s="338" t="s">
        <v>5724</v>
      </c>
      <c r="C5036" s="337" t="s">
        <v>145</v>
      </c>
      <c r="D5036" s="339">
        <v>68.760000000000005</v>
      </c>
    </row>
    <row r="5037" spans="1:4" ht="67.5">
      <c r="A5037" s="337">
        <v>89456</v>
      </c>
      <c r="B5037" s="338" t="s">
        <v>5725</v>
      </c>
      <c r="C5037" s="337" t="s">
        <v>145</v>
      </c>
      <c r="D5037" s="339">
        <v>65.91</v>
      </c>
    </row>
    <row r="5038" spans="1:4" ht="67.5">
      <c r="A5038" s="337">
        <v>89457</v>
      </c>
      <c r="B5038" s="338" t="s">
        <v>5726</v>
      </c>
      <c r="C5038" s="337" t="s">
        <v>145</v>
      </c>
      <c r="D5038" s="339">
        <v>58.89</v>
      </c>
    </row>
    <row r="5039" spans="1:4" ht="67.5">
      <c r="A5039" s="337">
        <v>89458</v>
      </c>
      <c r="B5039" s="338" t="s">
        <v>5727</v>
      </c>
      <c r="C5039" s="337" t="s">
        <v>145</v>
      </c>
      <c r="D5039" s="339">
        <v>55.03</v>
      </c>
    </row>
    <row r="5040" spans="1:4" ht="67.5">
      <c r="A5040" s="337">
        <v>89459</v>
      </c>
      <c r="B5040" s="338" t="s">
        <v>5728</v>
      </c>
      <c r="C5040" s="337" t="s">
        <v>145</v>
      </c>
      <c r="D5040" s="339">
        <v>73.62</v>
      </c>
    </row>
    <row r="5041" spans="1:4" ht="67.5">
      <c r="A5041" s="337">
        <v>89460</v>
      </c>
      <c r="B5041" s="338" t="s">
        <v>5729</v>
      </c>
      <c r="C5041" s="337" t="s">
        <v>145</v>
      </c>
      <c r="D5041" s="339">
        <v>68.84</v>
      </c>
    </row>
    <row r="5042" spans="1:4" ht="67.5">
      <c r="A5042" s="337">
        <v>89462</v>
      </c>
      <c r="B5042" s="338" t="s">
        <v>5730</v>
      </c>
      <c r="C5042" s="337" t="s">
        <v>145</v>
      </c>
      <c r="D5042" s="339">
        <v>63.87</v>
      </c>
    </row>
    <row r="5043" spans="1:4" ht="67.5">
      <c r="A5043" s="337">
        <v>89463</v>
      </c>
      <c r="B5043" s="338" t="s">
        <v>5731</v>
      </c>
      <c r="C5043" s="337" t="s">
        <v>145</v>
      </c>
      <c r="D5043" s="339">
        <v>61.8</v>
      </c>
    </row>
    <row r="5044" spans="1:4" ht="67.5">
      <c r="A5044" s="337">
        <v>89464</v>
      </c>
      <c r="B5044" s="338" t="s">
        <v>5732</v>
      </c>
      <c r="C5044" s="337" t="s">
        <v>145</v>
      </c>
      <c r="D5044" s="339">
        <v>85.81</v>
      </c>
    </row>
    <row r="5045" spans="1:4" ht="67.5">
      <c r="A5045" s="337">
        <v>89465</v>
      </c>
      <c r="B5045" s="338" t="s">
        <v>5733</v>
      </c>
      <c r="C5045" s="337" t="s">
        <v>145</v>
      </c>
      <c r="D5045" s="339">
        <v>83.32</v>
      </c>
    </row>
    <row r="5046" spans="1:4" ht="67.5">
      <c r="A5046" s="337">
        <v>89466</v>
      </c>
      <c r="B5046" s="338" t="s">
        <v>5734</v>
      </c>
      <c r="C5046" s="337" t="s">
        <v>145</v>
      </c>
      <c r="D5046" s="339">
        <v>67.47</v>
      </c>
    </row>
    <row r="5047" spans="1:4" ht="67.5">
      <c r="A5047" s="337">
        <v>89467</v>
      </c>
      <c r="B5047" s="338" t="s">
        <v>5735</v>
      </c>
      <c r="C5047" s="337" t="s">
        <v>145</v>
      </c>
      <c r="D5047" s="339">
        <v>63.71</v>
      </c>
    </row>
    <row r="5048" spans="1:4" ht="67.5">
      <c r="A5048" s="337">
        <v>89468</v>
      </c>
      <c r="B5048" s="338" t="s">
        <v>5736</v>
      </c>
      <c r="C5048" s="337" t="s">
        <v>145</v>
      </c>
      <c r="D5048" s="339">
        <v>90.27</v>
      </c>
    </row>
    <row r="5049" spans="1:4" ht="67.5">
      <c r="A5049" s="337">
        <v>89469</v>
      </c>
      <c r="B5049" s="338" t="s">
        <v>5737</v>
      </c>
      <c r="C5049" s="337" t="s">
        <v>145</v>
      </c>
      <c r="D5049" s="339">
        <v>85.67</v>
      </c>
    </row>
    <row r="5050" spans="1:4" ht="81">
      <c r="A5050" s="337">
        <v>89470</v>
      </c>
      <c r="B5050" s="338" t="s">
        <v>5738</v>
      </c>
      <c r="C5050" s="337" t="s">
        <v>145</v>
      </c>
      <c r="D5050" s="339">
        <v>65.83</v>
      </c>
    </row>
    <row r="5051" spans="1:4" ht="81">
      <c r="A5051" s="337">
        <v>89471</v>
      </c>
      <c r="B5051" s="338" t="s">
        <v>5739</v>
      </c>
      <c r="C5051" s="337" t="s">
        <v>145</v>
      </c>
      <c r="D5051" s="339">
        <v>63.51</v>
      </c>
    </row>
    <row r="5052" spans="1:4" ht="81">
      <c r="A5052" s="337">
        <v>89472</v>
      </c>
      <c r="B5052" s="338" t="s">
        <v>5740</v>
      </c>
      <c r="C5052" s="337" t="s">
        <v>145</v>
      </c>
      <c r="D5052" s="339">
        <v>78.989999999999995</v>
      </c>
    </row>
    <row r="5053" spans="1:4" ht="81">
      <c r="A5053" s="337">
        <v>89473</v>
      </c>
      <c r="B5053" s="338" t="s">
        <v>5741</v>
      </c>
      <c r="C5053" s="337" t="s">
        <v>145</v>
      </c>
      <c r="D5053" s="339">
        <v>76.31</v>
      </c>
    </row>
    <row r="5054" spans="1:4" ht="81">
      <c r="A5054" s="337">
        <v>89474</v>
      </c>
      <c r="B5054" s="338" t="s">
        <v>5742</v>
      </c>
      <c r="C5054" s="337" t="s">
        <v>145</v>
      </c>
      <c r="D5054" s="339">
        <v>72.209999999999994</v>
      </c>
    </row>
    <row r="5055" spans="1:4" ht="81">
      <c r="A5055" s="337">
        <v>89475</v>
      </c>
      <c r="B5055" s="338" t="s">
        <v>5743</v>
      </c>
      <c r="C5055" s="337" t="s">
        <v>145</v>
      </c>
      <c r="D5055" s="339">
        <v>67.05</v>
      </c>
    </row>
    <row r="5056" spans="1:4" ht="81">
      <c r="A5056" s="337">
        <v>89476</v>
      </c>
      <c r="B5056" s="338" t="s">
        <v>5744</v>
      </c>
      <c r="C5056" s="337" t="s">
        <v>145</v>
      </c>
      <c r="D5056" s="339">
        <v>86.93</v>
      </c>
    </row>
    <row r="5057" spans="1:4" ht="81">
      <c r="A5057" s="337">
        <v>89477</v>
      </c>
      <c r="B5057" s="338" t="s">
        <v>5745</v>
      </c>
      <c r="C5057" s="337" t="s">
        <v>145</v>
      </c>
      <c r="D5057" s="339">
        <v>81.010000000000005</v>
      </c>
    </row>
    <row r="5058" spans="1:4" ht="81">
      <c r="A5058" s="337">
        <v>89478</v>
      </c>
      <c r="B5058" s="338" t="s">
        <v>5746</v>
      </c>
      <c r="C5058" s="337" t="s">
        <v>145</v>
      </c>
      <c r="D5058" s="339">
        <v>74.489999999999995</v>
      </c>
    </row>
    <row r="5059" spans="1:4" ht="81">
      <c r="A5059" s="337">
        <v>89479</v>
      </c>
      <c r="B5059" s="338" t="s">
        <v>5747</v>
      </c>
      <c r="C5059" s="337" t="s">
        <v>145</v>
      </c>
      <c r="D5059" s="339">
        <v>72.42</v>
      </c>
    </row>
    <row r="5060" spans="1:4" ht="81">
      <c r="A5060" s="337">
        <v>89480</v>
      </c>
      <c r="B5060" s="338" t="s">
        <v>5748</v>
      </c>
      <c r="C5060" s="337" t="s">
        <v>145</v>
      </c>
      <c r="D5060" s="339">
        <v>96.25</v>
      </c>
    </row>
    <row r="5061" spans="1:4" ht="81">
      <c r="A5061" s="337">
        <v>89483</v>
      </c>
      <c r="B5061" s="338" t="s">
        <v>5749</v>
      </c>
      <c r="C5061" s="337" t="s">
        <v>145</v>
      </c>
      <c r="D5061" s="339">
        <v>93.93</v>
      </c>
    </row>
    <row r="5062" spans="1:4" ht="81">
      <c r="A5062" s="337">
        <v>89484</v>
      </c>
      <c r="B5062" s="338" t="s">
        <v>5750</v>
      </c>
      <c r="C5062" s="337" t="s">
        <v>145</v>
      </c>
      <c r="D5062" s="339">
        <v>80.989999999999995</v>
      </c>
    </row>
    <row r="5063" spans="1:4" ht="81">
      <c r="A5063" s="337">
        <v>89486</v>
      </c>
      <c r="B5063" s="338" t="s">
        <v>5751</v>
      </c>
      <c r="C5063" s="337" t="s">
        <v>145</v>
      </c>
      <c r="D5063" s="339">
        <v>76.099999999999994</v>
      </c>
    </row>
    <row r="5064" spans="1:4" ht="81">
      <c r="A5064" s="337">
        <v>89487</v>
      </c>
      <c r="B5064" s="338" t="s">
        <v>5752</v>
      </c>
      <c r="C5064" s="337" t="s">
        <v>145</v>
      </c>
      <c r="D5064" s="339">
        <v>103.78</v>
      </c>
    </row>
    <row r="5065" spans="1:4" ht="81">
      <c r="A5065" s="337">
        <v>89488</v>
      </c>
      <c r="B5065" s="338" t="s">
        <v>5753</v>
      </c>
      <c r="C5065" s="337" t="s">
        <v>145</v>
      </c>
      <c r="D5065" s="339">
        <v>98.05</v>
      </c>
    </row>
    <row r="5066" spans="1:4" ht="81">
      <c r="A5066" s="337">
        <v>91815</v>
      </c>
      <c r="B5066" s="338" t="s">
        <v>5754</v>
      </c>
      <c r="C5066" s="337" t="s">
        <v>145</v>
      </c>
      <c r="D5066" s="339">
        <v>55.49</v>
      </c>
    </row>
    <row r="5067" spans="1:4" ht="81">
      <c r="A5067" s="337">
        <v>91816</v>
      </c>
      <c r="B5067" s="338" t="s">
        <v>5755</v>
      </c>
      <c r="C5067" s="337" t="s">
        <v>145</v>
      </c>
      <c r="D5067" s="339">
        <v>64.09</v>
      </c>
    </row>
    <row r="5068" spans="1:4" ht="67.5">
      <c r="A5068" s="337">
        <v>72139</v>
      </c>
      <c r="B5068" s="338" t="s">
        <v>5756</v>
      </c>
      <c r="C5068" s="337" t="s">
        <v>145</v>
      </c>
      <c r="D5068" s="339">
        <v>494.44</v>
      </c>
    </row>
    <row r="5069" spans="1:4" ht="67.5">
      <c r="A5069" s="337">
        <v>72175</v>
      </c>
      <c r="B5069" s="338" t="s">
        <v>5757</v>
      </c>
      <c r="C5069" s="337" t="s">
        <v>145</v>
      </c>
      <c r="D5069" s="339">
        <v>498.44</v>
      </c>
    </row>
    <row r="5070" spans="1:4" ht="67.5">
      <c r="A5070" s="337">
        <v>72176</v>
      </c>
      <c r="B5070" s="338" t="s">
        <v>5758</v>
      </c>
      <c r="C5070" s="337" t="s">
        <v>145</v>
      </c>
      <c r="D5070" s="339">
        <v>502.19</v>
      </c>
    </row>
    <row r="5071" spans="1:4" ht="27">
      <c r="A5071" s="337">
        <v>72178</v>
      </c>
      <c r="B5071" s="338" t="s">
        <v>5759</v>
      </c>
      <c r="C5071" s="337" t="s">
        <v>145</v>
      </c>
      <c r="D5071" s="339">
        <v>22.44</v>
      </c>
    </row>
    <row r="5072" spans="1:4" ht="40.5">
      <c r="A5072" s="337">
        <v>72179</v>
      </c>
      <c r="B5072" s="338" t="s">
        <v>5760</v>
      </c>
      <c r="C5072" s="337" t="s">
        <v>145</v>
      </c>
      <c r="D5072" s="339">
        <v>44</v>
      </c>
    </row>
    <row r="5073" spans="1:4" ht="54">
      <c r="A5073" s="337">
        <v>72180</v>
      </c>
      <c r="B5073" s="338" t="s">
        <v>5761</v>
      </c>
      <c r="C5073" s="337" t="s">
        <v>145</v>
      </c>
      <c r="D5073" s="339">
        <v>13.94</v>
      </c>
    </row>
    <row r="5074" spans="1:4" ht="54">
      <c r="A5074" s="337">
        <v>72181</v>
      </c>
      <c r="B5074" s="338" t="s">
        <v>5762</v>
      </c>
      <c r="C5074" s="337" t="s">
        <v>145</v>
      </c>
      <c r="D5074" s="339">
        <v>28.25</v>
      </c>
    </row>
    <row r="5075" spans="1:4" ht="54">
      <c r="A5075" s="337" t="s">
        <v>175</v>
      </c>
      <c r="B5075" s="338" t="s">
        <v>5763</v>
      </c>
      <c r="C5075" s="337" t="s">
        <v>145</v>
      </c>
      <c r="D5075" s="339">
        <v>260.72000000000003</v>
      </c>
    </row>
    <row r="5076" spans="1:4" ht="40.5">
      <c r="A5076" s="337" t="s">
        <v>5764</v>
      </c>
      <c r="B5076" s="338" t="s">
        <v>5765</v>
      </c>
      <c r="C5076" s="337" t="s">
        <v>145</v>
      </c>
      <c r="D5076" s="339">
        <v>181.57</v>
      </c>
    </row>
    <row r="5077" spans="1:4" ht="54">
      <c r="A5077" s="337" t="s">
        <v>5766</v>
      </c>
      <c r="B5077" s="338" t="s">
        <v>5767</v>
      </c>
      <c r="C5077" s="337" t="s">
        <v>145</v>
      </c>
      <c r="D5077" s="339">
        <v>563.9</v>
      </c>
    </row>
    <row r="5078" spans="1:4" ht="54">
      <c r="A5078" s="337">
        <v>79627</v>
      </c>
      <c r="B5078" s="338" t="s">
        <v>5768</v>
      </c>
      <c r="C5078" s="337" t="s">
        <v>145</v>
      </c>
      <c r="D5078" s="339">
        <v>657.2</v>
      </c>
    </row>
    <row r="5079" spans="1:4" ht="54">
      <c r="A5079" s="337">
        <v>96358</v>
      </c>
      <c r="B5079" s="338" t="s">
        <v>5769</v>
      </c>
      <c r="C5079" s="337" t="s">
        <v>145</v>
      </c>
      <c r="D5079" s="339">
        <v>78.680000000000007</v>
      </c>
    </row>
    <row r="5080" spans="1:4" ht="54">
      <c r="A5080" s="337">
        <v>96359</v>
      </c>
      <c r="B5080" s="338" t="s">
        <v>5770</v>
      </c>
      <c r="C5080" s="337" t="s">
        <v>145</v>
      </c>
      <c r="D5080" s="339">
        <v>87</v>
      </c>
    </row>
    <row r="5081" spans="1:4" ht="54">
      <c r="A5081" s="337">
        <v>96360</v>
      </c>
      <c r="B5081" s="338" t="s">
        <v>5771</v>
      </c>
      <c r="C5081" s="337" t="s">
        <v>145</v>
      </c>
      <c r="D5081" s="339">
        <v>101.18</v>
      </c>
    </row>
    <row r="5082" spans="1:4" ht="54">
      <c r="A5082" s="337">
        <v>96361</v>
      </c>
      <c r="B5082" s="338" t="s">
        <v>5772</v>
      </c>
      <c r="C5082" s="337" t="s">
        <v>145</v>
      </c>
      <c r="D5082" s="339">
        <v>117.46</v>
      </c>
    </row>
    <row r="5083" spans="1:4" ht="67.5">
      <c r="A5083" s="337">
        <v>96362</v>
      </c>
      <c r="B5083" s="338" t="s">
        <v>5773</v>
      </c>
      <c r="C5083" s="337" t="s">
        <v>145</v>
      </c>
      <c r="D5083" s="339">
        <v>103.24</v>
      </c>
    </row>
    <row r="5084" spans="1:4" ht="67.5">
      <c r="A5084" s="337">
        <v>96363</v>
      </c>
      <c r="B5084" s="338" t="s">
        <v>5774</v>
      </c>
      <c r="C5084" s="337" t="s">
        <v>145</v>
      </c>
      <c r="D5084" s="339">
        <v>111.81</v>
      </c>
    </row>
    <row r="5085" spans="1:4" ht="67.5">
      <c r="A5085" s="337">
        <v>96364</v>
      </c>
      <c r="B5085" s="338" t="s">
        <v>5775</v>
      </c>
      <c r="C5085" s="337" t="s">
        <v>145</v>
      </c>
      <c r="D5085" s="339">
        <v>125.74</v>
      </c>
    </row>
    <row r="5086" spans="1:4" ht="67.5">
      <c r="A5086" s="337">
        <v>96365</v>
      </c>
      <c r="B5086" s="338" t="s">
        <v>5776</v>
      </c>
      <c r="C5086" s="337" t="s">
        <v>145</v>
      </c>
      <c r="D5086" s="339">
        <v>142.26</v>
      </c>
    </row>
    <row r="5087" spans="1:4" ht="54">
      <c r="A5087" s="337">
        <v>96366</v>
      </c>
      <c r="B5087" s="338" t="s">
        <v>5777</v>
      </c>
      <c r="C5087" s="337" t="s">
        <v>145</v>
      </c>
      <c r="D5087" s="339">
        <v>127.79</v>
      </c>
    </row>
    <row r="5088" spans="1:4" ht="54">
      <c r="A5088" s="337">
        <v>96367</v>
      </c>
      <c r="B5088" s="338" t="s">
        <v>5778</v>
      </c>
      <c r="C5088" s="337" t="s">
        <v>145</v>
      </c>
      <c r="D5088" s="339">
        <v>136.59</v>
      </c>
    </row>
    <row r="5089" spans="1:4" ht="54">
      <c r="A5089" s="337">
        <v>96368</v>
      </c>
      <c r="B5089" s="338" t="s">
        <v>5779</v>
      </c>
      <c r="C5089" s="337" t="s">
        <v>145</v>
      </c>
      <c r="D5089" s="339">
        <v>150.29</v>
      </c>
    </row>
    <row r="5090" spans="1:4" ht="54">
      <c r="A5090" s="337">
        <v>96369</v>
      </c>
      <c r="B5090" s="338" t="s">
        <v>5780</v>
      </c>
      <c r="C5090" s="337" t="s">
        <v>145</v>
      </c>
      <c r="D5090" s="339">
        <v>167.05</v>
      </c>
    </row>
    <row r="5091" spans="1:4" ht="54">
      <c r="A5091" s="337">
        <v>96370</v>
      </c>
      <c r="B5091" s="338" t="s">
        <v>5781</v>
      </c>
      <c r="C5091" s="337" t="s">
        <v>145</v>
      </c>
      <c r="D5091" s="339">
        <v>50.94</v>
      </c>
    </row>
    <row r="5092" spans="1:4" ht="54">
      <c r="A5092" s="337">
        <v>96371</v>
      </c>
      <c r="B5092" s="338" t="s">
        <v>5782</v>
      </c>
      <c r="C5092" s="337" t="s">
        <v>145</v>
      </c>
      <c r="D5092" s="339">
        <v>59.13</v>
      </c>
    </row>
    <row r="5093" spans="1:4" ht="27">
      <c r="A5093" s="337">
        <v>96372</v>
      </c>
      <c r="B5093" s="338" t="s">
        <v>5783</v>
      </c>
      <c r="C5093" s="337" t="s">
        <v>145</v>
      </c>
      <c r="D5093" s="339">
        <v>25.9</v>
      </c>
    </row>
    <row r="5094" spans="1:4" ht="27">
      <c r="A5094" s="337">
        <v>96373</v>
      </c>
      <c r="B5094" s="338" t="s">
        <v>5784</v>
      </c>
      <c r="C5094" s="337" t="s">
        <v>172</v>
      </c>
      <c r="D5094" s="339">
        <v>7.63</v>
      </c>
    </row>
    <row r="5095" spans="1:4" ht="27">
      <c r="A5095" s="337">
        <v>96374</v>
      </c>
      <c r="B5095" s="338" t="s">
        <v>5785</v>
      </c>
      <c r="C5095" s="337" t="s">
        <v>172</v>
      </c>
      <c r="D5095" s="339">
        <v>15.04</v>
      </c>
    </row>
    <row r="5096" spans="1:4" ht="54">
      <c r="A5096" s="337" t="s">
        <v>5786</v>
      </c>
      <c r="B5096" s="338" t="s">
        <v>5787</v>
      </c>
      <c r="C5096" s="337" t="s">
        <v>145</v>
      </c>
      <c r="D5096" s="339">
        <v>54.51</v>
      </c>
    </row>
    <row r="5097" spans="1:4" ht="54">
      <c r="A5097" s="337" t="s">
        <v>5788</v>
      </c>
      <c r="B5097" s="338" t="s">
        <v>5789</v>
      </c>
      <c r="C5097" s="337" t="s">
        <v>145</v>
      </c>
      <c r="D5097" s="339">
        <v>111.56</v>
      </c>
    </row>
    <row r="5098" spans="1:4" ht="67.5">
      <c r="A5098" s="337" t="s">
        <v>5790</v>
      </c>
      <c r="B5098" s="338" t="s">
        <v>5791</v>
      </c>
      <c r="C5098" s="337" t="s">
        <v>145</v>
      </c>
      <c r="D5098" s="339">
        <v>46.01</v>
      </c>
    </row>
    <row r="5099" spans="1:4" ht="67.5">
      <c r="A5099" s="337" t="s">
        <v>5792</v>
      </c>
      <c r="B5099" s="338" t="s">
        <v>5793</v>
      </c>
      <c r="C5099" s="337" t="s">
        <v>145</v>
      </c>
      <c r="D5099" s="339">
        <v>38.22</v>
      </c>
    </row>
    <row r="5100" spans="1:4" ht="40.5">
      <c r="A5100" s="337">
        <v>83694</v>
      </c>
      <c r="B5100" s="338" t="s">
        <v>5794</v>
      </c>
      <c r="C5100" s="337" t="s">
        <v>145</v>
      </c>
      <c r="D5100" s="339">
        <v>13.27</v>
      </c>
    </row>
    <row r="5101" spans="1:4" ht="40.5">
      <c r="A5101" s="337" t="s">
        <v>5795</v>
      </c>
      <c r="B5101" s="338" t="s">
        <v>5796</v>
      </c>
      <c r="C5101" s="337" t="s">
        <v>145</v>
      </c>
      <c r="D5101" s="339">
        <v>21.54</v>
      </c>
    </row>
    <row r="5102" spans="1:4" ht="27">
      <c r="A5102" s="337">
        <v>83771</v>
      </c>
      <c r="B5102" s="338" t="s">
        <v>5797</v>
      </c>
      <c r="C5102" s="337" t="s">
        <v>178</v>
      </c>
      <c r="D5102" s="339">
        <v>6.76</v>
      </c>
    </row>
    <row r="5103" spans="1:4" ht="54">
      <c r="A5103" s="337">
        <v>92970</v>
      </c>
      <c r="B5103" s="338" t="s">
        <v>5798</v>
      </c>
      <c r="C5103" s="337" t="s">
        <v>145</v>
      </c>
      <c r="D5103" s="339">
        <v>10.53</v>
      </c>
    </row>
    <row r="5104" spans="1:4" ht="40.5">
      <c r="A5104" s="337">
        <v>41879</v>
      </c>
      <c r="B5104" s="338" t="s">
        <v>5799</v>
      </c>
      <c r="C5104" s="337" t="s">
        <v>145</v>
      </c>
      <c r="D5104" s="339">
        <v>0.11</v>
      </c>
    </row>
    <row r="5105" spans="1:4" ht="54">
      <c r="A5105" s="337">
        <v>72916</v>
      </c>
      <c r="B5105" s="338" t="s">
        <v>5800</v>
      </c>
      <c r="C5105" s="337" t="s">
        <v>178</v>
      </c>
      <c r="D5105" s="339">
        <v>29.93</v>
      </c>
    </row>
    <row r="5106" spans="1:4" ht="54">
      <c r="A5106" s="337">
        <v>72919</v>
      </c>
      <c r="B5106" s="338" t="s">
        <v>5801</v>
      </c>
      <c r="C5106" s="337" t="s">
        <v>178</v>
      </c>
      <c r="D5106" s="339">
        <v>45.05</v>
      </c>
    </row>
    <row r="5107" spans="1:4" ht="54">
      <c r="A5107" s="337">
        <v>72922</v>
      </c>
      <c r="B5107" s="338" t="s">
        <v>5802</v>
      </c>
      <c r="C5107" s="337" t="s">
        <v>178</v>
      </c>
      <c r="D5107" s="339">
        <v>62.39</v>
      </c>
    </row>
    <row r="5108" spans="1:4" ht="54">
      <c r="A5108" s="337">
        <v>72923</v>
      </c>
      <c r="B5108" s="338" t="s">
        <v>5803</v>
      </c>
      <c r="C5108" s="337" t="s">
        <v>178</v>
      </c>
      <c r="D5108" s="339">
        <v>64.900000000000006</v>
      </c>
    </row>
    <row r="5109" spans="1:4" ht="54">
      <c r="A5109" s="337">
        <v>72924</v>
      </c>
      <c r="B5109" s="338" t="s">
        <v>5804</v>
      </c>
      <c r="C5109" s="337" t="s">
        <v>178</v>
      </c>
      <c r="D5109" s="339">
        <v>55.51</v>
      </c>
    </row>
    <row r="5110" spans="1:4" ht="27">
      <c r="A5110" s="337">
        <v>72961</v>
      </c>
      <c r="B5110" s="338" t="s">
        <v>5805</v>
      </c>
      <c r="C5110" s="337" t="s">
        <v>145</v>
      </c>
      <c r="D5110" s="339">
        <v>1.2</v>
      </c>
    </row>
    <row r="5111" spans="1:4" ht="67.5">
      <c r="A5111" s="337">
        <v>96387</v>
      </c>
      <c r="B5111" s="338" t="s">
        <v>5806</v>
      </c>
      <c r="C5111" s="337" t="s">
        <v>178</v>
      </c>
      <c r="D5111" s="339">
        <v>6.02</v>
      </c>
    </row>
    <row r="5112" spans="1:4" ht="54">
      <c r="A5112" s="337">
        <v>96388</v>
      </c>
      <c r="B5112" s="338" t="s">
        <v>5807</v>
      </c>
      <c r="C5112" s="337" t="s">
        <v>178</v>
      </c>
      <c r="D5112" s="339">
        <v>5.78</v>
      </c>
    </row>
    <row r="5113" spans="1:4" ht="54">
      <c r="A5113" s="337">
        <v>96389</v>
      </c>
      <c r="B5113" s="338" t="s">
        <v>5808</v>
      </c>
      <c r="C5113" s="337" t="s">
        <v>178</v>
      </c>
      <c r="D5113" s="339">
        <v>32.11</v>
      </c>
    </row>
    <row r="5114" spans="1:4" ht="54">
      <c r="A5114" s="337">
        <v>96390</v>
      </c>
      <c r="B5114" s="338" t="s">
        <v>5809</v>
      </c>
      <c r="C5114" s="337" t="s">
        <v>178</v>
      </c>
      <c r="D5114" s="339">
        <v>55.06</v>
      </c>
    </row>
    <row r="5115" spans="1:4" ht="54">
      <c r="A5115" s="337">
        <v>96391</v>
      </c>
      <c r="B5115" s="338" t="s">
        <v>5810</v>
      </c>
      <c r="C5115" s="337" t="s">
        <v>178</v>
      </c>
      <c r="D5115" s="339">
        <v>77.61</v>
      </c>
    </row>
    <row r="5116" spans="1:4" ht="54">
      <c r="A5116" s="337">
        <v>96392</v>
      </c>
      <c r="B5116" s="338" t="s">
        <v>5811</v>
      </c>
      <c r="C5116" s="337" t="s">
        <v>178</v>
      </c>
      <c r="D5116" s="339">
        <v>104.28</v>
      </c>
    </row>
    <row r="5117" spans="1:4" ht="54">
      <c r="A5117" s="337">
        <v>96396</v>
      </c>
      <c r="B5117" s="338" t="s">
        <v>5812</v>
      </c>
      <c r="C5117" s="337" t="s">
        <v>178</v>
      </c>
      <c r="D5117" s="339">
        <v>111.19</v>
      </c>
    </row>
    <row r="5118" spans="1:4" ht="54">
      <c r="A5118" s="337">
        <v>96397</v>
      </c>
      <c r="B5118" s="338" t="s">
        <v>5813</v>
      </c>
      <c r="C5118" s="337" t="s">
        <v>178</v>
      </c>
      <c r="D5118" s="339">
        <v>152.59</v>
      </c>
    </row>
    <row r="5119" spans="1:4" ht="54">
      <c r="A5119" s="337">
        <v>96398</v>
      </c>
      <c r="B5119" s="338" t="s">
        <v>5814</v>
      </c>
      <c r="C5119" s="337" t="s">
        <v>178</v>
      </c>
      <c r="D5119" s="339">
        <v>169.05</v>
      </c>
    </row>
    <row r="5120" spans="1:4" ht="54">
      <c r="A5120" s="337">
        <v>96399</v>
      </c>
      <c r="B5120" s="338" t="s">
        <v>5815</v>
      </c>
      <c r="C5120" s="337" t="s">
        <v>178</v>
      </c>
      <c r="D5120" s="339">
        <v>91.78</v>
      </c>
    </row>
    <row r="5121" spans="1:4" ht="54">
      <c r="A5121" s="337">
        <v>96400</v>
      </c>
      <c r="B5121" s="338" t="s">
        <v>5816</v>
      </c>
      <c r="C5121" s="337" t="s">
        <v>178</v>
      </c>
      <c r="D5121" s="339">
        <v>100.36</v>
      </c>
    </row>
    <row r="5122" spans="1:4" ht="27">
      <c r="A5122" s="337">
        <v>96401</v>
      </c>
      <c r="B5122" s="338" t="s">
        <v>5817</v>
      </c>
      <c r="C5122" s="337" t="s">
        <v>145</v>
      </c>
      <c r="D5122" s="339">
        <v>5.25</v>
      </c>
    </row>
    <row r="5123" spans="1:4" ht="27">
      <c r="A5123" s="337">
        <v>96402</v>
      </c>
      <c r="B5123" s="338" t="s">
        <v>5818</v>
      </c>
      <c r="C5123" s="337" t="s">
        <v>145</v>
      </c>
      <c r="D5123" s="339">
        <v>2.92</v>
      </c>
    </row>
    <row r="5124" spans="1:4" ht="67.5">
      <c r="A5124" s="337">
        <v>72799</v>
      </c>
      <c r="B5124" s="338" t="s">
        <v>5819</v>
      </c>
      <c r="C5124" s="337" t="s">
        <v>145</v>
      </c>
      <c r="D5124" s="339">
        <v>75.16</v>
      </c>
    </row>
    <row r="5125" spans="1:4" ht="13.5">
      <c r="A5125" s="337">
        <v>72942</v>
      </c>
      <c r="B5125" s="338" t="s">
        <v>5820</v>
      </c>
      <c r="C5125" s="337" t="s">
        <v>145</v>
      </c>
      <c r="D5125" s="339">
        <v>1.47</v>
      </c>
    </row>
    <row r="5126" spans="1:4" ht="13.5">
      <c r="A5126" s="337">
        <v>72943</v>
      </c>
      <c r="B5126" s="338" t="s">
        <v>5821</v>
      </c>
      <c r="C5126" s="337" t="s">
        <v>145</v>
      </c>
      <c r="D5126" s="339">
        <v>1.57</v>
      </c>
    </row>
    <row r="5127" spans="1:4" ht="27">
      <c r="A5127" s="337">
        <v>72972</v>
      </c>
      <c r="B5127" s="338" t="s">
        <v>5822</v>
      </c>
      <c r="C5127" s="337" t="s">
        <v>145</v>
      </c>
      <c r="D5127" s="339">
        <v>0.76</v>
      </c>
    </row>
    <row r="5128" spans="1:4" ht="27">
      <c r="A5128" s="337">
        <v>72973</v>
      </c>
      <c r="B5128" s="338" t="s">
        <v>5823</v>
      </c>
      <c r="C5128" s="337" t="s">
        <v>172</v>
      </c>
      <c r="D5128" s="339">
        <v>1.43</v>
      </c>
    </row>
    <row r="5129" spans="1:4" ht="27">
      <c r="A5129" s="337">
        <v>72974</v>
      </c>
      <c r="B5129" s="338" t="s">
        <v>5824</v>
      </c>
      <c r="C5129" s="337" t="s">
        <v>145</v>
      </c>
      <c r="D5129" s="339">
        <v>4.76</v>
      </c>
    </row>
    <row r="5130" spans="1:4" ht="27">
      <c r="A5130" s="337">
        <v>72975</v>
      </c>
      <c r="B5130" s="338" t="s">
        <v>5825</v>
      </c>
      <c r="C5130" s="337" t="s">
        <v>145</v>
      </c>
      <c r="D5130" s="339">
        <v>0.53</v>
      </c>
    </row>
    <row r="5131" spans="1:4" ht="54">
      <c r="A5131" s="337">
        <v>72978</v>
      </c>
      <c r="B5131" s="338" t="s">
        <v>5826</v>
      </c>
      <c r="C5131" s="337" t="s">
        <v>172</v>
      </c>
      <c r="D5131" s="339">
        <v>4.76</v>
      </c>
    </row>
    <row r="5132" spans="1:4" ht="54">
      <c r="A5132" s="337">
        <v>72979</v>
      </c>
      <c r="B5132" s="338" t="s">
        <v>5827</v>
      </c>
      <c r="C5132" s="337" t="s">
        <v>145</v>
      </c>
      <c r="D5132" s="339">
        <v>9.1</v>
      </c>
    </row>
    <row r="5133" spans="1:4" ht="81">
      <c r="A5133" s="337" t="s">
        <v>5828</v>
      </c>
      <c r="B5133" s="338" t="s">
        <v>5829</v>
      </c>
      <c r="C5133" s="337" t="s">
        <v>145</v>
      </c>
      <c r="D5133" s="339">
        <v>3.62</v>
      </c>
    </row>
    <row r="5134" spans="1:4" ht="40.5">
      <c r="A5134" s="337" t="s">
        <v>5830</v>
      </c>
      <c r="B5134" s="338" t="s">
        <v>5831</v>
      </c>
      <c r="C5134" s="337" t="s">
        <v>178</v>
      </c>
      <c r="D5134" s="339">
        <v>687.02</v>
      </c>
    </row>
    <row r="5135" spans="1:4" ht="40.5">
      <c r="A5135" s="337" t="s">
        <v>5832</v>
      </c>
      <c r="B5135" s="338" t="s">
        <v>5833</v>
      </c>
      <c r="C5135" s="337" t="s">
        <v>178</v>
      </c>
      <c r="D5135" s="339">
        <v>514.69000000000005</v>
      </c>
    </row>
    <row r="5136" spans="1:4" ht="40.5">
      <c r="A5136" s="337">
        <v>92391</v>
      </c>
      <c r="B5136" s="338" t="s">
        <v>5834</v>
      </c>
      <c r="C5136" s="337" t="s">
        <v>145</v>
      </c>
      <c r="D5136" s="339">
        <v>59.71</v>
      </c>
    </row>
    <row r="5137" spans="1:4" ht="40.5">
      <c r="A5137" s="337">
        <v>92392</v>
      </c>
      <c r="B5137" s="338" t="s">
        <v>5835</v>
      </c>
      <c r="C5137" s="337" t="s">
        <v>145</v>
      </c>
      <c r="D5137" s="339">
        <v>62.66</v>
      </c>
    </row>
    <row r="5138" spans="1:4" ht="40.5">
      <c r="A5138" s="337">
        <v>92393</v>
      </c>
      <c r="B5138" s="338" t="s">
        <v>5836</v>
      </c>
      <c r="C5138" s="337" t="s">
        <v>145</v>
      </c>
      <c r="D5138" s="339">
        <v>53.33</v>
      </c>
    </row>
    <row r="5139" spans="1:4" ht="40.5">
      <c r="A5139" s="337">
        <v>92394</v>
      </c>
      <c r="B5139" s="338" t="s">
        <v>5837</v>
      </c>
      <c r="C5139" s="337" t="s">
        <v>145</v>
      </c>
      <c r="D5139" s="339">
        <v>57.17</v>
      </c>
    </row>
    <row r="5140" spans="1:4" ht="40.5">
      <c r="A5140" s="337">
        <v>92395</v>
      </c>
      <c r="B5140" s="338" t="s">
        <v>5838</v>
      </c>
      <c r="C5140" s="337" t="s">
        <v>145</v>
      </c>
      <c r="D5140" s="339">
        <v>72.3</v>
      </c>
    </row>
    <row r="5141" spans="1:4" ht="54">
      <c r="A5141" s="337">
        <v>92396</v>
      </c>
      <c r="B5141" s="338" t="s">
        <v>5839</v>
      </c>
      <c r="C5141" s="337" t="s">
        <v>145</v>
      </c>
      <c r="D5141" s="339">
        <v>62.62</v>
      </c>
    </row>
    <row r="5142" spans="1:4" ht="54">
      <c r="A5142" s="337">
        <v>92397</v>
      </c>
      <c r="B5142" s="338" t="s">
        <v>5840</v>
      </c>
      <c r="C5142" s="337" t="s">
        <v>145</v>
      </c>
      <c r="D5142" s="339">
        <v>52.51</v>
      </c>
    </row>
    <row r="5143" spans="1:4" ht="54">
      <c r="A5143" s="337">
        <v>92398</v>
      </c>
      <c r="B5143" s="338" t="s">
        <v>5841</v>
      </c>
      <c r="C5143" s="337" t="s">
        <v>145</v>
      </c>
      <c r="D5143" s="339">
        <v>61.27</v>
      </c>
    </row>
    <row r="5144" spans="1:4" ht="40.5">
      <c r="A5144" s="337">
        <v>92399</v>
      </c>
      <c r="B5144" s="338" t="s">
        <v>5842</v>
      </c>
      <c r="C5144" s="337" t="s">
        <v>145</v>
      </c>
      <c r="D5144" s="339">
        <v>62.39</v>
      </c>
    </row>
    <row r="5145" spans="1:4" ht="54">
      <c r="A5145" s="337">
        <v>92400</v>
      </c>
      <c r="B5145" s="338" t="s">
        <v>5843</v>
      </c>
      <c r="C5145" s="337" t="s">
        <v>145</v>
      </c>
      <c r="D5145" s="339">
        <v>71.97</v>
      </c>
    </row>
    <row r="5146" spans="1:4" ht="40.5">
      <c r="A5146" s="337">
        <v>92401</v>
      </c>
      <c r="B5146" s="338" t="s">
        <v>5844</v>
      </c>
      <c r="C5146" s="337" t="s">
        <v>145</v>
      </c>
      <c r="D5146" s="339">
        <v>73.180000000000007</v>
      </c>
    </row>
    <row r="5147" spans="1:4" ht="40.5">
      <c r="A5147" s="337">
        <v>92402</v>
      </c>
      <c r="B5147" s="338" t="s">
        <v>5845</v>
      </c>
      <c r="C5147" s="337" t="s">
        <v>145</v>
      </c>
      <c r="D5147" s="339">
        <v>61.99</v>
      </c>
    </row>
    <row r="5148" spans="1:4" ht="54">
      <c r="A5148" s="337">
        <v>92403</v>
      </c>
      <c r="B5148" s="338" t="s">
        <v>5846</v>
      </c>
      <c r="C5148" s="337" t="s">
        <v>145</v>
      </c>
      <c r="D5148" s="339">
        <v>51.85</v>
      </c>
    </row>
    <row r="5149" spans="1:4" ht="54">
      <c r="A5149" s="337">
        <v>92404</v>
      </c>
      <c r="B5149" s="338" t="s">
        <v>5847</v>
      </c>
      <c r="C5149" s="337" t="s">
        <v>145</v>
      </c>
      <c r="D5149" s="339">
        <v>60.05</v>
      </c>
    </row>
    <row r="5150" spans="1:4" ht="40.5">
      <c r="A5150" s="337">
        <v>92405</v>
      </c>
      <c r="B5150" s="338" t="s">
        <v>5848</v>
      </c>
      <c r="C5150" s="337" t="s">
        <v>145</v>
      </c>
      <c r="D5150" s="339">
        <v>61.14</v>
      </c>
    </row>
    <row r="5151" spans="1:4" ht="54">
      <c r="A5151" s="337">
        <v>92406</v>
      </c>
      <c r="B5151" s="338" t="s">
        <v>5849</v>
      </c>
      <c r="C5151" s="337" t="s">
        <v>145</v>
      </c>
      <c r="D5151" s="339">
        <v>73.28</v>
      </c>
    </row>
    <row r="5152" spans="1:4" ht="40.5">
      <c r="A5152" s="337">
        <v>92407</v>
      </c>
      <c r="B5152" s="338" t="s">
        <v>5850</v>
      </c>
      <c r="C5152" s="337" t="s">
        <v>145</v>
      </c>
      <c r="D5152" s="339">
        <v>74.459999999999994</v>
      </c>
    </row>
    <row r="5153" spans="1:4" ht="54">
      <c r="A5153" s="337">
        <v>93679</v>
      </c>
      <c r="B5153" s="338" t="s">
        <v>5851</v>
      </c>
      <c r="C5153" s="337" t="s">
        <v>145</v>
      </c>
      <c r="D5153" s="339">
        <v>68.459999999999994</v>
      </c>
    </row>
    <row r="5154" spans="1:4" ht="54">
      <c r="A5154" s="337">
        <v>93680</v>
      </c>
      <c r="B5154" s="338" t="s">
        <v>5852</v>
      </c>
      <c r="C5154" s="337" t="s">
        <v>145</v>
      </c>
      <c r="D5154" s="339">
        <v>58.1</v>
      </c>
    </row>
    <row r="5155" spans="1:4" ht="54">
      <c r="A5155" s="337">
        <v>93681</v>
      </c>
      <c r="B5155" s="338" t="s">
        <v>5853</v>
      </c>
      <c r="C5155" s="337" t="s">
        <v>145</v>
      </c>
      <c r="D5155" s="339">
        <v>69.92</v>
      </c>
    </row>
    <row r="5156" spans="1:4" ht="40.5">
      <c r="A5156" s="337">
        <v>93682</v>
      </c>
      <c r="B5156" s="338" t="s">
        <v>5854</v>
      </c>
      <c r="C5156" s="337" t="s">
        <v>145</v>
      </c>
      <c r="D5156" s="339">
        <v>71.14</v>
      </c>
    </row>
    <row r="5157" spans="1:4" ht="27">
      <c r="A5157" s="337">
        <v>97114</v>
      </c>
      <c r="B5157" s="338" t="s">
        <v>5855</v>
      </c>
      <c r="C5157" s="337" t="s">
        <v>172</v>
      </c>
      <c r="D5157" s="339">
        <v>0.3</v>
      </c>
    </row>
    <row r="5158" spans="1:4" ht="40.5">
      <c r="A5158" s="337">
        <v>97115</v>
      </c>
      <c r="B5158" s="338" t="s">
        <v>5856</v>
      </c>
      <c r="C5158" s="337" t="s">
        <v>283</v>
      </c>
      <c r="D5158" s="339">
        <v>24.97</v>
      </c>
    </row>
    <row r="5159" spans="1:4" ht="40.5">
      <c r="A5159" s="337">
        <v>97120</v>
      </c>
      <c r="B5159" s="338" t="s">
        <v>5857</v>
      </c>
      <c r="C5159" s="337" t="s">
        <v>283</v>
      </c>
      <c r="D5159" s="339">
        <v>6.04</v>
      </c>
    </row>
    <row r="5160" spans="1:4" ht="40.5">
      <c r="A5160" s="337">
        <v>97802</v>
      </c>
      <c r="B5160" s="338" t="s">
        <v>5858</v>
      </c>
      <c r="C5160" s="337" t="s">
        <v>145</v>
      </c>
      <c r="D5160" s="339">
        <v>3.2</v>
      </c>
    </row>
    <row r="5161" spans="1:4" ht="54">
      <c r="A5161" s="337">
        <v>97803</v>
      </c>
      <c r="B5161" s="338" t="s">
        <v>5859</v>
      </c>
      <c r="C5161" s="337" t="s">
        <v>145</v>
      </c>
      <c r="D5161" s="339">
        <v>3.83</v>
      </c>
    </row>
    <row r="5162" spans="1:4" ht="40.5">
      <c r="A5162" s="337">
        <v>97805</v>
      </c>
      <c r="B5162" s="338" t="s">
        <v>5860</v>
      </c>
      <c r="C5162" s="337" t="s">
        <v>145</v>
      </c>
      <c r="D5162" s="339">
        <v>7.04</v>
      </c>
    </row>
    <row r="5163" spans="1:4" ht="54">
      <c r="A5163" s="337">
        <v>97806</v>
      </c>
      <c r="B5163" s="338" t="s">
        <v>5861</v>
      </c>
      <c r="C5163" s="337" t="s">
        <v>145</v>
      </c>
      <c r="D5163" s="339">
        <v>8.51</v>
      </c>
    </row>
    <row r="5164" spans="1:4" ht="54">
      <c r="A5164" s="337">
        <v>97807</v>
      </c>
      <c r="B5164" s="338" t="s">
        <v>5862</v>
      </c>
      <c r="C5164" s="337" t="s">
        <v>145</v>
      </c>
      <c r="D5164" s="339">
        <v>9.93</v>
      </c>
    </row>
    <row r="5165" spans="1:4" ht="40.5">
      <c r="A5165" s="337">
        <v>97809</v>
      </c>
      <c r="B5165" s="338" t="s">
        <v>5863</v>
      </c>
      <c r="C5165" s="337" t="s">
        <v>145</v>
      </c>
      <c r="D5165" s="339">
        <v>12.68</v>
      </c>
    </row>
    <row r="5166" spans="1:4" ht="54">
      <c r="A5166" s="337">
        <v>97810</v>
      </c>
      <c r="B5166" s="338" t="s">
        <v>5864</v>
      </c>
      <c r="C5166" s="337" t="s">
        <v>145</v>
      </c>
      <c r="D5166" s="339">
        <v>14.15</v>
      </c>
    </row>
    <row r="5167" spans="1:4" ht="54">
      <c r="A5167" s="337">
        <v>97811</v>
      </c>
      <c r="B5167" s="338" t="s">
        <v>5865</v>
      </c>
      <c r="C5167" s="337" t="s">
        <v>145</v>
      </c>
      <c r="D5167" s="339">
        <v>15.58</v>
      </c>
    </row>
    <row r="5168" spans="1:4" ht="40.5">
      <c r="A5168" s="337">
        <v>97813</v>
      </c>
      <c r="B5168" s="338" t="s">
        <v>5866</v>
      </c>
      <c r="C5168" s="337" t="s">
        <v>145</v>
      </c>
      <c r="D5168" s="339">
        <v>3.36</v>
      </c>
    </row>
    <row r="5169" spans="1:4" ht="54">
      <c r="A5169" s="337">
        <v>97814</v>
      </c>
      <c r="B5169" s="338" t="s">
        <v>5867</v>
      </c>
      <c r="C5169" s="337" t="s">
        <v>145</v>
      </c>
      <c r="D5169" s="339">
        <v>3.99</v>
      </c>
    </row>
    <row r="5170" spans="1:4" ht="40.5">
      <c r="A5170" s="337">
        <v>97816</v>
      </c>
      <c r="B5170" s="338" t="s">
        <v>5868</v>
      </c>
      <c r="C5170" s="337" t="s">
        <v>145</v>
      </c>
      <c r="D5170" s="339">
        <v>7.52</v>
      </c>
    </row>
    <row r="5171" spans="1:4" ht="54">
      <c r="A5171" s="337">
        <v>97817</v>
      </c>
      <c r="B5171" s="338" t="s">
        <v>5869</v>
      </c>
      <c r="C5171" s="337" t="s">
        <v>145</v>
      </c>
      <c r="D5171" s="339">
        <v>8.98</v>
      </c>
    </row>
    <row r="5172" spans="1:4" ht="54">
      <c r="A5172" s="337">
        <v>97818</v>
      </c>
      <c r="B5172" s="338" t="s">
        <v>5870</v>
      </c>
      <c r="C5172" s="337" t="s">
        <v>145</v>
      </c>
      <c r="D5172" s="339">
        <v>10.56</v>
      </c>
    </row>
    <row r="5173" spans="1:4" ht="40.5">
      <c r="A5173" s="337">
        <v>97820</v>
      </c>
      <c r="B5173" s="338" t="s">
        <v>5871</v>
      </c>
      <c r="C5173" s="337" t="s">
        <v>145</v>
      </c>
      <c r="D5173" s="339">
        <v>13.62</v>
      </c>
    </row>
    <row r="5174" spans="1:4" ht="54">
      <c r="A5174" s="337">
        <v>97821</v>
      </c>
      <c r="B5174" s="338" t="s">
        <v>5872</v>
      </c>
      <c r="C5174" s="337" t="s">
        <v>145</v>
      </c>
      <c r="D5174" s="339">
        <v>15.09</v>
      </c>
    </row>
    <row r="5175" spans="1:4" ht="54">
      <c r="A5175" s="337">
        <v>97822</v>
      </c>
      <c r="B5175" s="338" t="s">
        <v>5873</v>
      </c>
      <c r="C5175" s="337" t="s">
        <v>145</v>
      </c>
      <c r="D5175" s="339">
        <v>16.690000000000001</v>
      </c>
    </row>
    <row r="5176" spans="1:4" ht="40.5">
      <c r="A5176" s="337">
        <v>72947</v>
      </c>
      <c r="B5176" s="338" t="s">
        <v>5874</v>
      </c>
      <c r="C5176" s="337" t="s">
        <v>145</v>
      </c>
      <c r="D5176" s="339">
        <v>26.52</v>
      </c>
    </row>
    <row r="5177" spans="1:4" ht="13.5">
      <c r="A5177" s="337">
        <v>83693</v>
      </c>
      <c r="B5177" s="338" t="s">
        <v>5875</v>
      </c>
      <c r="C5177" s="337" t="s">
        <v>145</v>
      </c>
      <c r="D5177" s="339">
        <v>2.92</v>
      </c>
    </row>
    <row r="5178" spans="1:4" ht="67.5">
      <c r="A5178" s="337" t="s">
        <v>5876</v>
      </c>
      <c r="B5178" s="338" t="s">
        <v>5877</v>
      </c>
      <c r="C5178" s="337" t="s">
        <v>172</v>
      </c>
      <c r="D5178" s="339">
        <v>464.12</v>
      </c>
    </row>
    <row r="5179" spans="1:4" ht="40.5">
      <c r="A5179" s="337" t="s">
        <v>5878</v>
      </c>
      <c r="B5179" s="338" t="s">
        <v>5879</v>
      </c>
      <c r="C5179" s="337" t="s">
        <v>172</v>
      </c>
      <c r="D5179" s="339">
        <v>401.15</v>
      </c>
    </row>
    <row r="5180" spans="1:4" ht="54">
      <c r="A5180" s="337" t="s">
        <v>5880</v>
      </c>
      <c r="B5180" s="338" t="s">
        <v>5881</v>
      </c>
      <c r="C5180" s="337" t="s">
        <v>145</v>
      </c>
      <c r="D5180" s="339">
        <v>4.74</v>
      </c>
    </row>
    <row r="5181" spans="1:4" ht="27">
      <c r="A5181" s="337">
        <v>72962</v>
      </c>
      <c r="B5181" s="338" t="s">
        <v>5882</v>
      </c>
      <c r="C5181" s="337" t="s">
        <v>5529</v>
      </c>
      <c r="D5181" s="339">
        <v>248.1</v>
      </c>
    </row>
    <row r="5182" spans="1:4" ht="27">
      <c r="A5182" s="337">
        <v>72963</v>
      </c>
      <c r="B5182" s="338" t="s">
        <v>5883</v>
      </c>
      <c r="C5182" s="337" t="s">
        <v>5529</v>
      </c>
      <c r="D5182" s="339">
        <v>206.96</v>
      </c>
    </row>
    <row r="5183" spans="1:4" ht="67.5">
      <c r="A5183" s="337">
        <v>95990</v>
      </c>
      <c r="B5183" s="338" t="s">
        <v>5884</v>
      </c>
      <c r="C5183" s="337" t="s">
        <v>178</v>
      </c>
      <c r="D5183" s="339">
        <v>707.8</v>
      </c>
    </row>
    <row r="5184" spans="1:4" ht="54">
      <c r="A5184" s="337">
        <v>95992</v>
      </c>
      <c r="B5184" s="338" t="s">
        <v>5885</v>
      </c>
      <c r="C5184" s="337" t="s">
        <v>178</v>
      </c>
      <c r="D5184" s="339">
        <v>655.94</v>
      </c>
    </row>
    <row r="5185" spans="1:4" ht="67.5">
      <c r="A5185" s="337">
        <v>95993</v>
      </c>
      <c r="B5185" s="338" t="s">
        <v>5886</v>
      </c>
      <c r="C5185" s="337" t="s">
        <v>178</v>
      </c>
      <c r="D5185" s="339">
        <v>679.25</v>
      </c>
    </row>
    <row r="5186" spans="1:4" ht="54">
      <c r="A5186" s="337">
        <v>95994</v>
      </c>
      <c r="B5186" s="338" t="s">
        <v>5887</v>
      </c>
      <c r="C5186" s="337" t="s">
        <v>178</v>
      </c>
      <c r="D5186" s="339">
        <v>635.33000000000004</v>
      </c>
    </row>
    <row r="5187" spans="1:4" ht="67.5">
      <c r="A5187" s="337">
        <v>95995</v>
      </c>
      <c r="B5187" s="338" t="s">
        <v>5888</v>
      </c>
      <c r="C5187" s="337" t="s">
        <v>178</v>
      </c>
      <c r="D5187" s="339">
        <v>661.49</v>
      </c>
    </row>
    <row r="5188" spans="1:4" ht="54">
      <c r="A5188" s="337">
        <v>95996</v>
      </c>
      <c r="B5188" s="338" t="s">
        <v>5889</v>
      </c>
      <c r="C5188" s="337" t="s">
        <v>178</v>
      </c>
      <c r="D5188" s="339">
        <v>622.5</v>
      </c>
    </row>
    <row r="5189" spans="1:4" ht="67.5">
      <c r="A5189" s="337">
        <v>95997</v>
      </c>
      <c r="B5189" s="338" t="s">
        <v>5890</v>
      </c>
      <c r="C5189" s="337" t="s">
        <v>178</v>
      </c>
      <c r="D5189" s="339">
        <v>650.62</v>
      </c>
    </row>
    <row r="5190" spans="1:4" ht="54">
      <c r="A5190" s="337">
        <v>95998</v>
      </c>
      <c r="B5190" s="338" t="s">
        <v>5891</v>
      </c>
      <c r="C5190" s="337" t="s">
        <v>178</v>
      </c>
      <c r="D5190" s="339">
        <v>614.70000000000005</v>
      </c>
    </row>
    <row r="5191" spans="1:4" ht="67.5">
      <c r="A5191" s="337">
        <v>95999</v>
      </c>
      <c r="B5191" s="338" t="s">
        <v>5892</v>
      </c>
      <c r="C5191" s="337" t="s">
        <v>178</v>
      </c>
      <c r="D5191" s="339">
        <v>642.87</v>
      </c>
    </row>
    <row r="5192" spans="1:4" ht="54">
      <c r="A5192" s="337">
        <v>96000</v>
      </c>
      <c r="B5192" s="338" t="s">
        <v>5893</v>
      </c>
      <c r="C5192" s="337" t="s">
        <v>178</v>
      </c>
      <c r="D5192" s="339">
        <v>609.09</v>
      </c>
    </row>
    <row r="5193" spans="1:4" ht="54">
      <c r="A5193" s="337">
        <v>96001</v>
      </c>
      <c r="B5193" s="338" t="s">
        <v>5894</v>
      </c>
      <c r="C5193" s="337" t="s">
        <v>145</v>
      </c>
      <c r="D5193" s="339">
        <v>4.58</v>
      </c>
    </row>
    <row r="5194" spans="1:4" ht="40.5">
      <c r="A5194" s="337">
        <v>96002</v>
      </c>
      <c r="B5194" s="338" t="s">
        <v>5895</v>
      </c>
      <c r="C5194" s="337" t="s">
        <v>145</v>
      </c>
      <c r="D5194" s="339">
        <v>5.26</v>
      </c>
    </row>
    <row r="5195" spans="1:4" ht="40.5">
      <c r="A5195" s="337">
        <v>96393</v>
      </c>
      <c r="B5195" s="338" t="s">
        <v>5896</v>
      </c>
      <c r="C5195" s="337" t="s">
        <v>178</v>
      </c>
      <c r="D5195" s="339">
        <v>105.68</v>
      </c>
    </row>
    <row r="5196" spans="1:4" ht="40.5">
      <c r="A5196" s="337">
        <v>96394</v>
      </c>
      <c r="B5196" s="338" t="s">
        <v>5897</v>
      </c>
      <c r="C5196" s="337" t="s">
        <v>178</v>
      </c>
      <c r="D5196" s="339">
        <v>146.46</v>
      </c>
    </row>
    <row r="5197" spans="1:4" ht="40.5">
      <c r="A5197" s="337">
        <v>96395</v>
      </c>
      <c r="B5197" s="338" t="s">
        <v>5898</v>
      </c>
      <c r="C5197" s="337" t="s">
        <v>178</v>
      </c>
      <c r="D5197" s="339">
        <v>163.57</v>
      </c>
    </row>
    <row r="5198" spans="1:4" ht="40.5">
      <c r="A5198" s="337">
        <v>73445</v>
      </c>
      <c r="B5198" s="338" t="s">
        <v>5899</v>
      </c>
      <c r="C5198" s="337" t="s">
        <v>145</v>
      </c>
      <c r="D5198" s="339">
        <v>7.31</v>
      </c>
    </row>
    <row r="5199" spans="1:4" ht="13.5">
      <c r="A5199" s="337">
        <v>73446</v>
      </c>
      <c r="B5199" s="338" t="s">
        <v>5900</v>
      </c>
      <c r="C5199" s="337" t="s">
        <v>145</v>
      </c>
      <c r="D5199" s="339">
        <v>16.41</v>
      </c>
    </row>
    <row r="5200" spans="1:4" ht="13.5">
      <c r="A5200" s="337" t="s">
        <v>5901</v>
      </c>
      <c r="B5200" s="338" t="s">
        <v>5902</v>
      </c>
      <c r="C5200" s="337" t="s">
        <v>145</v>
      </c>
      <c r="D5200" s="339">
        <v>13.79</v>
      </c>
    </row>
    <row r="5201" spans="1:4" ht="27">
      <c r="A5201" s="337" t="s">
        <v>5903</v>
      </c>
      <c r="B5201" s="338" t="s">
        <v>5904</v>
      </c>
      <c r="C5201" s="337" t="s">
        <v>145</v>
      </c>
      <c r="D5201" s="339">
        <v>17.260000000000002</v>
      </c>
    </row>
    <row r="5202" spans="1:4" ht="13.5">
      <c r="A5202" s="337">
        <v>79462</v>
      </c>
      <c r="B5202" s="338" t="s">
        <v>5905</v>
      </c>
      <c r="C5202" s="337" t="s">
        <v>145</v>
      </c>
      <c r="D5202" s="339">
        <v>43.53</v>
      </c>
    </row>
    <row r="5203" spans="1:4" ht="40.5">
      <c r="A5203" s="337" t="s">
        <v>5906</v>
      </c>
      <c r="B5203" s="338" t="s">
        <v>5907</v>
      </c>
      <c r="C5203" s="337" t="s">
        <v>145</v>
      </c>
      <c r="D5203" s="339">
        <v>10.14</v>
      </c>
    </row>
    <row r="5204" spans="1:4" ht="27">
      <c r="A5204" s="337">
        <v>84651</v>
      </c>
      <c r="B5204" s="338" t="s">
        <v>5908</v>
      </c>
      <c r="C5204" s="337" t="s">
        <v>145</v>
      </c>
      <c r="D5204" s="339">
        <v>8.2899999999999991</v>
      </c>
    </row>
    <row r="5205" spans="1:4" ht="54">
      <c r="A5205" s="337">
        <v>88411</v>
      </c>
      <c r="B5205" s="338" t="s">
        <v>5909</v>
      </c>
      <c r="C5205" s="337" t="s">
        <v>145</v>
      </c>
      <c r="D5205" s="339">
        <v>1.71</v>
      </c>
    </row>
    <row r="5206" spans="1:4" ht="54">
      <c r="A5206" s="337">
        <v>88412</v>
      </c>
      <c r="B5206" s="338" t="s">
        <v>5910</v>
      </c>
      <c r="C5206" s="337" t="s">
        <v>145</v>
      </c>
      <c r="D5206" s="339">
        <v>1.23</v>
      </c>
    </row>
    <row r="5207" spans="1:4" ht="54">
      <c r="A5207" s="337">
        <v>88413</v>
      </c>
      <c r="B5207" s="338" t="s">
        <v>5911</v>
      </c>
      <c r="C5207" s="337" t="s">
        <v>145</v>
      </c>
      <c r="D5207" s="339">
        <v>2.65</v>
      </c>
    </row>
    <row r="5208" spans="1:4" ht="54">
      <c r="A5208" s="337">
        <v>88414</v>
      </c>
      <c r="B5208" s="338" t="s">
        <v>5912</v>
      </c>
      <c r="C5208" s="337" t="s">
        <v>145</v>
      </c>
      <c r="D5208" s="339">
        <v>2.95</v>
      </c>
    </row>
    <row r="5209" spans="1:4" ht="40.5">
      <c r="A5209" s="337">
        <v>88415</v>
      </c>
      <c r="B5209" s="338" t="s">
        <v>5913</v>
      </c>
      <c r="C5209" s="337" t="s">
        <v>145</v>
      </c>
      <c r="D5209" s="339">
        <v>1.86</v>
      </c>
    </row>
    <row r="5210" spans="1:4" ht="67.5">
      <c r="A5210" s="337">
        <v>88416</v>
      </c>
      <c r="B5210" s="338" t="s">
        <v>5914</v>
      </c>
      <c r="C5210" s="337" t="s">
        <v>145</v>
      </c>
      <c r="D5210" s="339">
        <v>13.02</v>
      </c>
    </row>
    <row r="5211" spans="1:4" ht="67.5">
      <c r="A5211" s="337">
        <v>88417</v>
      </c>
      <c r="B5211" s="338" t="s">
        <v>5915</v>
      </c>
      <c r="C5211" s="337" t="s">
        <v>145</v>
      </c>
      <c r="D5211" s="339">
        <v>11.35</v>
      </c>
    </row>
    <row r="5212" spans="1:4" ht="67.5">
      <c r="A5212" s="337">
        <v>88420</v>
      </c>
      <c r="B5212" s="338" t="s">
        <v>5916</v>
      </c>
      <c r="C5212" s="337" t="s">
        <v>145</v>
      </c>
      <c r="D5212" s="339">
        <v>16.399999999999999</v>
      </c>
    </row>
    <row r="5213" spans="1:4" ht="67.5">
      <c r="A5213" s="337">
        <v>88421</v>
      </c>
      <c r="B5213" s="338" t="s">
        <v>5917</v>
      </c>
      <c r="C5213" s="337" t="s">
        <v>145</v>
      </c>
      <c r="D5213" s="339">
        <v>17.46</v>
      </c>
    </row>
    <row r="5214" spans="1:4" ht="40.5">
      <c r="A5214" s="337">
        <v>88423</v>
      </c>
      <c r="B5214" s="338" t="s">
        <v>5918</v>
      </c>
      <c r="C5214" s="337" t="s">
        <v>145</v>
      </c>
      <c r="D5214" s="339">
        <v>13.54</v>
      </c>
    </row>
    <row r="5215" spans="1:4" ht="67.5">
      <c r="A5215" s="337">
        <v>88424</v>
      </c>
      <c r="B5215" s="338" t="s">
        <v>5919</v>
      </c>
      <c r="C5215" s="337" t="s">
        <v>145</v>
      </c>
      <c r="D5215" s="339">
        <v>15.33</v>
      </c>
    </row>
    <row r="5216" spans="1:4" ht="67.5">
      <c r="A5216" s="337">
        <v>88426</v>
      </c>
      <c r="B5216" s="338" t="s">
        <v>5920</v>
      </c>
      <c r="C5216" s="337" t="s">
        <v>145</v>
      </c>
      <c r="D5216" s="339">
        <v>12.43</v>
      </c>
    </row>
    <row r="5217" spans="1:4" ht="67.5">
      <c r="A5217" s="337">
        <v>88428</v>
      </c>
      <c r="B5217" s="338" t="s">
        <v>5921</v>
      </c>
      <c r="C5217" s="337" t="s">
        <v>145</v>
      </c>
      <c r="D5217" s="339">
        <v>21.13</v>
      </c>
    </row>
    <row r="5218" spans="1:4" ht="67.5">
      <c r="A5218" s="337">
        <v>88429</v>
      </c>
      <c r="B5218" s="338" t="s">
        <v>5922</v>
      </c>
      <c r="C5218" s="337" t="s">
        <v>145</v>
      </c>
      <c r="D5218" s="339">
        <v>22.99</v>
      </c>
    </row>
    <row r="5219" spans="1:4" ht="54">
      <c r="A5219" s="337">
        <v>88431</v>
      </c>
      <c r="B5219" s="338" t="s">
        <v>5923</v>
      </c>
      <c r="C5219" s="337" t="s">
        <v>145</v>
      </c>
      <c r="D5219" s="339">
        <v>16.23</v>
      </c>
    </row>
    <row r="5220" spans="1:4" ht="54">
      <c r="A5220" s="337">
        <v>88432</v>
      </c>
      <c r="B5220" s="338" t="s">
        <v>5924</v>
      </c>
      <c r="C5220" s="337" t="s">
        <v>145</v>
      </c>
      <c r="D5220" s="339">
        <v>11.85</v>
      </c>
    </row>
    <row r="5221" spans="1:4" ht="27">
      <c r="A5221" s="337">
        <v>88482</v>
      </c>
      <c r="B5221" s="338" t="s">
        <v>5925</v>
      </c>
      <c r="C5221" s="337" t="s">
        <v>145</v>
      </c>
      <c r="D5221" s="339">
        <v>2.1800000000000002</v>
      </c>
    </row>
    <row r="5222" spans="1:4" ht="27">
      <c r="A5222" s="337">
        <v>88483</v>
      </c>
      <c r="B5222" s="338" t="s">
        <v>5926</v>
      </c>
      <c r="C5222" s="337" t="s">
        <v>145</v>
      </c>
      <c r="D5222" s="339">
        <v>1.98</v>
      </c>
    </row>
    <row r="5223" spans="1:4" ht="27">
      <c r="A5223" s="337">
        <v>88484</v>
      </c>
      <c r="B5223" s="338" t="s">
        <v>5927</v>
      </c>
      <c r="C5223" s="337" t="s">
        <v>145</v>
      </c>
      <c r="D5223" s="339">
        <v>1.88</v>
      </c>
    </row>
    <row r="5224" spans="1:4" ht="27">
      <c r="A5224" s="337">
        <v>88485</v>
      </c>
      <c r="B5224" s="338" t="s">
        <v>5928</v>
      </c>
      <c r="C5224" s="337" t="s">
        <v>145</v>
      </c>
      <c r="D5224" s="339">
        <v>1.6</v>
      </c>
    </row>
    <row r="5225" spans="1:4" ht="40.5">
      <c r="A5225" s="337">
        <v>88486</v>
      </c>
      <c r="B5225" s="338" t="s">
        <v>5929</v>
      </c>
      <c r="C5225" s="337" t="s">
        <v>145</v>
      </c>
      <c r="D5225" s="339">
        <v>8.56</v>
      </c>
    </row>
    <row r="5226" spans="1:4" ht="40.5">
      <c r="A5226" s="337">
        <v>88487</v>
      </c>
      <c r="B5226" s="338" t="s">
        <v>5930</v>
      </c>
      <c r="C5226" s="337" t="s">
        <v>145</v>
      </c>
      <c r="D5226" s="339">
        <v>7.66</v>
      </c>
    </row>
    <row r="5227" spans="1:4" ht="40.5">
      <c r="A5227" s="337">
        <v>88488</v>
      </c>
      <c r="B5227" s="338" t="s">
        <v>5931</v>
      </c>
      <c r="C5227" s="337" t="s">
        <v>145</v>
      </c>
      <c r="D5227" s="339">
        <v>10.98</v>
      </c>
    </row>
    <row r="5228" spans="1:4" ht="40.5">
      <c r="A5228" s="337">
        <v>88489</v>
      </c>
      <c r="B5228" s="338" t="s">
        <v>5932</v>
      </c>
      <c r="C5228" s="337" t="s">
        <v>145</v>
      </c>
      <c r="D5228" s="339">
        <v>9.69</v>
      </c>
    </row>
    <row r="5229" spans="1:4" ht="40.5">
      <c r="A5229" s="337">
        <v>88490</v>
      </c>
      <c r="B5229" s="338" t="s">
        <v>5933</v>
      </c>
      <c r="C5229" s="337" t="s">
        <v>145</v>
      </c>
      <c r="D5229" s="339">
        <v>6.24</v>
      </c>
    </row>
    <row r="5230" spans="1:4" ht="40.5">
      <c r="A5230" s="337">
        <v>88491</v>
      </c>
      <c r="B5230" s="338" t="s">
        <v>5934</v>
      </c>
      <c r="C5230" s="337" t="s">
        <v>145</v>
      </c>
      <c r="D5230" s="339">
        <v>6.02</v>
      </c>
    </row>
    <row r="5231" spans="1:4" ht="40.5">
      <c r="A5231" s="337">
        <v>88492</v>
      </c>
      <c r="B5231" s="338" t="s">
        <v>5935</v>
      </c>
      <c r="C5231" s="337" t="s">
        <v>145</v>
      </c>
      <c r="D5231" s="339">
        <v>7.49</v>
      </c>
    </row>
    <row r="5232" spans="1:4" ht="40.5">
      <c r="A5232" s="337">
        <v>88493</v>
      </c>
      <c r="B5232" s="338" t="s">
        <v>5936</v>
      </c>
      <c r="C5232" s="337" t="s">
        <v>145</v>
      </c>
      <c r="D5232" s="339">
        <v>7.18</v>
      </c>
    </row>
    <row r="5233" spans="1:4" ht="27">
      <c r="A5233" s="337">
        <v>88494</v>
      </c>
      <c r="B5233" s="338" t="s">
        <v>5937</v>
      </c>
      <c r="C5233" s="337" t="s">
        <v>145</v>
      </c>
      <c r="D5233" s="339">
        <v>13.47</v>
      </c>
    </row>
    <row r="5234" spans="1:4" ht="27">
      <c r="A5234" s="337">
        <v>88495</v>
      </c>
      <c r="B5234" s="338" t="s">
        <v>5938</v>
      </c>
      <c r="C5234" s="337" t="s">
        <v>145</v>
      </c>
      <c r="D5234" s="339">
        <v>7.32</v>
      </c>
    </row>
    <row r="5235" spans="1:4" ht="27">
      <c r="A5235" s="337">
        <v>88496</v>
      </c>
      <c r="B5235" s="338" t="s">
        <v>5939</v>
      </c>
      <c r="C5235" s="337" t="s">
        <v>145</v>
      </c>
      <c r="D5235" s="339">
        <v>18.28</v>
      </c>
    </row>
    <row r="5236" spans="1:4" ht="27">
      <c r="A5236" s="337">
        <v>88497</v>
      </c>
      <c r="B5236" s="338" t="s">
        <v>5940</v>
      </c>
      <c r="C5236" s="337" t="s">
        <v>145</v>
      </c>
      <c r="D5236" s="339">
        <v>10.07</v>
      </c>
    </row>
    <row r="5237" spans="1:4" ht="27">
      <c r="A5237" s="337">
        <v>95305</v>
      </c>
      <c r="B5237" s="338" t="s">
        <v>5941</v>
      </c>
      <c r="C5237" s="337" t="s">
        <v>145</v>
      </c>
      <c r="D5237" s="339">
        <v>10.06</v>
      </c>
    </row>
    <row r="5238" spans="1:4" ht="27">
      <c r="A5238" s="337">
        <v>95306</v>
      </c>
      <c r="B5238" s="338" t="s">
        <v>5942</v>
      </c>
      <c r="C5238" s="337" t="s">
        <v>145</v>
      </c>
      <c r="D5238" s="339">
        <v>11.7</v>
      </c>
    </row>
    <row r="5239" spans="1:4" ht="54">
      <c r="A5239" s="337">
        <v>95622</v>
      </c>
      <c r="B5239" s="338" t="s">
        <v>5943</v>
      </c>
      <c r="C5239" s="337" t="s">
        <v>145</v>
      </c>
      <c r="D5239" s="339">
        <v>9.8000000000000007</v>
      </c>
    </row>
    <row r="5240" spans="1:4" ht="54">
      <c r="A5240" s="337">
        <v>95623</v>
      </c>
      <c r="B5240" s="338" t="s">
        <v>5944</v>
      </c>
      <c r="C5240" s="337" t="s">
        <v>145</v>
      </c>
      <c r="D5240" s="339">
        <v>7.52</v>
      </c>
    </row>
    <row r="5241" spans="1:4" ht="54">
      <c r="A5241" s="337">
        <v>95624</v>
      </c>
      <c r="B5241" s="338" t="s">
        <v>5945</v>
      </c>
      <c r="C5241" s="337" t="s">
        <v>145</v>
      </c>
      <c r="D5241" s="339">
        <v>14.44</v>
      </c>
    </row>
    <row r="5242" spans="1:4" ht="54">
      <c r="A5242" s="337">
        <v>95625</v>
      </c>
      <c r="B5242" s="338" t="s">
        <v>5946</v>
      </c>
      <c r="C5242" s="337" t="s">
        <v>145</v>
      </c>
      <c r="D5242" s="339">
        <v>15.91</v>
      </c>
    </row>
    <row r="5243" spans="1:4" ht="40.5">
      <c r="A5243" s="337">
        <v>95626</v>
      </c>
      <c r="B5243" s="338" t="s">
        <v>5947</v>
      </c>
      <c r="C5243" s="337" t="s">
        <v>145</v>
      </c>
      <c r="D5243" s="339">
        <v>10.55</v>
      </c>
    </row>
    <row r="5244" spans="1:4" ht="54">
      <c r="A5244" s="337">
        <v>96126</v>
      </c>
      <c r="B5244" s="338" t="s">
        <v>5948</v>
      </c>
      <c r="C5244" s="337" t="s">
        <v>145</v>
      </c>
      <c r="D5244" s="339">
        <v>12.11</v>
      </c>
    </row>
    <row r="5245" spans="1:4" ht="54">
      <c r="A5245" s="337">
        <v>96127</v>
      </c>
      <c r="B5245" s="338" t="s">
        <v>5949</v>
      </c>
      <c r="C5245" s="337" t="s">
        <v>145</v>
      </c>
      <c r="D5245" s="339">
        <v>9.26</v>
      </c>
    </row>
    <row r="5246" spans="1:4" ht="54">
      <c r="A5246" s="337">
        <v>96128</v>
      </c>
      <c r="B5246" s="338" t="s">
        <v>5950</v>
      </c>
      <c r="C5246" s="337" t="s">
        <v>145</v>
      </c>
      <c r="D5246" s="339">
        <v>17.89</v>
      </c>
    </row>
    <row r="5247" spans="1:4" ht="54">
      <c r="A5247" s="337">
        <v>96129</v>
      </c>
      <c r="B5247" s="338" t="s">
        <v>5951</v>
      </c>
      <c r="C5247" s="337" t="s">
        <v>145</v>
      </c>
      <c r="D5247" s="339">
        <v>19.73</v>
      </c>
    </row>
    <row r="5248" spans="1:4" ht="40.5">
      <c r="A5248" s="337">
        <v>96130</v>
      </c>
      <c r="B5248" s="338" t="s">
        <v>5952</v>
      </c>
      <c r="C5248" s="337" t="s">
        <v>145</v>
      </c>
      <c r="D5248" s="339">
        <v>13.01</v>
      </c>
    </row>
    <row r="5249" spans="1:4" ht="54">
      <c r="A5249" s="337">
        <v>96131</v>
      </c>
      <c r="B5249" s="338" t="s">
        <v>5953</v>
      </c>
      <c r="C5249" s="337" t="s">
        <v>145</v>
      </c>
      <c r="D5249" s="339">
        <v>16.739999999999998</v>
      </c>
    </row>
    <row r="5250" spans="1:4" ht="54">
      <c r="A5250" s="337">
        <v>96132</v>
      </c>
      <c r="B5250" s="338" t="s">
        <v>5954</v>
      </c>
      <c r="C5250" s="337" t="s">
        <v>145</v>
      </c>
      <c r="D5250" s="339">
        <v>12.93</v>
      </c>
    </row>
    <row r="5251" spans="1:4" ht="54">
      <c r="A5251" s="337">
        <v>96133</v>
      </c>
      <c r="B5251" s="338" t="s">
        <v>5955</v>
      </c>
      <c r="C5251" s="337" t="s">
        <v>145</v>
      </c>
      <c r="D5251" s="339">
        <v>24.43</v>
      </c>
    </row>
    <row r="5252" spans="1:4" ht="54">
      <c r="A5252" s="337">
        <v>96134</v>
      </c>
      <c r="B5252" s="338" t="s">
        <v>5956</v>
      </c>
      <c r="C5252" s="337" t="s">
        <v>145</v>
      </c>
      <c r="D5252" s="339">
        <v>26.87</v>
      </c>
    </row>
    <row r="5253" spans="1:4" ht="40.5">
      <c r="A5253" s="337">
        <v>96135</v>
      </c>
      <c r="B5253" s="338" t="s">
        <v>5957</v>
      </c>
      <c r="C5253" s="337" t="s">
        <v>145</v>
      </c>
      <c r="D5253" s="339">
        <v>17.95</v>
      </c>
    </row>
    <row r="5254" spans="1:4" ht="13.5">
      <c r="A5254" s="337">
        <v>79460</v>
      </c>
      <c r="B5254" s="338" t="s">
        <v>5958</v>
      </c>
      <c r="C5254" s="337" t="s">
        <v>145</v>
      </c>
      <c r="D5254" s="339">
        <v>36.340000000000003</v>
      </c>
    </row>
    <row r="5255" spans="1:4" ht="27">
      <c r="A5255" s="337">
        <v>79465</v>
      </c>
      <c r="B5255" s="338" t="s">
        <v>5959</v>
      </c>
      <c r="C5255" s="337" t="s">
        <v>145</v>
      </c>
      <c r="D5255" s="339">
        <v>38.24</v>
      </c>
    </row>
    <row r="5256" spans="1:4" ht="13.5">
      <c r="A5256" s="337" t="s">
        <v>5960</v>
      </c>
      <c r="B5256" s="338" t="s">
        <v>5961</v>
      </c>
      <c r="C5256" s="337" t="s">
        <v>145</v>
      </c>
      <c r="D5256" s="339">
        <v>50.81</v>
      </c>
    </row>
    <row r="5257" spans="1:4" ht="27">
      <c r="A5257" s="337">
        <v>84647</v>
      </c>
      <c r="B5257" s="338" t="s">
        <v>5962</v>
      </c>
      <c r="C5257" s="337" t="s">
        <v>145</v>
      </c>
      <c r="D5257" s="339">
        <v>114.92</v>
      </c>
    </row>
    <row r="5258" spans="1:4" ht="27">
      <c r="A5258" s="337">
        <v>84656</v>
      </c>
      <c r="B5258" s="338" t="s">
        <v>5963</v>
      </c>
      <c r="C5258" s="337" t="s">
        <v>145</v>
      </c>
      <c r="D5258" s="339">
        <v>27.58</v>
      </c>
    </row>
    <row r="5259" spans="1:4" ht="27">
      <c r="A5259" s="337">
        <v>84677</v>
      </c>
      <c r="B5259" s="338" t="s">
        <v>5964</v>
      </c>
      <c r="C5259" s="337" t="s">
        <v>145</v>
      </c>
      <c r="D5259" s="339">
        <v>9.93</v>
      </c>
    </row>
    <row r="5260" spans="1:4" ht="27">
      <c r="A5260" s="337">
        <v>84678</v>
      </c>
      <c r="B5260" s="338" t="s">
        <v>5965</v>
      </c>
      <c r="C5260" s="337" t="s">
        <v>145</v>
      </c>
      <c r="D5260" s="339">
        <v>15.83</v>
      </c>
    </row>
    <row r="5261" spans="1:4" ht="27">
      <c r="A5261" s="337">
        <v>6082</v>
      </c>
      <c r="B5261" s="338" t="s">
        <v>5966</v>
      </c>
      <c r="C5261" s="337" t="s">
        <v>145</v>
      </c>
      <c r="D5261" s="339">
        <v>14.13</v>
      </c>
    </row>
    <row r="5262" spans="1:4" ht="27">
      <c r="A5262" s="337">
        <v>40905</v>
      </c>
      <c r="B5262" s="338" t="s">
        <v>5967</v>
      </c>
      <c r="C5262" s="337" t="s">
        <v>145</v>
      </c>
      <c r="D5262" s="339">
        <v>18.09</v>
      </c>
    </row>
    <row r="5263" spans="1:4" ht="27">
      <c r="A5263" s="337" t="s">
        <v>5968</v>
      </c>
      <c r="B5263" s="338" t="s">
        <v>5969</v>
      </c>
      <c r="C5263" s="337" t="s">
        <v>145</v>
      </c>
      <c r="D5263" s="339">
        <v>13.81</v>
      </c>
    </row>
    <row r="5264" spans="1:4" ht="40.5">
      <c r="A5264" s="337" t="s">
        <v>5970</v>
      </c>
      <c r="B5264" s="338" t="s">
        <v>5971</v>
      </c>
      <c r="C5264" s="337" t="s">
        <v>145</v>
      </c>
      <c r="D5264" s="339">
        <v>19.59</v>
      </c>
    </row>
    <row r="5265" spans="1:4" ht="40.5">
      <c r="A5265" s="337" t="s">
        <v>5972</v>
      </c>
      <c r="B5265" s="338" t="s">
        <v>5973</v>
      </c>
      <c r="C5265" s="337" t="s">
        <v>145</v>
      </c>
      <c r="D5265" s="339">
        <v>19.260000000000002</v>
      </c>
    </row>
    <row r="5266" spans="1:4" ht="40.5">
      <c r="A5266" s="337" t="s">
        <v>5974</v>
      </c>
      <c r="B5266" s="338" t="s">
        <v>5975</v>
      </c>
      <c r="C5266" s="337" t="s">
        <v>145</v>
      </c>
      <c r="D5266" s="339">
        <v>19.170000000000002</v>
      </c>
    </row>
    <row r="5267" spans="1:4" ht="13.5">
      <c r="A5267" s="337">
        <v>79463</v>
      </c>
      <c r="B5267" s="338" t="s">
        <v>5976</v>
      </c>
      <c r="C5267" s="337" t="s">
        <v>145</v>
      </c>
      <c r="D5267" s="339">
        <v>11.84</v>
      </c>
    </row>
    <row r="5268" spans="1:4" ht="13.5">
      <c r="A5268" s="337">
        <v>79464</v>
      </c>
      <c r="B5268" s="338" t="s">
        <v>5977</v>
      </c>
      <c r="C5268" s="337" t="s">
        <v>145</v>
      </c>
      <c r="D5268" s="339">
        <v>15.77</v>
      </c>
    </row>
    <row r="5269" spans="1:4" ht="27">
      <c r="A5269" s="337">
        <v>79466</v>
      </c>
      <c r="B5269" s="338" t="s">
        <v>5978</v>
      </c>
      <c r="C5269" s="337" t="s">
        <v>145</v>
      </c>
      <c r="D5269" s="339">
        <v>15.58</v>
      </c>
    </row>
    <row r="5270" spans="1:4" ht="13.5">
      <c r="A5270" s="337" t="s">
        <v>5979</v>
      </c>
      <c r="B5270" s="338" t="s">
        <v>5980</v>
      </c>
      <c r="C5270" s="337" t="s">
        <v>145</v>
      </c>
      <c r="D5270" s="339">
        <v>19.52</v>
      </c>
    </row>
    <row r="5271" spans="1:4" ht="13.5">
      <c r="A5271" s="337">
        <v>84645</v>
      </c>
      <c r="B5271" s="338" t="s">
        <v>5981</v>
      </c>
      <c r="C5271" s="337" t="s">
        <v>145</v>
      </c>
      <c r="D5271" s="339">
        <v>15.37</v>
      </c>
    </row>
    <row r="5272" spans="1:4" ht="13.5">
      <c r="A5272" s="337">
        <v>84657</v>
      </c>
      <c r="B5272" s="338" t="s">
        <v>5982</v>
      </c>
      <c r="C5272" s="337" t="s">
        <v>145</v>
      </c>
      <c r="D5272" s="339">
        <v>7.95</v>
      </c>
    </row>
    <row r="5273" spans="1:4" ht="27">
      <c r="A5273" s="337">
        <v>84659</v>
      </c>
      <c r="B5273" s="338" t="s">
        <v>5983</v>
      </c>
      <c r="C5273" s="337" t="s">
        <v>145</v>
      </c>
      <c r="D5273" s="339">
        <v>12.9</v>
      </c>
    </row>
    <row r="5274" spans="1:4" ht="27">
      <c r="A5274" s="337">
        <v>84679</v>
      </c>
      <c r="B5274" s="338" t="s">
        <v>5984</v>
      </c>
      <c r="C5274" s="337" t="s">
        <v>145</v>
      </c>
      <c r="D5274" s="339">
        <v>17.45</v>
      </c>
    </row>
    <row r="5275" spans="1:4" ht="27">
      <c r="A5275" s="337">
        <v>95464</v>
      </c>
      <c r="B5275" s="338" t="s">
        <v>5985</v>
      </c>
      <c r="C5275" s="337" t="s">
        <v>145</v>
      </c>
      <c r="D5275" s="339">
        <v>18.170000000000002</v>
      </c>
    </row>
    <row r="5276" spans="1:4" ht="27">
      <c r="A5276" s="337">
        <v>73656</v>
      </c>
      <c r="B5276" s="338" t="s">
        <v>5986</v>
      </c>
      <c r="C5276" s="337" t="s">
        <v>145</v>
      </c>
      <c r="D5276" s="339">
        <v>13.71</v>
      </c>
    </row>
    <row r="5277" spans="1:4" ht="40.5">
      <c r="A5277" s="337" t="s">
        <v>5987</v>
      </c>
      <c r="B5277" s="338" t="s">
        <v>5988</v>
      </c>
      <c r="C5277" s="337" t="s">
        <v>145</v>
      </c>
      <c r="D5277" s="339">
        <v>29.25</v>
      </c>
    </row>
    <row r="5278" spans="1:4" ht="40.5">
      <c r="A5278" s="337" t="s">
        <v>5989</v>
      </c>
      <c r="B5278" s="338" t="s">
        <v>5990</v>
      </c>
      <c r="C5278" s="337" t="s">
        <v>145</v>
      </c>
      <c r="D5278" s="339">
        <v>8.2100000000000009</v>
      </c>
    </row>
    <row r="5279" spans="1:4" ht="27">
      <c r="A5279" s="337" t="s">
        <v>142</v>
      </c>
      <c r="B5279" s="338" t="s">
        <v>5991</v>
      </c>
      <c r="C5279" s="337" t="s">
        <v>145</v>
      </c>
      <c r="D5279" s="339">
        <v>21.24</v>
      </c>
    </row>
    <row r="5280" spans="1:4" ht="27">
      <c r="A5280" s="337" t="s">
        <v>5992</v>
      </c>
      <c r="B5280" s="338" t="s">
        <v>5993</v>
      </c>
      <c r="C5280" s="337" t="s">
        <v>145</v>
      </c>
      <c r="D5280" s="339">
        <v>21.33</v>
      </c>
    </row>
    <row r="5281" spans="1:4" ht="27">
      <c r="A5281" s="337" t="s">
        <v>5994</v>
      </c>
      <c r="B5281" s="338" t="s">
        <v>5995</v>
      </c>
      <c r="C5281" s="337" t="s">
        <v>145</v>
      </c>
      <c r="D5281" s="339">
        <v>21.66</v>
      </c>
    </row>
    <row r="5282" spans="1:4" ht="27">
      <c r="A5282" s="337" t="s">
        <v>5996</v>
      </c>
      <c r="B5282" s="338" t="s">
        <v>5997</v>
      </c>
      <c r="C5282" s="337" t="s">
        <v>145</v>
      </c>
      <c r="D5282" s="339">
        <v>16.28</v>
      </c>
    </row>
    <row r="5283" spans="1:4" ht="27">
      <c r="A5283" s="337" t="s">
        <v>5998</v>
      </c>
      <c r="B5283" s="338" t="s">
        <v>5999</v>
      </c>
      <c r="C5283" s="337" t="s">
        <v>145</v>
      </c>
      <c r="D5283" s="339">
        <v>10.61</v>
      </c>
    </row>
    <row r="5284" spans="1:4" ht="67.5">
      <c r="A5284" s="337" t="s">
        <v>6000</v>
      </c>
      <c r="B5284" s="338" t="s">
        <v>6001</v>
      </c>
      <c r="C5284" s="337" t="s">
        <v>145</v>
      </c>
      <c r="D5284" s="339">
        <v>14.54</v>
      </c>
    </row>
    <row r="5285" spans="1:4" ht="40.5">
      <c r="A5285" s="337" t="s">
        <v>6002</v>
      </c>
      <c r="B5285" s="338" t="s">
        <v>6003</v>
      </c>
      <c r="C5285" s="337" t="s">
        <v>145</v>
      </c>
      <c r="D5285" s="339">
        <v>13.31</v>
      </c>
    </row>
    <row r="5286" spans="1:4" ht="54">
      <c r="A5286" s="337" t="s">
        <v>6004</v>
      </c>
      <c r="B5286" s="338" t="s">
        <v>6005</v>
      </c>
      <c r="C5286" s="337" t="s">
        <v>474</v>
      </c>
      <c r="D5286" s="339">
        <v>17.12</v>
      </c>
    </row>
    <row r="5287" spans="1:4" ht="27">
      <c r="A5287" s="337" t="s">
        <v>6006</v>
      </c>
      <c r="B5287" s="338" t="s">
        <v>6007</v>
      </c>
      <c r="C5287" s="337" t="s">
        <v>145</v>
      </c>
      <c r="D5287" s="339">
        <v>27.28</v>
      </c>
    </row>
    <row r="5288" spans="1:4" ht="40.5">
      <c r="A5288" s="337">
        <v>84660</v>
      </c>
      <c r="B5288" s="338" t="s">
        <v>6008</v>
      </c>
      <c r="C5288" s="337" t="s">
        <v>145</v>
      </c>
      <c r="D5288" s="339">
        <v>5.71</v>
      </c>
    </row>
    <row r="5289" spans="1:4" ht="40.5">
      <c r="A5289" s="337">
        <v>84661</v>
      </c>
      <c r="B5289" s="338" t="s">
        <v>6009</v>
      </c>
      <c r="C5289" s="337" t="s">
        <v>145</v>
      </c>
      <c r="D5289" s="339">
        <v>13.8</v>
      </c>
    </row>
    <row r="5290" spans="1:4" ht="40.5">
      <c r="A5290" s="337">
        <v>84662</v>
      </c>
      <c r="B5290" s="338" t="s">
        <v>6010</v>
      </c>
      <c r="C5290" s="337" t="s">
        <v>145</v>
      </c>
      <c r="D5290" s="339">
        <v>21.77</v>
      </c>
    </row>
    <row r="5291" spans="1:4" ht="40.5">
      <c r="A5291" s="337">
        <v>95468</v>
      </c>
      <c r="B5291" s="338" t="s">
        <v>6011</v>
      </c>
      <c r="C5291" s="337" t="s">
        <v>145</v>
      </c>
      <c r="D5291" s="339">
        <v>31.84</v>
      </c>
    </row>
    <row r="5292" spans="1:4" ht="40.5">
      <c r="A5292" s="337">
        <v>41595</v>
      </c>
      <c r="B5292" s="338" t="s">
        <v>6012</v>
      </c>
      <c r="C5292" s="337" t="s">
        <v>172</v>
      </c>
      <c r="D5292" s="339">
        <v>9.36</v>
      </c>
    </row>
    <row r="5293" spans="1:4" ht="27">
      <c r="A5293" s="337" t="s">
        <v>6013</v>
      </c>
      <c r="B5293" s="338" t="s">
        <v>6014</v>
      </c>
      <c r="C5293" s="337" t="s">
        <v>145</v>
      </c>
      <c r="D5293" s="339">
        <v>14.97</v>
      </c>
    </row>
    <row r="5294" spans="1:4" ht="27">
      <c r="A5294" s="337" t="s">
        <v>6015</v>
      </c>
      <c r="B5294" s="338" t="s">
        <v>6016</v>
      </c>
      <c r="C5294" s="337" t="s">
        <v>145</v>
      </c>
      <c r="D5294" s="339">
        <v>11.57</v>
      </c>
    </row>
    <row r="5295" spans="1:4" ht="40.5">
      <c r="A5295" s="337">
        <v>79467</v>
      </c>
      <c r="B5295" s="338" t="s">
        <v>6017</v>
      </c>
      <c r="C5295" s="337" t="s">
        <v>6018</v>
      </c>
      <c r="D5295" s="339">
        <v>11.86</v>
      </c>
    </row>
    <row r="5296" spans="1:4" ht="27">
      <c r="A5296" s="337" t="s">
        <v>210</v>
      </c>
      <c r="B5296" s="338" t="s">
        <v>6019</v>
      </c>
      <c r="C5296" s="337" t="s">
        <v>145</v>
      </c>
      <c r="D5296" s="339">
        <v>16.12</v>
      </c>
    </row>
    <row r="5297" spans="1:4" ht="40.5">
      <c r="A5297" s="337">
        <v>84663</v>
      </c>
      <c r="B5297" s="338" t="s">
        <v>6020</v>
      </c>
      <c r="C5297" s="337" t="s">
        <v>145</v>
      </c>
      <c r="D5297" s="339">
        <v>18.25</v>
      </c>
    </row>
    <row r="5298" spans="1:4" ht="27">
      <c r="A5298" s="337">
        <v>84665</v>
      </c>
      <c r="B5298" s="338" t="s">
        <v>6021</v>
      </c>
      <c r="C5298" s="337" t="s">
        <v>145</v>
      </c>
      <c r="D5298" s="339">
        <v>16.38</v>
      </c>
    </row>
    <row r="5299" spans="1:4" ht="27">
      <c r="A5299" s="337">
        <v>84666</v>
      </c>
      <c r="B5299" s="338" t="s">
        <v>6022</v>
      </c>
      <c r="C5299" s="337" t="s">
        <v>145</v>
      </c>
      <c r="D5299" s="339">
        <v>19.13</v>
      </c>
    </row>
    <row r="5300" spans="1:4" ht="27">
      <c r="A5300" s="337">
        <v>75889</v>
      </c>
      <c r="B5300" s="338" t="s">
        <v>6023</v>
      </c>
      <c r="C5300" s="337" t="s">
        <v>145</v>
      </c>
      <c r="D5300" s="339">
        <v>16.03</v>
      </c>
    </row>
    <row r="5301" spans="1:4" ht="54">
      <c r="A5301" s="337">
        <v>72191</v>
      </c>
      <c r="B5301" s="338" t="s">
        <v>6024</v>
      </c>
      <c r="C5301" s="337" t="s">
        <v>145</v>
      </c>
      <c r="D5301" s="339">
        <v>69.8</v>
      </c>
    </row>
    <row r="5302" spans="1:4" ht="40.5">
      <c r="A5302" s="337">
        <v>72192</v>
      </c>
      <c r="B5302" s="338" t="s">
        <v>6025</v>
      </c>
      <c r="C5302" s="337" t="s">
        <v>145</v>
      </c>
      <c r="D5302" s="339">
        <v>18.899999999999999</v>
      </c>
    </row>
    <row r="5303" spans="1:4" ht="40.5">
      <c r="A5303" s="337">
        <v>72193</v>
      </c>
      <c r="B5303" s="338" t="s">
        <v>6026</v>
      </c>
      <c r="C5303" s="337" t="s">
        <v>145</v>
      </c>
      <c r="D5303" s="339">
        <v>51.91</v>
      </c>
    </row>
    <row r="5304" spans="1:4" ht="54">
      <c r="A5304" s="337">
        <v>73655</v>
      </c>
      <c r="B5304" s="338" t="s">
        <v>6027</v>
      </c>
      <c r="C5304" s="337" t="s">
        <v>145</v>
      </c>
      <c r="D5304" s="339">
        <v>132.51</v>
      </c>
    </row>
    <row r="5305" spans="1:4" ht="40.5">
      <c r="A5305" s="337" t="s">
        <v>6028</v>
      </c>
      <c r="B5305" s="338" t="s">
        <v>6029</v>
      </c>
      <c r="C5305" s="337" t="s">
        <v>145</v>
      </c>
      <c r="D5305" s="339">
        <v>157.13</v>
      </c>
    </row>
    <row r="5306" spans="1:4" ht="27">
      <c r="A5306" s="337">
        <v>84181</v>
      </c>
      <c r="B5306" s="338" t="s">
        <v>6030</v>
      </c>
      <c r="C5306" s="337" t="s">
        <v>145</v>
      </c>
      <c r="D5306" s="339">
        <v>128.97</v>
      </c>
    </row>
    <row r="5307" spans="1:4" ht="67.5">
      <c r="A5307" s="337">
        <v>87246</v>
      </c>
      <c r="B5307" s="338" t="s">
        <v>6031</v>
      </c>
      <c r="C5307" s="337" t="s">
        <v>145</v>
      </c>
      <c r="D5307" s="339">
        <v>35.630000000000003</v>
      </c>
    </row>
    <row r="5308" spans="1:4" ht="67.5">
      <c r="A5308" s="337">
        <v>87247</v>
      </c>
      <c r="B5308" s="338" t="s">
        <v>6032</v>
      </c>
      <c r="C5308" s="337" t="s">
        <v>145</v>
      </c>
      <c r="D5308" s="339">
        <v>30.77</v>
      </c>
    </row>
    <row r="5309" spans="1:4" ht="67.5">
      <c r="A5309" s="337">
        <v>87248</v>
      </c>
      <c r="B5309" s="338" t="s">
        <v>6033</v>
      </c>
      <c r="C5309" s="337" t="s">
        <v>145</v>
      </c>
      <c r="D5309" s="339">
        <v>26.71</v>
      </c>
    </row>
    <row r="5310" spans="1:4" ht="67.5">
      <c r="A5310" s="337">
        <v>87249</v>
      </c>
      <c r="B5310" s="338" t="s">
        <v>6034</v>
      </c>
      <c r="C5310" s="337" t="s">
        <v>145</v>
      </c>
      <c r="D5310" s="339">
        <v>40.340000000000003</v>
      </c>
    </row>
    <row r="5311" spans="1:4" ht="67.5">
      <c r="A5311" s="337">
        <v>87250</v>
      </c>
      <c r="B5311" s="338" t="s">
        <v>6035</v>
      </c>
      <c r="C5311" s="337" t="s">
        <v>145</v>
      </c>
      <c r="D5311" s="339">
        <v>32.64</v>
      </c>
    </row>
    <row r="5312" spans="1:4" ht="67.5">
      <c r="A5312" s="337">
        <v>87251</v>
      </c>
      <c r="B5312" s="338" t="s">
        <v>6036</v>
      </c>
      <c r="C5312" s="337" t="s">
        <v>145</v>
      </c>
      <c r="D5312" s="339">
        <v>27.59</v>
      </c>
    </row>
    <row r="5313" spans="1:4" ht="67.5">
      <c r="A5313" s="337">
        <v>87255</v>
      </c>
      <c r="B5313" s="338" t="s">
        <v>6037</v>
      </c>
      <c r="C5313" s="337" t="s">
        <v>145</v>
      </c>
      <c r="D5313" s="339">
        <v>62.72</v>
      </c>
    </row>
    <row r="5314" spans="1:4" ht="67.5">
      <c r="A5314" s="337">
        <v>87256</v>
      </c>
      <c r="B5314" s="338" t="s">
        <v>6038</v>
      </c>
      <c r="C5314" s="337" t="s">
        <v>145</v>
      </c>
      <c r="D5314" s="339">
        <v>53.67</v>
      </c>
    </row>
    <row r="5315" spans="1:4" ht="67.5">
      <c r="A5315" s="337">
        <v>87257</v>
      </c>
      <c r="B5315" s="338" t="s">
        <v>6039</v>
      </c>
      <c r="C5315" s="337" t="s">
        <v>145</v>
      </c>
      <c r="D5315" s="339">
        <v>47.79</v>
      </c>
    </row>
    <row r="5316" spans="1:4" ht="54">
      <c r="A5316" s="337">
        <v>87258</v>
      </c>
      <c r="B5316" s="338" t="s">
        <v>6040</v>
      </c>
      <c r="C5316" s="337" t="s">
        <v>145</v>
      </c>
      <c r="D5316" s="339">
        <v>84.38</v>
      </c>
    </row>
    <row r="5317" spans="1:4" ht="54">
      <c r="A5317" s="337">
        <v>87259</v>
      </c>
      <c r="B5317" s="338" t="s">
        <v>6041</v>
      </c>
      <c r="C5317" s="337" t="s">
        <v>145</v>
      </c>
      <c r="D5317" s="339">
        <v>75.819999999999993</v>
      </c>
    </row>
    <row r="5318" spans="1:4" ht="54">
      <c r="A5318" s="337">
        <v>87260</v>
      </c>
      <c r="B5318" s="338" t="s">
        <v>6042</v>
      </c>
      <c r="C5318" s="337" t="s">
        <v>145</v>
      </c>
      <c r="D5318" s="339">
        <v>70.680000000000007</v>
      </c>
    </row>
    <row r="5319" spans="1:4" ht="54">
      <c r="A5319" s="337">
        <v>87261</v>
      </c>
      <c r="B5319" s="338" t="s">
        <v>6043</v>
      </c>
      <c r="C5319" s="337" t="s">
        <v>145</v>
      </c>
      <c r="D5319" s="339">
        <v>96.02</v>
      </c>
    </row>
    <row r="5320" spans="1:4" ht="54">
      <c r="A5320" s="337">
        <v>87262</v>
      </c>
      <c r="B5320" s="338" t="s">
        <v>6044</v>
      </c>
      <c r="C5320" s="337" t="s">
        <v>145</v>
      </c>
      <c r="D5320" s="339">
        <v>86.23</v>
      </c>
    </row>
    <row r="5321" spans="1:4" ht="54">
      <c r="A5321" s="337">
        <v>87263</v>
      </c>
      <c r="B5321" s="338" t="s">
        <v>6045</v>
      </c>
      <c r="C5321" s="337" t="s">
        <v>145</v>
      </c>
      <c r="D5321" s="339">
        <v>80.16</v>
      </c>
    </row>
    <row r="5322" spans="1:4" ht="67.5">
      <c r="A5322" s="337">
        <v>89046</v>
      </c>
      <c r="B5322" s="338" t="s">
        <v>6046</v>
      </c>
      <c r="C5322" s="337" t="s">
        <v>145</v>
      </c>
      <c r="D5322" s="339">
        <v>30.52</v>
      </c>
    </row>
    <row r="5323" spans="1:4" ht="81">
      <c r="A5323" s="337">
        <v>89171</v>
      </c>
      <c r="B5323" s="338" t="s">
        <v>6047</v>
      </c>
      <c r="C5323" s="337" t="s">
        <v>145</v>
      </c>
      <c r="D5323" s="339">
        <v>28.55</v>
      </c>
    </row>
    <row r="5324" spans="1:4" ht="67.5">
      <c r="A5324" s="337">
        <v>93389</v>
      </c>
      <c r="B5324" s="338" t="s">
        <v>6048</v>
      </c>
      <c r="C5324" s="337" t="s">
        <v>145</v>
      </c>
      <c r="D5324" s="339">
        <v>32.69</v>
      </c>
    </row>
    <row r="5325" spans="1:4" ht="67.5">
      <c r="A5325" s="337">
        <v>93390</v>
      </c>
      <c r="B5325" s="338" t="s">
        <v>6049</v>
      </c>
      <c r="C5325" s="337" t="s">
        <v>145</v>
      </c>
      <c r="D5325" s="339">
        <v>27.89</v>
      </c>
    </row>
    <row r="5326" spans="1:4" ht="67.5">
      <c r="A5326" s="337">
        <v>93391</v>
      </c>
      <c r="B5326" s="338" t="s">
        <v>6050</v>
      </c>
      <c r="C5326" s="337" t="s">
        <v>145</v>
      </c>
      <c r="D5326" s="339">
        <v>23.83</v>
      </c>
    </row>
    <row r="5327" spans="1:4" ht="40.5">
      <c r="A5327" s="337" t="s">
        <v>6051</v>
      </c>
      <c r="B5327" s="338" t="s">
        <v>6052</v>
      </c>
      <c r="C5327" s="337" t="s">
        <v>145</v>
      </c>
      <c r="D5327" s="339">
        <v>194.69</v>
      </c>
    </row>
    <row r="5328" spans="1:4" ht="40.5">
      <c r="A5328" s="337" t="s">
        <v>6053</v>
      </c>
      <c r="B5328" s="338" t="s">
        <v>6054</v>
      </c>
      <c r="C5328" s="337" t="s">
        <v>145</v>
      </c>
      <c r="D5328" s="339">
        <v>40.549999999999997</v>
      </c>
    </row>
    <row r="5329" spans="1:4" ht="40.5">
      <c r="A5329" s="337">
        <v>84183</v>
      </c>
      <c r="B5329" s="338" t="s">
        <v>6055</v>
      </c>
      <c r="C5329" s="337" t="s">
        <v>145</v>
      </c>
      <c r="D5329" s="339">
        <v>137.26</v>
      </c>
    </row>
    <row r="5330" spans="1:4" ht="40.5">
      <c r="A5330" s="337">
        <v>98670</v>
      </c>
      <c r="B5330" s="338" t="s">
        <v>6056</v>
      </c>
      <c r="C5330" s="337" t="s">
        <v>145</v>
      </c>
      <c r="D5330" s="339">
        <v>122.13</v>
      </c>
    </row>
    <row r="5331" spans="1:4" ht="27">
      <c r="A5331" s="337">
        <v>98671</v>
      </c>
      <c r="B5331" s="338" t="s">
        <v>6057</v>
      </c>
      <c r="C5331" s="337" t="s">
        <v>145</v>
      </c>
      <c r="D5331" s="339">
        <v>324.74</v>
      </c>
    </row>
    <row r="5332" spans="1:4" ht="27">
      <c r="A5332" s="337">
        <v>98672</v>
      </c>
      <c r="B5332" s="338" t="s">
        <v>6058</v>
      </c>
      <c r="C5332" s="337" t="s">
        <v>145</v>
      </c>
      <c r="D5332" s="339">
        <v>381</v>
      </c>
    </row>
    <row r="5333" spans="1:4" ht="40.5">
      <c r="A5333" s="337">
        <v>98673</v>
      </c>
      <c r="B5333" s="338" t="s">
        <v>6059</v>
      </c>
      <c r="C5333" s="337" t="s">
        <v>145</v>
      </c>
      <c r="D5333" s="339">
        <v>127.99</v>
      </c>
    </row>
    <row r="5334" spans="1:4" ht="54">
      <c r="A5334" s="337">
        <v>98679</v>
      </c>
      <c r="B5334" s="338" t="s">
        <v>6060</v>
      </c>
      <c r="C5334" s="337" t="s">
        <v>145</v>
      </c>
      <c r="D5334" s="339">
        <v>24.14</v>
      </c>
    </row>
    <row r="5335" spans="1:4" ht="54">
      <c r="A5335" s="337">
        <v>98680</v>
      </c>
      <c r="B5335" s="338" t="s">
        <v>6061</v>
      </c>
      <c r="C5335" s="337" t="s">
        <v>145</v>
      </c>
      <c r="D5335" s="339">
        <v>30.36</v>
      </c>
    </row>
    <row r="5336" spans="1:4" ht="54">
      <c r="A5336" s="337">
        <v>98681</v>
      </c>
      <c r="B5336" s="338" t="s">
        <v>6062</v>
      </c>
      <c r="C5336" s="337" t="s">
        <v>145</v>
      </c>
      <c r="D5336" s="339">
        <v>22.5</v>
      </c>
    </row>
    <row r="5337" spans="1:4" ht="54">
      <c r="A5337" s="337">
        <v>98682</v>
      </c>
      <c r="B5337" s="338" t="s">
        <v>6063</v>
      </c>
      <c r="C5337" s="337" t="s">
        <v>145</v>
      </c>
      <c r="D5337" s="339">
        <v>28.72</v>
      </c>
    </row>
    <row r="5338" spans="1:4" ht="27">
      <c r="A5338" s="337">
        <v>98685</v>
      </c>
      <c r="B5338" s="338" t="s">
        <v>6064</v>
      </c>
      <c r="C5338" s="337" t="s">
        <v>172</v>
      </c>
      <c r="D5338" s="339">
        <v>58.81</v>
      </c>
    </row>
    <row r="5339" spans="1:4" ht="27">
      <c r="A5339" s="337">
        <v>98686</v>
      </c>
      <c r="B5339" s="338" t="s">
        <v>6065</v>
      </c>
      <c r="C5339" s="337" t="s">
        <v>172</v>
      </c>
      <c r="D5339" s="339">
        <v>28.15</v>
      </c>
    </row>
    <row r="5340" spans="1:4" ht="27">
      <c r="A5340" s="337">
        <v>98688</v>
      </c>
      <c r="B5340" s="338" t="s">
        <v>6066</v>
      </c>
      <c r="C5340" s="337" t="s">
        <v>172</v>
      </c>
      <c r="D5340" s="339">
        <v>29.54</v>
      </c>
    </row>
    <row r="5341" spans="1:4" ht="27">
      <c r="A5341" s="337">
        <v>98689</v>
      </c>
      <c r="B5341" s="338" t="s">
        <v>6067</v>
      </c>
      <c r="C5341" s="337" t="s">
        <v>172</v>
      </c>
      <c r="D5341" s="339">
        <v>83.23</v>
      </c>
    </row>
    <row r="5342" spans="1:4" ht="40.5">
      <c r="A5342" s="337">
        <v>72187</v>
      </c>
      <c r="B5342" s="338" t="s">
        <v>6068</v>
      </c>
      <c r="C5342" s="337" t="s">
        <v>145</v>
      </c>
      <c r="D5342" s="339">
        <v>166.68</v>
      </c>
    </row>
    <row r="5343" spans="1:4" ht="40.5">
      <c r="A5343" s="337">
        <v>72188</v>
      </c>
      <c r="B5343" s="338" t="s">
        <v>6069</v>
      </c>
      <c r="C5343" s="337" t="s">
        <v>145</v>
      </c>
      <c r="D5343" s="339">
        <v>166.68</v>
      </c>
    </row>
    <row r="5344" spans="1:4" ht="27">
      <c r="A5344" s="337" t="s">
        <v>6070</v>
      </c>
      <c r="B5344" s="338" t="s">
        <v>6071</v>
      </c>
      <c r="C5344" s="337" t="s">
        <v>145</v>
      </c>
      <c r="D5344" s="339">
        <v>150.68</v>
      </c>
    </row>
    <row r="5345" spans="1:4" ht="27">
      <c r="A5345" s="337">
        <v>84186</v>
      </c>
      <c r="B5345" s="338" t="s">
        <v>6072</v>
      </c>
      <c r="C5345" s="337" t="s">
        <v>145</v>
      </c>
      <c r="D5345" s="339">
        <v>64.319999999999993</v>
      </c>
    </row>
    <row r="5346" spans="1:4" ht="27">
      <c r="A5346" s="337">
        <v>84187</v>
      </c>
      <c r="B5346" s="338" t="s">
        <v>6073</v>
      </c>
      <c r="C5346" s="337" t="s">
        <v>145</v>
      </c>
      <c r="D5346" s="339">
        <v>11.24</v>
      </c>
    </row>
    <row r="5347" spans="1:4" ht="54">
      <c r="A5347" s="337">
        <v>72136</v>
      </c>
      <c r="B5347" s="338" t="s">
        <v>6074</v>
      </c>
      <c r="C5347" s="337" t="s">
        <v>145</v>
      </c>
      <c r="D5347" s="339">
        <v>72.22</v>
      </c>
    </row>
    <row r="5348" spans="1:4" ht="54">
      <c r="A5348" s="337">
        <v>72137</v>
      </c>
      <c r="B5348" s="338" t="s">
        <v>6075</v>
      </c>
      <c r="C5348" s="337" t="s">
        <v>145</v>
      </c>
      <c r="D5348" s="339">
        <v>85.64</v>
      </c>
    </row>
    <row r="5349" spans="1:4" ht="27">
      <c r="A5349" s="337">
        <v>72815</v>
      </c>
      <c r="B5349" s="338" t="s">
        <v>6076</v>
      </c>
      <c r="C5349" s="337" t="s">
        <v>145</v>
      </c>
      <c r="D5349" s="339">
        <v>40.93</v>
      </c>
    </row>
    <row r="5350" spans="1:4" ht="40.5">
      <c r="A5350" s="337">
        <v>84191</v>
      </c>
      <c r="B5350" s="338" t="s">
        <v>6077</v>
      </c>
      <c r="C5350" s="337" t="s">
        <v>145</v>
      </c>
      <c r="D5350" s="339">
        <v>95.34</v>
      </c>
    </row>
    <row r="5351" spans="1:4" ht="40.5">
      <c r="A5351" s="337" t="s">
        <v>6078</v>
      </c>
      <c r="B5351" s="338" t="s">
        <v>6079</v>
      </c>
      <c r="C5351" s="337" t="s">
        <v>172</v>
      </c>
      <c r="D5351" s="339">
        <v>32.35</v>
      </c>
    </row>
    <row r="5352" spans="1:4" ht="27">
      <c r="A5352" s="337">
        <v>98695</v>
      </c>
      <c r="B5352" s="338" t="s">
        <v>6080</v>
      </c>
      <c r="C5352" s="337" t="s">
        <v>172</v>
      </c>
      <c r="D5352" s="339">
        <v>67.34</v>
      </c>
    </row>
    <row r="5353" spans="1:4" ht="27">
      <c r="A5353" s="337">
        <v>98697</v>
      </c>
      <c r="B5353" s="338" t="s">
        <v>6081</v>
      </c>
      <c r="C5353" s="337" t="s">
        <v>172</v>
      </c>
      <c r="D5353" s="339">
        <v>44.64</v>
      </c>
    </row>
    <row r="5354" spans="1:4" ht="27">
      <c r="A5354" s="337" t="s">
        <v>6082</v>
      </c>
      <c r="B5354" s="338" t="s">
        <v>6083</v>
      </c>
      <c r="C5354" s="337" t="s">
        <v>172</v>
      </c>
      <c r="D5354" s="339">
        <v>15.57</v>
      </c>
    </row>
    <row r="5355" spans="1:4" ht="27">
      <c r="A5355" s="337">
        <v>84162</v>
      </c>
      <c r="B5355" s="338" t="s">
        <v>6084</v>
      </c>
      <c r="C5355" s="337" t="s">
        <v>172</v>
      </c>
      <c r="D5355" s="339">
        <v>16.57</v>
      </c>
    </row>
    <row r="5356" spans="1:4" ht="40.5">
      <c r="A5356" s="337">
        <v>88648</v>
      </c>
      <c r="B5356" s="338" t="s">
        <v>6085</v>
      </c>
      <c r="C5356" s="337" t="s">
        <v>172</v>
      </c>
      <c r="D5356" s="339">
        <v>4.2300000000000004</v>
      </c>
    </row>
    <row r="5357" spans="1:4" ht="40.5">
      <c r="A5357" s="337">
        <v>88649</v>
      </c>
      <c r="B5357" s="338" t="s">
        <v>6086</v>
      </c>
      <c r="C5357" s="337" t="s">
        <v>172</v>
      </c>
      <c r="D5357" s="339">
        <v>4.7300000000000004</v>
      </c>
    </row>
    <row r="5358" spans="1:4" ht="40.5">
      <c r="A5358" s="337">
        <v>88650</v>
      </c>
      <c r="B5358" s="338" t="s">
        <v>6087</v>
      </c>
      <c r="C5358" s="337" t="s">
        <v>172</v>
      </c>
      <c r="D5358" s="339">
        <v>8.64</v>
      </c>
    </row>
    <row r="5359" spans="1:4" ht="54">
      <c r="A5359" s="337">
        <v>96467</v>
      </c>
      <c r="B5359" s="338" t="s">
        <v>6088</v>
      </c>
      <c r="C5359" s="337" t="s">
        <v>172</v>
      </c>
      <c r="D5359" s="339">
        <v>3.9</v>
      </c>
    </row>
    <row r="5360" spans="1:4" ht="13.5">
      <c r="A5360" s="337" t="s">
        <v>181</v>
      </c>
      <c r="B5360" s="338" t="s">
        <v>6089</v>
      </c>
      <c r="C5360" s="337" t="s">
        <v>172</v>
      </c>
      <c r="D5360" s="339">
        <v>22.15</v>
      </c>
    </row>
    <row r="5361" spans="1:4" ht="40.5">
      <c r="A5361" s="337">
        <v>84168</v>
      </c>
      <c r="B5361" s="338" t="s">
        <v>6090</v>
      </c>
      <c r="C5361" s="337" t="s">
        <v>172</v>
      </c>
      <c r="D5361" s="339">
        <v>18.100000000000001</v>
      </c>
    </row>
    <row r="5362" spans="1:4" ht="40.5">
      <c r="A5362" s="337">
        <v>68325</v>
      </c>
      <c r="B5362" s="338" t="s">
        <v>6091</v>
      </c>
      <c r="C5362" s="337" t="s">
        <v>145</v>
      </c>
      <c r="D5362" s="339">
        <v>41.38</v>
      </c>
    </row>
    <row r="5363" spans="1:4" ht="40.5">
      <c r="A5363" s="337">
        <v>68333</v>
      </c>
      <c r="B5363" s="338" t="s">
        <v>6092</v>
      </c>
      <c r="C5363" s="337" t="s">
        <v>145</v>
      </c>
      <c r="D5363" s="339">
        <v>41.75</v>
      </c>
    </row>
    <row r="5364" spans="1:4" ht="40.5">
      <c r="A5364" s="337">
        <v>72183</v>
      </c>
      <c r="B5364" s="338" t="s">
        <v>6093</v>
      </c>
      <c r="C5364" s="337" t="s">
        <v>145</v>
      </c>
      <c r="D5364" s="339">
        <v>70.38</v>
      </c>
    </row>
    <row r="5365" spans="1:4" ht="27">
      <c r="A5365" s="337">
        <v>84175</v>
      </c>
      <c r="B5365" s="338" t="s">
        <v>6094</v>
      </c>
      <c r="C5365" s="337" t="s">
        <v>172</v>
      </c>
      <c r="D5365" s="339">
        <v>10.67</v>
      </c>
    </row>
    <row r="5366" spans="1:4" ht="40.5">
      <c r="A5366" s="337">
        <v>84176</v>
      </c>
      <c r="B5366" s="338" t="s">
        <v>6095</v>
      </c>
      <c r="C5366" s="337" t="s">
        <v>172</v>
      </c>
      <c r="D5366" s="339">
        <v>19.53</v>
      </c>
    </row>
    <row r="5367" spans="1:4" ht="54">
      <c r="A5367" s="337">
        <v>94990</v>
      </c>
      <c r="B5367" s="338" t="s">
        <v>6096</v>
      </c>
      <c r="C5367" s="337" t="s">
        <v>178</v>
      </c>
      <c r="D5367" s="339">
        <v>525.19000000000005</v>
      </c>
    </row>
    <row r="5368" spans="1:4" ht="54">
      <c r="A5368" s="337">
        <v>94991</v>
      </c>
      <c r="B5368" s="338" t="s">
        <v>6097</v>
      </c>
      <c r="C5368" s="337" t="s">
        <v>178</v>
      </c>
      <c r="D5368" s="339">
        <v>448.6</v>
      </c>
    </row>
    <row r="5369" spans="1:4" ht="67.5">
      <c r="A5369" s="337">
        <v>94992</v>
      </c>
      <c r="B5369" s="338" t="s">
        <v>6098</v>
      </c>
      <c r="C5369" s="337" t="s">
        <v>145</v>
      </c>
      <c r="D5369" s="339">
        <v>53.02</v>
      </c>
    </row>
    <row r="5370" spans="1:4" ht="54">
      <c r="A5370" s="337">
        <v>94993</v>
      </c>
      <c r="B5370" s="338" t="s">
        <v>6099</v>
      </c>
      <c r="C5370" s="337" t="s">
        <v>145</v>
      </c>
      <c r="D5370" s="339">
        <v>48.43</v>
      </c>
    </row>
    <row r="5371" spans="1:4" ht="67.5">
      <c r="A5371" s="337">
        <v>94994</v>
      </c>
      <c r="B5371" s="338" t="s">
        <v>6100</v>
      </c>
      <c r="C5371" s="337" t="s">
        <v>145</v>
      </c>
      <c r="D5371" s="339">
        <v>64.59</v>
      </c>
    </row>
    <row r="5372" spans="1:4" ht="54">
      <c r="A5372" s="337">
        <v>94995</v>
      </c>
      <c r="B5372" s="338" t="s">
        <v>6101</v>
      </c>
      <c r="C5372" s="337" t="s">
        <v>145</v>
      </c>
      <c r="D5372" s="339">
        <v>58.47</v>
      </c>
    </row>
    <row r="5373" spans="1:4" ht="67.5">
      <c r="A5373" s="337">
        <v>94996</v>
      </c>
      <c r="B5373" s="338" t="s">
        <v>6102</v>
      </c>
      <c r="C5373" s="337" t="s">
        <v>145</v>
      </c>
      <c r="D5373" s="339">
        <v>75.319999999999993</v>
      </c>
    </row>
    <row r="5374" spans="1:4" ht="54">
      <c r="A5374" s="337">
        <v>94997</v>
      </c>
      <c r="B5374" s="338" t="s">
        <v>6103</v>
      </c>
      <c r="C5374" s="337" t="s">
        <v>145</v>
      </c>
      <c r="D5374" s="339">
        <v>67.66</v>
      </c>
    </row>
    <row r="5375" spans="1:4" ht="67.5">
      <c r="A5375" s="337">
        <v>94998</v>
      </c>
      <c r="B5375" s="338" t="s">
        <v>6104</v>
      </c>
      <c r="C5375" s="337" t="s">
        <v>145</v>
      </c>
      <c r="D5375" s="339">
        <v>85.63</v>
      </c>
    </row>
    <row r="5376" spans="1:4" ht="54">
      <c r="A5376" s="337">
        <v>94999</v>
      </c>
      <c r="B5376" s="338" t="s">
        <v>6105</v>
      </c>
      <c r="C5376" s="337" t="s">
        <v>145</v>
      </c>
      <c r="D5376" s="339">
        <v>76.44</v>
      </c>
    </row>
    <row r="5377" spans="1:4" ht="67.5">
      <c r="A5377" s="337">
        <v>87620</v>
      </c>
      <c r="B5377" s="338" t="s">
        <v>6106</v>
      </c>
      <c r="C5377" s="337" t="s">
        <v>145</v>
      </c>
      <c r="D5377" s="339">
        <v>24.83</v>
      </c>
    </row>
    <row r="5378" spans="1:4" ht="54">
      <c r="A5378" s="337">
        <v>87622</v>
      </c>
      <c r="B5378" s="338" t="s">
        <v>6107</v>
      </c>
      <c r="C5378" s="337" t="s">
        <v>145</v>
      </c>
      <c r="D5378" s="339">
        <v>27.61</v>
      </c>
    </row>
    <row r="5379" spans="1:4" ht="54">
      <c r="A5379" s="337">
        <v>87623</v>
      </c>
      <c r="B5379" s="338" t="s">
        <v>6108</v>
      </c>
      <c r="C5379" s="337" t="s">
        <v>145</v>
      </c>
      <c r="D5379" s="339">
        <v>55.68</v>
      </c>
    </row>
    <row r="5380" spans="1:4" ht="54">
      <c r="A5380" s="337">
        <v>87624</v>
      </c>
      <c r="B5380" s="338" t="s">
        <v>6109</v>
      </c>
      <c r="C5380" s="337" t="s">
        <v>145</v>
      </c>
      <c r="D5380" s="339">
        <v>60.8</v>
      </c>
    </row>
    <row r="5381" spans="1:4" ht="67.5">
      <c r="A5381" s="337">
        <v>87630</v>
      </c>
      <c r="B5381" s="338" t="s">
        <v>6110</v>
      </c>
      <c r="C5381" s="337" t="s">
        <v>145</v>
      </c>
      <c r="D5381" s="339">
        <v>30.56</v>
      </c>
    </row>
    <row r="5382" spans="1:4" ht="54">
      <c r="A5382" s="337">
        <v>87632</v>
      </c>
      <c r="B5382" s="338" t="s">
        <v>6111</v>
      </c>
      <c r="C5382" s="337" t="s">
        <v>145</v>
      </c>
      <c r="D5382" s="339">
        <v>34.42</v>
      </c>
    </row>
    <row r="5383" spans="1:4" ht="54">
      <c r="A5383" s="337">
        <v>87633</v>
      </c>
      <c r="B5383" s="338" t="s">
        <v>6112</v>
      </c>
      <c r="C5383" s="337" t="s">
        <v>145</v>
      </c>
      <c r="D5383" s="339">
        <v>73.45</v>
      </c>
    </row>
    <row r="5384" spans="1:4" ht="54">
      <c r="A5384" s="337">
        <v>87634</v>
      </c>
      <c r="B5384" s="338" t="s">
        <v>6113</v>
      </c>
      <c r="C5384" s="337" t="s">
        <v>145</v>
      </c>
      <c r="D5384" s="339">
        <v>80.56</v>
      </c>
    </row>
    <row r="5385" spans="1:4" ht="67.5">
      <c r="A5385" s="337">
        <v>87640</v>
      </c>
      <c r="B5385" s="338" t="s">
        <v>6114</v>
      </c>
      <c r="C5385" s="337" t="s">
        <v>145</v>
      </c>
      <c r="D5385" s="339">
        <v>35.18</v>
      </c>
    </row>
    <row r="5386" spans="1:4" ht="54">
      <c r="A5386" s="337">
        <v>87642</v>
      </c>
      <c r="B5386" s="338" t="s">
        <v>6115</v>
      </c>
      <c r="C5386" s="337" t="s">
        <v>145</v>
      </c>
      <c r="D5386" s="339">
        <v>39.92</v>
      </c>
    </row>
    <row r="5387" spans="1:4" ht="54">
      <c r="A5387" s="337">
        <v>87643</v>
      </c>
      <c r="B5387" s="338" t="s">
        <v>6116</v>
      </c>
      <c r="C5387" s="337" t="s">
        <v>145</v>
      </c>
      <c r="D5387" s="339">
        <v>87.92</v>
      </c>
    </row>
    <row r="5388" spans="1:4" ht="54">
      <c r="A5388" s="337">
        <v>87644</v>
      </c>
      <c r="B5388" s="338" t="s">
        <v>6117</v>
      </c>
      <c r="C5388" s="337" t="s">
        <v>145</v>
      </c>
      <c r="D5388" s="339">
        <v>96.67</v>
      </c>
    </row>
    <row r="5389" spans="1:4" ht="67.5">
      <c r="A5389" s="337">
        <v>87680</v>
      </c>
      <c r="B5389" s="338" t="s">
        <v>6118</v>
      </c>
      <c r="C5389" s="337" t="s">
        <v>145</v>
      </c>
      <c r="D5389" s="339">
        <v>27.92</v>
      </c>
    </row>
    <row r="5390" spans="1:4" ht="54">
      <c r="A5390" s="337">
        <v>87682</v>
      </c>
      <c r="B5390" s="338" t="s">
        <v>6119</v>
      </c>
      <c r="C5390" s="337" t="s">
        <v>145</v>
      </c>
      <c r="D5390" s="339">
        <v>32.659999999999997</v>
      </c>
    </row>
    <row r="5391" spans="1:4" ht="54">
      <c r="A5391" s="337">
        <v>87683</v>
      </c>
      <c r="B5391" s="338" t="s">
        <v>6120</v>
      </c>
      <c r="C5391" s="337" t="s">
        <v>145</v>
      </c>
      <c r="D5391" s="339">
        <v>80.66</v>
      </c>
    </row>
    <row r="5392" spans="1:4" ht="54">
      <c r="A5392" s="337">
        <v>87684</v>
      </c>
      <c r="B5392" s="338" t="s">
        <v>6121</v>
      </c>
      <c r="C5392" s="337" t="s">
        <v>145</v>
      </c>
      <c r="D5392" s="339">
        <v>89.41</v>
      </c>
    </row>
    <row r="5393" spans="1:4" ht="67.5">
      <c r="A5393" s="337">
        <v>87690</v>
      </c>
      <c r="B5393" s="338" t="s">
        <v>6122</v>
      </c>
      <c r="C5393" s="337" t="s">
        <v>145</v>
      </c>
      <c r="D5393" s="339">
        <v>32.42</v>
      </c>
    </row>
    <row r="5394" spans="1:4" ht="54">
      <c r="A5394" s="337">
        <v>87692</v>
      </c>
      <c r="B5394" s="338" t="s">
        <v>6123</v>
      </c>
      <c r="C5394" s="337" t="s">
        <v>145</v>
      </c>
      <c r="D5394" s="339">
        <v>37.85</v>
      </c>
    </row>
    <row r="5395" spans="1:4" ht="54">
      <c r="A5395" s="337">
        <v>87693</v>
      </c>
      <c r="B5395" s="338" t="s">
        <v>6124</v>
      </c>
      <c r="C5395" s="337" t="s">
        <v>145</v>
      </c>
      <c r="D5395" s="339">
        <v>92.83</v>
      </c>
    </row>
    <row r="5396" spans="1:4" ht="54">
      <c r="A5396" s="337">
        <v>87694</v>
      </c>
      <c r="B5396" s="338" t="s">
        <v>6125</v>
      </c>
      <c r="C5396" s="337" t="s">
        <v>145</v>
      </c>
      <c r="D5396" s="339">
        <v>102.85</v>
      </c>
    </row>
    <row r="5397" spans="1:4" ht="67.5">
      <c r="A5397" s="337">
        <v>87700</v>
      </c>
      <c r="B5397" s="338" t="s">
        <v>6126</v>
      </c>
      <c r="C5397" s="337" t="s">
        <v>145</v>
      </c>
      <c r="D5397" s="339">
        <v>35.03</v>
      </c>
    </row>
    <row r="5398" spans="1:4" ht="54">
      <c r="A5398" s="337">
        <v>87702</v>
      </c>
      <c r="B5398" s="338" t="s">
        <v>6127</v>
      </c>
      <c r="C5398" s="337" t="s">
        <v>145</v>
      </c>
      <c r="D5398" s="339">
        <v>40.94</v>
      </c>
    </row>
    <row r="5399" spans="1:4" ht="54">
      <c r="A5399" s="337">
        <v>87703</v>
      </c>
      <c r="B5399" s="338" t="s">
        <v>6128</v>
      </c>
      <c r="C5399" s="337" t="s">
        <v>145</v>
      </c>
      <c r="D5399" s="339">
        <v>100.81</v>
      </c>
    </row>
    <row r="5400" spans="1:4" ht="54">
      <c r="A5400" s="337">
        <v>87704</v>
      </c>
      <c r="B5400" s="338" t="s">
        <v>6129</v>
      </c>
      <c r="C5400" s="337" t="s">
        <v>145</v>
      </c>
      <c r="D5400" s="339">
        <v>111.71</v>
      </c>
    </row>
    <row r="5401" spans="1:4" ht="67.5">
      <c r="A5401" s="337">
        <v>87735</v>
      </c>
      <c r="B5401" s="338" t="s">
        <v>6130</v>
      </c>
      <c r="C5401" s="337" t="s">
        <v>145</v>
      </c>
      <c r="D5401" s="339">
        <v>32.26</v>
      </c>
    </row>
    <row r="5402" spans="1:4" ht="54">
      <c r="A5402" s="337">
        <v>87737</v>
      </c>
      <c r="B5402" s="338" t="s">
        <v>6131</v>
      </c>
      <c r="C5402" s="337" t="s">
        <v>145</v>
      </c>
      <c r="D5402" s="339">
        <v>35.04</v>
      </c>
    </row>
    <row r="5403" spans="1:4" ht="54">
      <c r="A5403" s="337">
        <v>87738</v>
      </c>
      <c r="B5403" s="338" t="s">
        <v>6132</v>
      </c>
      <c r="C5403" s="337" t="s">
        <v>145</v>
      </c>
      <c r="D5403" s="339">
        <v>63.11</v>
      </c>
    </row>
    <row r="5404" spans="1:4" ht="54">
      <c r="A5404" s="337">
        <v>87739</v>
      </c>
      <c r="B5404" s="338" t="s">
        <v>6133</v>
      </c>
      <c r="C5404" s="337" t="s">
        <v>145</v>
      </c>
      <c r="D5404" s="339">
        <v>68.23</v>
      </c>
    </row>
    <row r="5405" spans="1:4" ht="67.5">
      <c r="A5405" s="337">
        <v>87745</v>
      </c>
      <c r="B5405" s="338" t="s">
        <v>6134</v>
      </c>
      <c r="C5405" s="337" t="s">
        <v>145</v>
      </c>
      <c r="D5405" s="339">
        <v>37.979999999999997</v>
      </c>
    </row>
    <row r="5406" spans="1:4" ht="54">
      <c r="A5406" s="337">
        <v>87747</v>
      </c>
      <c r="B5406" s="338" t="s">
        <v>6135</v>
      </c>
      <c r="C5406" s="337" t="s">
        <v>145</v>
      </c>
      <c r="D5406" s="339">
        <v>41.84</v>
      </c>
    </row>
    <row r="5407" spans="1:4" ht="54">
      <c r="A5407" s="337">
        <v>87748</v>
      </c>
      <c r="B5407" s="338" t="s">
        <v>6136</v>
      </c>
      <c r="C5407" s="337" t="s">
        <v>145</v>
      </c>
      <c r="D5407" s="339">
        <v>80.87</v>
      </c>
    </row>
    <row r="5408" spans="1:4" ht="54">
      <c r="A5408" s="337">
        <v>87749</v>
      </c>
      <c r="B5408" s="338" t="s">
        <v>6137</v>
      </c>
      <c r="C5408" s="337" t="s">
        <v>145</v>
      </c>
      <c r="D5408" s="339">
        <v>87.98</v>
      </c>
    </row>
    <row r="5409" spans="1:4" ht="67.5">
      <c r="A5409" s="337">
        <v>87755</v>
      </c>
      <c r="B5409" s="338" t="s">
        <v>6138</v>
      </c>
      <c r="C5409" s="337" t="s">
        <v>145</v>
      </c>
      <c r="D5409" s="339">
        <v>33.450000000000003</v>
      </c>
    </row>
    <row r="5410" spans="1:4" ht="67.5">
      <c r="A5410" s="337">
        <v>87757</v>
      </c>
      <c r="B5410" s="338" t="s">
        <v>6139</v>
      </c>
      <c r="C5410" s="337" t="s">
        <v>145</v>
      </c>
      <c r="D5410" s="339">
        <v>37.31</v>
      </c>
    </row>
    <row r="5411" spans="1:4" ht="67.5">
      <c r="A5411" s="337">
        <v>87758</v>
      </c>
      <c r="B5411" s="338" t="s">
        <v>6140</v>
      </c>
      <c r="C5411" s="337" t="s">
        <v>145</v>
      </c>
      <c r="D5411" s="339">
        <v>76.34</v>
      </c>
    </row>
    <row r="5412" spans="1:4" ht="54">
      <c r="A5412" s="337">
        <v>87759</v>
      </c>
      <c r="B5412" s="338" t="s">
        <v>6141</v>
      </c>
      <c r="C5412" s="337" t="s">
        <v>145</v>
      </c>
      <c r="D5412" s="339">
        <v>83.45</v>
      </c>
    </row>
    <row r="5413" spans="1:4" ht="67.5">
      <c r="A5413" s="337">
        <v>87765</v>
      </c>
      <c r="B5413" s="338" t="s">
        <v>6142</v>
      </c>
      <c r="C5413" s="337" t="s">
        <v>145</v>
      </c>
      <c r="D5413" s="339">
        <v>38.07</v>
      </c>
    </row>
    <row r="5414" spans="1:4" ht="67.5">
      <c r="A5414" s="337">
        <v>87767</v>
      </c>
      <c r="B5414" s="338" t="s">
        <v>6143</v>
      </c>
      <c r="C5414" s="337" t="s">
        <v>145</v>
      </c>
      <c r="D5414" s="339">
        <v>42.81</v>
      </c>
    </row>
    <row r="5415" spans="1:4" ht="67.5">
      <c r="A5415" s="337">
        <v>87768</v>
      </c>
      <c r="B5415" s="338" t="s">
        <v>6144</v>
      </c>
      <c r="C5415" s="337" t="s">
        <v>145</v>
      </c>
      <c r="D5415" s="339">
        <v>90.81</v>
      </c>
    </row>
    <row r="5416" spans="1:4" ht="54">
      <c r="A5416" s="337">
        <v>87769</v>
      </c>
      <c r="B5416" s="338" t="s">
        <v>6145</v>
      </c>
      <c r="C5416" s="337" t="s">
        <v>145</v>
      </c>
      <c r="D5416" s="339">
        <v>99.56</v>
      </c>
    </row>
    <row r="5417" spans="1:4" ht="40.5">
      <c r="A5417" s="337">
        <v>88470</v>
      </c>
      <c r="B5417" s="338" t="s">
        <v>6146</v>
      </c>
      <c r="C5417" s="337" t="s">
        <v>145</v>
      </c>
      <c r="D5417" s="339">
        <v>20.83</v>
      </c>
    </row>
    <row r="5418" spans="1:4" ht="40.5">
      <c r="A5418" s="337">
        <v>88471</v>
      </c>
      <c r="B5418" s="338" t="s">
        <v>6147</v>
      </c>
      <c r="C5418" s="337" t="s">
        <v>145</v>
      </c>
      <c r="D5418" s="339">
        <v>25.73</v>
      </c>
    </row>
    <row r="5419" spans="1:4" ht="40.5">
      <c r="A5419" s="337">
        <v>88472</v>
      </c>
      <c r="B5419" s="338" t="s">
        <v>6148</v>
      </c>
      <c r="C5419" s="337" t="s">
        <v>145</v>
      </c>
      <c r="D5419" s="339">
        <v>29.57</v>
      </c>
    </row>
    <row r="5420" spans="1:4" ht="40.5">
      <c r="A5420" s="337">
        <v>88476</v>
      </c>
      <c r="B5420" s="338" t="s">
        <v>6149</v>
      </c>
      <c r="C5420" s="337" t="s">
        <v>145</v>
      </c>
      <c r="D5420" s="339">
        <v>17.45</v>
      </c>
    </row>
    <row r="5421" spans="1:4" ht="40.5">
      <c r="A5421" s="337">
        <v>88477</v>
      </c>
      <c r="B5421" s="338" t="s">
        <v>6150</v>
      </c>
      <c r="C5421" s="337" t="s">
        <v>145</v>
      </c>
      <c r="D5421" s="339">
        <v>23.73</v>
      </c>
    </row>
    <row r="5422" spans="1:4" ht="40.5">
      <c r="A5422" s="337">
        <v>88478</v>
      </c>
      <c r="B5422" s="338" t="s">
        <v>6151</v>
      </c>
      <c r="C5422" s="337" t="s">
        <v>145</v>
      </c>
      <c r="D5422" s="339">
        <v>28.82</v>
      </c>
    </row>
    <row r="5423" spans="1:4" ht="67.5">
      <c r="A5423" s="337">
        <v>90900</v>
      </c>
      <c r="B5423" s="338" t="s">
        <v>6152</v>
      </c>
      <c r="C5423" s="337" t="s">
        <v>145</v>
      </c>
      <c r="D5423" s="339">
        <v>59.04</v>
      </c>
    </row>
    <row r="5424" spans="1:4" ht="54">
      <c r="A5424" s="337">
        <v>90902</v>
      </c>
      <c r="B5424" s="338" t="s">
        <v>6153</v>
      </c>
      <c r="C5424" s="337" t="s">
        <v>145</v>
      </c>
      <c r="D5424" s="339">
        <v>64.47</v>
      </c>
    </row>
    <row r="5425" spans="1:4" ht="54">
      <c r="A5425" s="337">
        <v>90903</v>
      </c>
      <c r="B5425" s="338" t="s">
        <v>6154</v>
      </c>
      <c r="C5425" s="337" t="s">
        <v>145</v>
      </c>
      <c r="D5425" s="339">
        <v>119.45</v>
      </c>
    </row>
    <row r="5426" spans="1:4" ht="54">
      <c r="A5426" s="337">
        <v>90904</v>
      </c>
      <c r="B5426" s="338" t="s">
        <v>6155</v>
      </c>
      <c r="C5426" s="337" t="s">
        <v>145</v>
      </c>
      <c r="D5426" s="339">
        <v>129.47</v>
      </c>
    </row>
    <row r="5427" spans="1:4" ht="67.5">
      <c r="A5427" s="337">
        <v>90910</v>
      </c>
      <c r="B5427" s="338" t="s">
        <v>6156</v>
      </c>
      <c r="C5427" s="337" t="s">
        <v>145</v>
      </c>
      <c r="D5427" s="339">
        <v>62.33</v>
      </c>
    </row>
    <row r="5428" spans="1:4" ht="54">
      <c r="A5428" s="337">
        <v>90912</v>
      </c>
      <c r="B5428" s="338" t="s">
        <v>6157</v>
      </c>
      <c r="C5428" s="337" t="s">
        <v>145</v>
      </c>
      <c r="D5428" s="339">
        <v>68.239999999999995</v>
      </c>
    </row>
    <row r="5429" spans="1:4" ht="54">
      <c r="A5429" s="337">
        <v>90913</v>
      </c>
      <c r="B5429" s="338" t="s">
        <v>6158</v>
      </c>
      <c r="C5429" s="337" t="s">
        <v>145</v>
      </c>
      <c r="D5429" s="339">
        <v>128.11000000000001</v>
      </c>
    </row>
    <row r="5430" spans="1:4" ht="54">
      <c r="A5430" s="337">
        <v>90914</v>
      </c>
      <c r="B5430" s="338" t="s">
        <v>6159</v>
      </c>
      <c r="C5430" s="337" t="s">
        <v>145</v>
      </c>
      <c r="D5430" s="339">
        <v>139.01</v>
      </c>
    </row>
    <row r="5431" spans="1:4" ht="67.5">
      <c r="A5431" s="337">
        <v>90920</v>
      </c>
      <c r="B5431" s="338" t="s">
        <v>6160</v>
      </c>
      <c r="C5431" s="337" t="s">
        <v>145</v>
      </c>
      <c r="D5431" s="339">
        <v>68.39</v>
      </c>
    </row>
    <row r="5432" spans="1:4" ht="54">
      <c r="A5432" s="337">
        <v>90922</v>
      </c>
      <c r="B5432" s="338" t="s">
        <v>6161</v>
      </c>
      <c r="C5432" s="337" t="s">
        <v>145</v>
      </c>
      <c r="D5432" s="339">
        <v>75.180000000000007</v>
      </c>
    </row>
    <row r="5433" spans="1:4" ht="54">
      <c r="A5433" s="337">
        <v>90923</v>
      </c>
      <c r="B5433" s="338" t="s">
        <v>6162</v>
      </c>
      <c r="C5433" s="337" t="s">
        <v>145</v>
      </c>
      <c r="D5433" s="339">
        <v>144.01</v>
      </c>
    </row>
    <row r="5434" spans="1:4" ht="54">
      <c r="A5434" s="337">
        <v>90924</v>
      </c>
      <c r="B5434" s="338" t="s">
        <v>6163</v>
      </c>
      <c r="C5434" s="337" t="s">
        <v>145</v>
      </c>
      <c r="D5434" s="339">
        <v>156.56</v>
      </c>
    </row>
    <row r="5435" spans="1:4" ht="67.5">
      <c r="A5435" s="337">
        <v>90930</v>
      </c>
      <c r="B5435" s="338" t="s">
        <v>6164</v>
      </c>
      <c r="C5435" s="337" t="s">
        <v>145</v>
      </c>
      <c r="D5435" s="339">
        <v>54.21</v>
      </c>
    </row>
    <row r="5436" spans="1:4" ht="54">
      <c r="A5436" s="337">
        <v>90932</v>
      </c>
      <c r="B5436" s="338" t="s">
        <v>6165</v>
      </c>
      <c r="C5436" s="337" t="s">
        <v>145</v>
      </c>
      <c r="D5436" s="339">
        <v>59.64</v>
      </c>
    </row>
    <row r="5437" spans="1:4" ht="54">
      <c r="A5437" s="337">
        <v>90933</v>
      </c>
      <c r="B5437" s="338" t="s">
        <v>6166</v>
      </c>
      <c r="C5437" s="337" t="s">
        <v>145</v>
      </c>
      <c r="D5437" s="339">
        <v>114.62</v>
      </c>
    </row>
    <row r="5438" spans="1:4" ht="54">
      <c r="A5438" s="337">
        <v>90934</v>
      </c>
      <c r="B5438" s="338" t="s">
        <v>6167</v>
      </c>
      <c r="C5438" s="337" t="s">
        <v>145</v>
      </c>
      <c r="D5438" s="339">
        <v>124.64</v>
      </c>
    </row>
    <row r="5439" spans="1:4" ht="67.5">
      <c r="A5439" s="337">
        <v>90940</v>
      </c>
      <c r="B5439" s="338" t="s">
        <v>6168</v>
      </c>
      <c r="C5439" s="337" t="s">
        <v>145</v>
      </c>
      <c r="D5439" s="339">
        <v>57.52</v>
      </c>
    </row>
    <row r="5440" spans="1:4" ht="54">
      <c r="A5440" s="337">
        <v>90942</v>
      </c>
      <c r="B5440" s="338" t="s">
        <v>6169</v>
      </c>
      <c r="C5440" s="337" t="s">
        <v>145</v>
      </c>
      <c r="D5440" s="339">
        <v>63.43</v>
      </c>
    </row>
    <row r="5441" spans="1:4" ht="54">
      <c r="A5441" s="337">
        <v>90943</v>
      </c>
      <c r="B5441" s="338" t="s">
        <v>6170</v>
      </c>
      <c r="C5441" s="337" t="s">
        <v>145</v>
      </c>
      <c r="D5441" s="339">
        <v>123.3</v>
      </c>
    </row>
    <row r="5442" spans="1:4" ht="54">
      <c r="A5442" s="337">
        <v>90944</v>
      </c>
      <c r="B5442" s="338" t="s">
        <v>6171</v>
      </c>
      <c r="C5442" s="337" t="s">
        <v>145</v>
      </c>
      <c r="D5442" s="339">
        <v>134.19999999999999</v>
      </c>
    </row>
    <row r="5443" spans="1:4" ht="67.5">
      <c r="A5443" s="337">
        <v>90950</v>
      </c>
      <c r="B5443" s="338" t="s">
        <v>6172</v>
      </c>
      <c r="C5443" s="337" t="s">
        <v>145</v>
      </c>
      <c r="D5443" s="339">
        <v>63.55</v>
      </c>
    </row>
    <row r="5444" spans="1:4" ht="54">
      <c r="A5444" s="337">
        <v>90952</v>
      </c>
      <c r="B5444" s="338" t="s">
        <v>6173</v>
      </c>
      <c r="C5444" s="337" t="s">
        <v>145</v>
      </c>
      <c r="D5444" s="339">
        <v>70.34</v>
      </c>
    </row>
    <row r="5445" spans="1:4" ht="54">
      <c r="A5445" s="337">
        <v>90953</v>
      </c>
      <c r="B5445" s="338" t="s">
        <v>6174</v>
      </c>
      <c r="C5445" s="337" t="s">
        <v>145</v>
      </c>
      <c r="D5445" s="339">
        <v>139.16999999999999</v>
      </c>
    </row>
    <row r="5446" spans="1:4" ht="54">
      <c r="A5446" s="337">
        <v>90954</v>
      </c>
      <c r="B5446" s="338" t="s">
        <v>6175</v>
      </c>
      <c r="C5446" s="337" t="s">
        <v>145</v>
      </c>
      <c r="D5446" s="339">
        <v>151.72</v>
      </c>
    </row>
    <row r="5447" spans="1:4" ht="94.5">
      <c r="A5447" s="337">
        <v>94438</v>
      </c>
      <c r="B5447" s="338" t="s">
        <v>6176</v>
      </c>
      <c r="C5447" s="337" t="s">
        <v>145</v>
      </c>
      <c r="D5447" s="339">
        <v>32.5</v>
      </c>
    </row>
    <row r="5448" spans="1:4" ht="121.5">
      <c r="A5448" s="337">
        <v>94439</v>
      </c>
      <c r="B5448" s="338" t="s">
        <v>6177</v>
      </c>
      <c r="C5448" s="337" t="s">
        <v>145</v>
      </c>
      <c r="D5448" s="339">
        <v>36.19</v>
      </c>
    </row>
    <row r="5449" spans="1:4" ht="81">
      <c r="A5449" s="337">
        <v>94779</v>
      </c>
      <c r="B5449" s="338" t="s">
        <v>6178</v>
      </c>
      <c r="C5449" s="337" t="s">
        <v>145</v>
      </c>
      <c r="D5449" s="339">
        <v>31.7</v>
      </c>
    </row>
    <row r="5450" spans="1:4" ht="108">
      <c r="A5450" s="337">
        <v>94782</v>
      </c>
      <c r="B5450" s="338" t="s">
        <v>6179</v>
      </c>
      <c r="C5450" s="337" t="s">
        <v>145</v>
      </c>
      <c r="D5450" s="339">
        <v>35.799999999999997</v>
      </c>
    </row>
    <row r="5451" spans="1:4" ht="27">
      <c r="A5451" s="337">
        <v>72190</v>
      </c>
      <c r="B5451" s="338" t="s">
        <v>6180</v>
      </c>
      <c r="C5451" s="337" t="s">
        <v>172</v>
      </c>
      <c r="D5451" s="339">
        <v>28.35</v>
      </c>
    </row>
    <row r="5452" spans="1:4" ht="67.5">
      <c r="A5452" s="337">
        <v>87871</v>
      </c>
      <c r="B5452" s="338" t="s">
        <v>6181</v>
      </c>
      <c r="C5452" s="337" t="s">
        <v>145</v>
      </c>
      <c r="D5452" s="339">
        <v>15.37</v>
      </c>
    </row>
    <row r="5453" spans="1:4" ht="67.5">
      <c r="A5453" s="337">
        <v>87872</v>
      </c>
      <c r="B5453" s="338" t="s">
        <v>6182</v>
      </c>
      <c r="C5453" s="337" t="s">
        <v>145</v>
      </c>
      <c r="D5453" s="339">
        <v>14.77</v>
      </c>
    </row>
    <row r="5454" spans="1:4" ht="81">
      <c r="A5454" s="337">
        <v>87873</v>
      </c>
      <c r="B5454" s="338" t="s">
        <v>6183</v>
      </c>
      <c r="C5454" s="337" t="s">
        <v>145</v>
      </c>
      <c r="D5454" s="339">
        <v>4.66</v>
      </c>
    </row>
    <row r="5455" spans="1:4" ht="81">
      <c r="A5455" s="337">
        <v>87874</v>
      </c>
      <c r="B5455" s="338" t="s">
        <v>6184</v>
      </c>
      <c r="C5455" s="337" t="s">
        <v>145</v>
      </c>
      <c r="D5455" s="339">
        <v>4.55</v>
      </c>
    </row>
    <row r="5456" spans="1:4" ht="67.5">
      <c r="A5456" s="337">
        <v>87876</v>
      </c>
      <c r="B5456" s="338" t="s">
        <v>6185</v>
      </c>
      <c r="C5456" s="337" t="s">
        <v>145</v>
      </c>
      <c r="D5456" s="339">
        <v>8.2899999999999991</v>
      </c>
    </row>
    <row r="5457" spans="1:4" ht="67.5">
      <c r="A5457" s="337">
        <v>87877</v>
      </c>
      <c r="B5457" s="338" t="s">
        <v>6186</v>
      </c>
      <c r="C5457" s="337" t="s">
        <v>145</v>
      </c>
      <c r="D5457" s="339">
        <v>8.02</v>
      </c>
    </row>
    <row r="5458" spans="1:4" ht="54">
      <c r="A5458" s="337">
        <v>87878</v>
      </c>
      <c r="B5458" s="338" t="s">
        <v>6187</v>
      </c>
      <c r="C5458" s="337" t="s">
        <v>145</v>
      </c>
      <c r="D5458" s="339">
        <v>3.08</v>
      </c>
    </row>
    <row r="5459" spans="1:4" ht="67.5">
      <c r="A5459" s="337">
        <v>87879</v>
      </c>
      <c r="B5459" s="338" t="s">
        <v>6188</v>
      </c>
      <c r="C5459" s="337" t="s">
        <v>145</v>
      </c>
      <c r="D5459" s="339">
        <v>2.68</v>
      </c>
    </row>
    <row r="5460" spans="1:4" ht="54">
      <c r="A5460" s="337">
        <v>87881</v>
      </c>
      <c r="B5460" s="338" t="s">
        <v>6189</v>
      </c>
      <c r="C5460" s="337" t="s">
        <v>145</v>
      </c>
      <c r="D5460" s="339">
        <v>4.58</v>
      </c>
    </row>
    <row r="5461" spans="1:4" ht="54">
      <c r="A5461" s="337">
        <v>87882</v>
      </c>
      <c r="B5461" s="338" t="s">
        <v>6190</v>
      </c>
      <c r="C5461" s="337" t="s">
        <v>145</v>
      </c>
      <c r="D5461" s="339">
        <v>4.47</v>
      </c>
    </row>
    <row r="5462" spans="1:4" ht="54">
      <c r="A5462" s="337">
        <v>87884</v>
      </c>
      <c r="B5462" s="338" t="s">
        <v>6191</v>
      </c>
      <c r="C5462" s="337" t="s">
        <v>145</v>
      </c>
      <c r="D5462" s="339">
        <v>8.2100000000000009</v>
      </c>
    </row>
    <row r="5463" spans="1:4" ht="54">
      <c r="A5463" s="337">
        <v>87885</v>
      </c>
      <c r="B5463" s="338" t="s">
        <v>6192</v>
      </c>
      <c r="C5463" s="337" t="s">
        <v>145</v>
      </c>
      <c r="D5463" s="339">
        <v>7.94</v>
      </c>
    </row>
    <row r="5464" spans="1:4" ht="54">
      <c r="A5464" s="337">
        <v>87886</v>
      </c>
      <c r="B5464" s="338" t="s">
        <v>6193</v>
      </c>
      <c r="C5464" s="337" t="s">
        <v>145</v>
      </c>
      <c r="D5464" s="339">
        <v>19.98</v>
      </c>
    </row>
    <row r="5465" spans="1:4" ht="54">
      <c r="A5465" s="337">
        <v>87887</v>
      </c>
      <c r="B5465" s="338" t="s">
        <v>6194</v>
      </c>
      <c r="C5465" s="337" t="s">
        <v>145</v>
      </c>
      <c r="D5465" s="339">
        <v>19.38</v>
      </c>
    </row>
    <row r="5466" spans="1:4" ht="81">
      <c r="A5466" s="337">
        <v>87888</v>
      </c>
      <c r="B5466" s="338" t="s">
        <v>6195</v>
      </c>
      <c r="C5466" s="337" t="s">
        <v>145</v>
      </c>
      <c r="D5466" s="339">
        <v>5.66</v>
      </c>
    </row>
    <row r="5467" spans="1:4" ht="81">
      <c r="A5467" s="337">
        <v>87889</v>
      </c>
      <c r="B5467" s="338" t="s">
        <v>6196</v>
      </c>
      <c r="C5467" s="337" t="s">
        <v>145</v>
      </c>
      <c r="D5467" s="339">
        <v>5.55</v>
      </c>
    </row>
    <row r="5468" spans="1:4" ht="81">
      <c r="A5468" s="337">
        <v>87891</v>
      </c>
      <c r="B5468" s="338" t="s">
        <v>6197</v>
      </c>
      <c r="C5468" s="337" t="s">
        <v>145</v>
      </c>
      <c r="D5468" s="339">
        <v>9.2899999999999991</v>
      </c>
    </row>
    <row r="5469" spans="1:4" ht="81">
      <c r="A5469" s="337">
        <v>87892</v>
      </c>
      <c r="B5469" s="338" t="s">
        <v>6198</v>
      </c>
      <c r="C5469" s="337" t="s">
        <v>145</v>
      </c>
      <c r="D5469" s="339">
        <v>9.02</v>
      </c>
    </row>
    <row r="5470" spans="1:4" ht="67.5">
      <c r="A5470" s="337">
        <v>87893</v>
      </c>
      <c r="B5470" s="338" t="s">
        <v>6199</v>
      </c>
      <c r="C5470" s="337" t="s">
        <v>145</v>
      </c>
      <c r="D5470" s="339">
        <v>4.8099999999999996</v>
      </c>
    </row>
    <row r="5471" spans="1:4" ht="67.5">
      <c r="A5471" s="337">
        <v>87894</v>
      </c>
      <c r="B5471" s="338" t="s">
        <v>6200</v>
      </c>
      <c r="C5471" s="337" t="s">
        <v>145</v>
      </c>
      <c r="D5471" s="339">
        <v>4.41</v>
      </c>
    </row>
    <row r="5472" spans="1:4" ht="67.5">
      <c r="A5472" s="337">
        <v>87896</v>
      </c>
      <c r="B5472" s="338" t="s">
        <v>6201</v>
      </c>
      <c r="C5472" s="337" t="s">
        <v>145</v>
      </c>
      <c r="D5472" s="339">
        <v>4.32</v>
      </c>
    </row>
    <row r="5473" spans="1:4" ht="67.5">
      <c r="A5473" s="337">
        <v>87897</v>
      </c>
      <c r="B5473" s="338" t="s">
        <v>6202</v>
      </c>
      <c r="C5473" s="337" t="s">
        <v>145</v>
      </c>
      <c r="D5473" s="339">
        <v>3.92</v>
      </c>
    </row>
    <row r="5474" spans="1:4" ht="81">
      <c r="A5474" s="337">
        <v>87899</v>
      </c>
      <c r="B5474" s="338" t="s">
        <v>6203</v>
      </c>
      <c r="C5474" s="337" t="s">
        <v>145</v>
      </c>
      <c r="D5474" s="339">
        <v>6.54</v>
      </c>
    </row>
    <row r="5475" spans="1:4" ht="81">
      <c r="A5475" s="337">
        <v>87900</v>
      </c>
      <c r="B5475" s="338" t="s">
        <v>6204</v>
      </c>
      <c r="C5475" s="337" t="s">
        <v>145</v>
      </c>
      <c r="D5475" s="339">
        <v>6.43</v>
      </c>
    </row>
    <row r="5476" spans="1:4" ht="81">
      <c r="A5476" s="337">
        <v>87902</v>
      </c>
      <c r="B5476" s="338" t="s">
        <v>6205</v>
      </c>
      <c r="C5476" s="337" t="s">
        <v>145</v>
      </c>
      <c r="D5476" s="339">
        <v>10.17</v>
      </c>
    </row>
    <row r="5477" spans="1:4" ht="81">
      <c r="A5477" s="337">
        <v>87903</v>
      </c>
      <c r="B5477" s="338" t="s">
        <v>6206</v>
      </c>
      <c r="C5477" s="337" t="s">
        <v>145</v>
      </c>
      <c r="D5477" s="339">
        <v>9.9</v>
      </c>
    </row>
    <row r="5478" spans="1:4" ht="67.5">
      <c r="A5478" s="337">
        <v>87904</v>
      </c>
      <c r="B5478" s="338" t="s">
        <v>6207</v>
      </c>
      <c r="C5478" s="337" t="s">
        <v>145</v>
      </c>
      <c r="D5478" s="339">
        <v>6.27</v>
      </c>
    </row>
    <row r="5479" spans="1:4" ht="67.5">
      <c r="A5479" s="337">
        <v>87905</v>
      </c>
      <c r="B5479" s="338" t="s">
        <v>6208</v>
      </c>
      <c r="C5479" s="337" t="s">
        <v>145</v>
      </c>
      <c r="D5479" s="339">
        <v>5.87</v>
      </c>
    </row>
    <row r="5480" spans="1:4" ht="67.5">
      <c r="A5480" s="337">
        <v>87907</v>
      </c>
      <c r="B5480" s="338" t="s">
        <v>6209</v>
      </c>
      <c r="C5480" s="337" t="s">
        <v>145</v>
      </c>
      <c r="D5480" s="339">
        <v>5.57</v>
      </c>
    </row>
    <row r="5481" spans="1:4" ht="67.5">
      <c r="A5481" s="337">
        <v>87908</v>
      </c>
      <c r="B5481" s="338" t="s">
        <v>6210</v>
      </c>
      <c r="C5481" s="337" t="s">
        <v>145</v>
      </c>
      <c r="D5481" s="339">
        <v>5.17</v>
      </c>
    </row>
    <row r="5482" spans="1:4" ht="67.5">
      <c r="A5482" s="337">
        <v>87910</v>
      </c>
      <c r="B5482" s="338" t="s">
        <v>6211</v>
      </c>
      <c r="C5482" s="337" t="s">
        <v>145</v>
      </c>
      <c r="D5482" s="339">
        <v>19.899999999999999</v>
      </c>
    </row>
    <row r="5483" spans="1:4" ht="67.5">
      <c r="A5483" s="337">
        <v>87911</v>
      </c>
      <c r="B5483" s="338" t="s">
        <v>6212</v>
      </c>
      <c r="C5483" s="337" t="s">
        <v>145</v>
      </c>
      <c r="D5483" s="339">
        <v>19.3</v>
      </c>
    </row>
    <row r="5484" spans="1:4" ht="67.5">
      <c r="A5484" s="337">
        <v>5991</v>
      </c>
      <c r="B5484" s="338" t="s">
        <v>6213</v>
      </c>
      <c r="C5484" s="337" t="s">
        <v>145</v>
      </c>
      <c r="D5484" s="339">
        <v>37.18</v>
      </c>
    </row>
    <row r="5485" spans="1:4" ht="40.5">
      <c r="A5485" s="337">
        <v>84023</v>
      </c>
      <c r="B5485" s="338" t="s">
        <v>6214</v>
      </c>
      <c r="C5485" s="337" t="s">
        <v>145</v>
      </c>
      <c r="D5485" s="339">
        <v>35.5</v>
      </c>
    </row>
    <row r="5486" spans="1:4" ht="40.5">
      <c r="A5486" s="337">
        <v>84024</v>
      </c>
      <c r="B5486" s="338" t="s">
        <v>6215</v>
      </c>
      <c r="C5486" s="337" t="s">
        <v>145</v>
      </c>
      <c r="D5486" s="339">
        <v>33.4</v>
      </c>
    </row>
    <row r="5487" spans="1:4" ht="40.5">
      <c r="A5487" s="337">
        <v>84026</v>
      </c>
      <c r="B5487" s="338" t="s">
        <v>6216</v>
      </c>
      <c r="C5487" s="337" t="s">
        <v>145</v>
      </c>
      <c r="D5487" s="339">
        <v>42.04</v>
      </c>
    </row>
    <row r="5488" spans="1:4" ht="40.5">
      <c r="A5488" s="337">
        <v>84027</v>
      </c>
      <c r="B5488" s="338" t="s">
        <v>6217</v>
      </c>
      <c r="C5488" s="337" t="s">
        <v>145</v>
      </c>
      <c r="D5488" s="339">
        <v>28.12</v>
      </c>
    </row>
    <row r="5489" spans="1:4" ht="40.5">
      <c r="A5489" s="337">
        <v>84028</v>
      </c>
      <c r="B5489" s="338" t="s">
        <v>6218</v>
      </c>
      <c r="C5489" s="337" t="s">
        <v>145</v>
      </c>
      <c r="D5489" s="339">
        <v>47.57</v>
      </c>
    </row>
    <row r="5490" spans="1:4" ht="54">
      <c r="A5490" s="337">
        <v>84072</v>
      </c>
      <c r="B5490" s="338" t="s">
        <v>6219</v>
      </c>
      <c r="C5490" s="337" t="s">
        <v>145</v>
      </c>
      <c r="D5490" s="339">
        <v>28.54</v>
      </c>
    </row>
    <row r="5491" spans="1:4" ht="54">
      <c r="A5491" s="337">
        <v>87411</v>
      </c>
      <c r="B5491" s="338" t="s">
        <v>6220</v>
      </c>
      <c r="C5491" s="337" t="s">
        <v>145</v>
      </c>
      <c r="D5491" s="339">
        <v>11.79</v>
      </c>
    </row>
    <row r="5492" spans="1:4" ht="54">
      <c r="A5492" s="337">
        <v>87412</v>
      </c>
      <c r="B5492" s="338" t="s">
        <v>6221</v>
      </c>
      <c r="C5492" s="337" t="s">
        <v>145</v>
      </c>
      <c r="D5492" s="339">
        <v>16.53</v>
      </c>
    </row>
    <row r="5493" spans="1:4" ht="54">
      <c r="A5493" s="337">
        <v>87413</v>
      </c>
      <c r="B5493" s="338" t="s">
        <v>6222</v>
      </c>
      <c r="C5493" s="337" t="s">
        <v>145</v>
      </c>
      <c r="D5493" s="339">
        <v>19.239999999999998</v>
      </c>
    </row>
    <row r="5494" spans="1:4" ht="54">
      <c r="A5494" s="337">
        <v>87414</v>
      </c>
      <c r="B5494" s="338" t="s">
        <v>6223</v>
      </c>
      <c r="C5494" s="337" t="s">
        <v>145</v>
      </c>
      <c r="D5494" s="339">
        <v>17.71</v>
      </c>
    </row>
    <row r="5495" spans="1:4" ht="54">
      <c r="A5495" s="337">
        <v>87415</v>
      </c>
      <c r="B5495" s="338" t="s">
        <v>6224</v>
      </c>
      <c r="C5495" s="337" t="s">
        <v>145</v>
      </c>
      <c r="D5495" s="339">
        <v>22.31</v>
      </c>
    </row>
    <row r="5496" spans="1:4" ht="54">
      <c r="A5496" s="337">
        <v>87416</v>
      </c>
      <c r="B5496" s="338" t="s">
        <v>6225</v>
      </c>
      <c r="C5496" s="337" t="s">
        <v>145</v>
      </c>
      <c r="D5496" s="339">
        <v>25.19</v>
      </c>
    </row>
    <row r="5497" spans="1:4" ht="54">
      <c r="A5497" s="337">
        <v>87417</v>
      </c>
      <c r="B5497" s="338" t="s">
        <v>6226</v>
      </c>
      <c r="C5497" s="337" t="s">
        <v>145</v>
      </c>
      <c r="D5497" s="339">
        <v>12.46</v>
      </c>
    </row>
    <row r="5498" spans="1:4" ht="54">
      <c r="A5498" s="337">
        <v>87418</v>
      </c>
      <c r="B5498" s="338" t="s">
        <v>6227</v>
      </c>
      <c r="C5498" s="337" t="s">
        <v>145</v>
      </c>
      <c r="D5498" s="339">
        <v>12.81</v>
      </c>
    </row>
    <row r="5499" spans="1:4" ht="54">
      <c r="A5499" s="337">
        <v>87419</v>
      </c>
      <c r="B5499" s="338" t="s">
        <v>6228</v>
      </c>
      <c r="C5499" s="337" t="s">
        <v>145</v>
      </c>
      <c r="D5499" s="339">
        <v>13.83</v>
      </c>
    </row>
    <row r="5500" spans="1:4" ht="54">
      <c r="A5500" s="337">
        <v>87420</v>
      </c>
      <c r="B5500" s="338" t="s">
        <v>6229</v>
      </c>
      <c r="C5500" s="337" t="s">
        <v>145</v>
      </c>
      <c r="D5500" s="339">
        <v>18.899999999999999</v>
      </c>
    </row>
    <row r="5501" spans="1:4" ht="54">
      <c r="A5501" s="337">
        <v>87421</v>
      </c>
      <c r="B5501" s="338" t="s">
        <v>6230</v>
      </c>
      <c r="C5501" s="337" t="s">
        <v>145</v>
      </c>
      <c r="D5501" s="339">
        <v>19.25</v>
      </c>
    </row>
    <row r="5502" spans="1:4" ht="54">
      <c r="A5502" s="337">
        <v>87422</v>
      </c>
      <c r="B5502" s="338" t="s">
        <v>6231</v>
      </c>
      <c r="C5502" s="337" t="s">
        <v>145</v>
      </c>
      <c r="D5502" s="339">
        <v>20.28</v>
      </c>
    </row>
    <row r="5503" spans="1:4" ht="54">
      <c r="A5503" s="337">
        <v>87423</v>
      </c>
      <c r="B5503" s="338" t="s">
        <v>6232</v>
      </c>
      <c r="C5503" s="337" t="s">
        <v>145</v>
      </c>
      <c r="D5503" s="339">
        <v>24.66</v>
      </c>
    </row>
    <row r="5504" spans="1:4" ht="54">
      <c r="A5504" s="337">
        <v>87424</v>
      </c>
      <c r="B5504" s="338" t="s">
        <v>6233</v>
      </c>
      <c r="C5504" s="337" t="s">
        <v>145</v>
      </c>
      <c r="D5504" s="339">
        <v>25.19</v>
      </c>
    </row>
    <row r="5505" spans="1:4" ht="54">
      <c r="A5505" s="337">
        <v>87425</v>
      </c>
      <c r="B5505" s="338" t="s">
        <v>6234</v>
      </c>
      <c r="C5505" s="337" t="s">
        <v>145</v>
      </c>
      <c r="D5505" s="339">
        <v>26.03</v>
      </c>
    </row>
    <row r="5506" spans="1:4" ht="54">
      <c r="A5506" s="337">
        <v>87426</v>
      </c>
      <c r="B5506" s="338" t="s">
        <v>6235</v>
      </c>
      <c r="C5506" s="337" t="s">
        <v>145</v>
      </c>
      <c r="D5506" s="339">
        <v>29.16</v>
      </c>
    </row>
    <row r="5507" spans="1:4" ht="54">
      <c r="A5507" s="337">
        <v>87427</v>
      </c>
      <c r="B5507" s="338" t="s">
        <v>6236</v>
      </c>
      <c r="C5507" s="337" t="s">
        <v>145</v>
      </c>
      <c r="D5507" s="339">
        <v>29.68</v>
      </c>
    </row>
    <row r="5508" spans="1:4" ht="54">
      <c r="A5508" s="337">
        <v>87428</v>
      </c>
      <c r="B5508" s="338" t="s">
        <v>6237</v>
      </c>
      <c r="C5508" s="337" t="s">
        <v>145</v>
      </c>
      <c r="D5508" s="339">
        <v>30.53</v>
      </c>
    </row>
    <row r="5509" spans="1:4" ht="67.5">
      <c r="A5509" s="337">
        <v>87429</v>
      </c>
      <c r="B5509" s="338" t="s">
        <v>6238</v>
      </c>
      <c r="C5509" s="337" t="s">
        <v>145</v>
      </c>
      <c r="D5509" s="339">
        <v>14.09</v>
      </c>
    </row>
    <row r="5510" spans="1:4" ht="67.5">
      <c r="A5510" s="337">
        <v>87430</v>
      </c>
      <c r="B5510" s="338" t="s">
        <v>6239</v>
      </c>
      <c r="C5510" s="337" t="s">
        <v>145</v>
      </c>
      <c r="D5510" s="339">
        <v>14.44</v>
      </c>
    </row>
    <row r="5511" spans="1:4" ht="67.5">
      <c r="A5511" s="337">
        <v>87431</v>
      </c>
      <c r="B5511" s="338" t="s">
        <v>6240</v>
      </c>
      <c r="C5511" s="337" t="s">
        <v>145</v>
      </c>
      <c r="D5511" s="339">
        <v>14.62</v>
      </c>
    </row>
    <row r="5512" spans="1:4" ht="67.5">
      <c r="A5512" s="337">
        <v>87432</v>
      </c>
      <c r="B5512" s="338" t="s">
        <v>6241</v>
      </c>
      <c r="C5512" s="337" t="s">
        <v>145</v>
      </c>
      <c r="D5512" s="339">
        <v>20.59</v>
      </c>
    </row>
    <row r="5513" spans="1:4" ht="67.5">
      <c r="A5513" s="337">
        <v>87433</v>
      </c>
      <c r="B5513" s="338" t="s">
        <v>6242</v>
      </c>
      <c r="C5513" s="337" t="s">
        <v>145</v>
      </c>
      <c r="D5513" s="339">
        <v>21.29</v>
      </c>
    </row>
    <row r="5514" spans="1:4" ht="67.5">
      <c r="A5514" s="337">
        <v>87434</v>
      </c>
      <c r="B5514" s="338" t="s">
        <v>6243</v>
      </c>
      <c r="C5514" s="337" t="s">
        <v>145</v>
      </c>
      <c r="D5514" s="339">
        <v>21.78</v>
      </c>
    </row>
    <row r="5515" spans="1:4" ht="67.5">
      <c r="A5515" s="337">
        <v>87435</v>
      </c>
      <c r="B5515" s="338" t="s">
        <v>6244</v>
      </c>
      <c r="C5515" s="337" t="s">
        <v>145</v>
      </c>
      <c r="D5515" s="339">
        <v>22.81</v>
      </c>
    </row>
    <row r="5516" spans="1:4" ht="67.5">
      <c r="A5516" s="337">
        <v>87436</v>
      </c>
      <c r="B5516" s="338" t="s">
        <v>6245</v>
      </c>
      <c r="C5516" s="337" t="s">
        <v>145</v>
      </c>
      <c r="D5516" s="339">
        <v>24</v>
      </c>
    </row>
    <row r="5517" spans="1:4" ht="67.5">
      <c r="A5517" s="337">
        <v>87437</v>
      </c>
      <c r="B5517" s="338" t="s">
        <v>6246</v>
      </c>
      <c r="C5517" s="337" t="s">
        <v>145</v>
      </c>
      <c r="D5517" s="339">
        <v>24.84</v>
      </c>
    </row>
    <row r="5518" spans="1:4" ht="67.5">
      <c r="A5518" s="337">
        <v>87438</v>
      </c>
      <c r="B5518" s="338" t="s">
        <v>6247</v>
      </c>
      <c r="C5518" s="337" t="s">
        <v>145</v>
      </c>
      <c r="D5518" s="339">
        <v>28.24</v>
      </c>
    </row>
    <row r="5519" spans="1:4" ht="67.5">
      <c r="A5519" s="337">
        <v>87439</v>
      </c>
      <c r="B5519" s="338" t="s">
        <v>6248</v>
      </c>
      <c r="C5519" s="337" t="s">
        <v>145</v>
      </c>
      <c r="D5519" s="339">
        <v>29.76</v>
      </c>
    </row>
    <row r="5520" spans="1:4" ht="67.5">
      <c r="A5520" s="337">
        <v>87440</v>
      </c>
      <c r="B5520" s="338" t="s">
        <v>6249</v>
      </c>
      <c r="C5520" s="337" t="s">
        <v>145</v>
      </c>
      <c r="D5520" s="339">
        <v>30.46</v>
      </c>
    </row>
    <row r="5521" spans="1:4" ht="94.5">
      <c r="A5521" s="337">
        <v>87527</v>
      </c>
      <c r="B5521" s="338" t="s">
        <v>6250</v>
      </c>
      <c r="C5521" s="337" t="s">
        <v>145</v>
      </c>
      <c r="D5521" s="339">
        <v>26.36</v>
      </c>
    </row>
    <row r="5522" spans="1:4" ht="81">
      <c r="A5522" s="337">
        <v>87528</v>
      </c>
      <c r="B5522" s="338" t="s">
        <v>6251</v>
      </c>
      <c r="C5522" s="337" t="s">
        <v>145</v>
      </c>
      <c r="D5522" s="339">
        <v>29.75</v>
      </c>
    </row>
    <row r="5523" spans="1:4" ht="81">
      <c r="A5523" s="337">
        <v>87529</v>
      </c>
      <c r="B5523" s="338" t="s">
        <v>6252</v>
      </c>
      <c r="C5523" s="337" t="s">
        <v>145</v>
      </c>
      <c r="D5523" s="339">
        <v>23.86</v>
      </c>
    </row>
    <row r="5524" spans="1:4" ht="81">
      <c r="A5524" s="337">
        <v>87530</v>
      </c>
      <c r="B5524" s="338" t="s">
        <v>6253</v>
      </c>
      <c r="C5524" s="337" t="s">
        <v>145</v>
      </c>
      <c r="D5524" s="339">
        <v>27.25</v>
      </c>
    </row>
    <row r="5525" spans="1:4" ht="94.5">
      <c r="A5525" s="337">
        <v>87531</v>
      </c>
      <c r="B5525" s="338" t="s">
        <v>6254</v>
      </c>
      <c r="C5525" s="337" t="s">
        <v>145</v>
      </c>
      <c r="D5525" s="339">
        <v>22.97</v>
      </c>
    </row>
    <row r="5526" spans="1:4" ht="94.5">
      <c r="A5526" s="337">
        <v>87532</v>
      </c>
      <c r="B5526" s="338" t="s">
        <v>6255</v>
      </c>
      <c r="C5526" s="337" t="s">
        <v>145</v>
      </c>
      <c r="D5526" s="339">
        <v>26.36</v>
      </c>
    </row>
    <row r="5527" spans="1:4" ht="94.5">
      <c r="A5527" s="337">
        <v>87535</v>
      </c>
      <c r="B5527" s="338" t="s">
        <v>6256</v>
      </c>
      <c r="C5527" s="337" t="s">
        <v>145</v>
      </c>
      <c r="D5527" s="339">
        <v>20.46</v>
      </c>
    </row>
    <row r="5528" spans="1:4" ht="94.5">
      <c r="A5528" s="337">
        <v>87536</v>
      </c>
      <c r="B5528" s="338" t="s">
        <v>6257</v>
      </c>
      <c r="C5528" s="337" t="s">
        <v>145</v>
      </c>
      <c r="D5528" s="339">
        <v>23.85</v>
      </c>
    </row>
    <row r="5529" spans="1:4" ht="108">
      <c r="A5529" s="337">
        <v>87537</v>
      </c>
      <c r="B5529" s="338" t="s">
        <v>6258</v>
      </c>
      <c r="C5529" s="337" t="s">
        <v>145</v>
      </c>
      <c r="D5529" s="339">
        <v>47.65</v>
      </c>
    </row>
    <row r="5530" spans="1:4" ht="94.5">
      <c r="A5530" s="337">
        <v>87538</v>
      </c>
      <c r="B5530" s="338" t="s">
        <v>6259</v>
      </c>
      <c r="C5530" s="337" t="s">
        <v>145</v>
      </c>
      <c r="D5530" s="339">
        <v>45.51</v>
      </c>
    </row>
    <row r="5531" spans="1:4" ht="108">
      <c r="A5531" s="337">
        <v>87539</v>
      </c>
      <c r="B5531" s="338" t="s">
        <v>6260</v>
      </c>
      <c r="C5531" s="337" t="s">
        <v>145</v>
      </c>
      <c r="D5531" s="339">
        <v>44.76</v>
      </c>
    </row>
    <row r="5532" spans="1:4" ht="108">
      <c r="A5532" s="337">
        <v>87541</v>
      </c>
      <c r="B5532" s="338" t="s">
        <v>6261</v>
      </c>
      <c r="C5532" s="337" t="s">
        <v>145</v>
      </c>
      <c r="D5532" s="339">
        <v>42.62</v>
      </c>
    </row>
    <row r="5533" spans="1:4" ht="94.5">
      <c r="A5533" s="337">
        <v>87543</v>
      </c>
      <c r="B5533" s="338" t="s">
        <v>6262</v>
      </c>
      <c r="C5533" s="337" t="s">
        <v>145</v>
      </c>
      <c r="D5533" s="339">
        <v>15.04</v>
      </c>
    </row>
    <row r="5534" spans="1:4" ht="94.5">
      <c r="A5534" s="337">
        <v>87545</v>
      </c>
      <c r="B5534" s="338" t="s">
        <v>6263</v>
      </c>
      <c r="C5534" s="337" t="s">
        <v>145</v>
      </c>
      <c r="D5534" s="339">
        <v>17.920000000000002</v>
      </c>
    </row>
    <row r="5535" spans="1:4" ht="81">
      <c r="A5535" s="337">
        <v>87546</v>
      </c>
      <c r="B5535" s="338" t="s">
        <v>6264</v>
      </c>
      <c r="C5535" s="337" t="s">
        <v>145</v>
      </c>
      <c r="D5535" s="339">
        <v>19.829999999999998</v>
      </c>
    </row>
    <row r="5536" spans="1:4" ht="81">
      <c r="A5536" s="337">
        <v>87547</v>
      </c>
      <c r="B5536" s="338" t="s">
        <v>6265</v>
      </c>
      <c r="C5536" s="337" t="s">
        <v>145</v>
      </c>
      <c r="D5536" s="339">
        <v>15.44</v>
      </c>
    </row>
    <row r="5537" spans="1:4" ht="81">
      <c r="A5537" s="337">
        <v>87548</v>
      </c>
      <c r="B5537" s="338" t="s">
        <v>6266</v>
      </c>
      <c r="C5537" s="337" t="s">
        <v>145</v>
      </c>
      <c r="D5537" s="339">
        <v>17.350000000000001</v>
      </c>
    </row>
    <row r="5538" spans="1:4" ht="94.5">
      <c r="A5538" s="337">
        <v>87549</v>
      </c>
      <c r="B5538" s="338" t="s">
        <v>6267</v>
      </c>
      <c r="C5538" s="337" t="s">
        <v>145</v>
      </c>
      <c r="D5538" s="339">
        <v>14.53</v>
      </c>
    </row>
    <row r="5539" spans="1:4" ht="94.5">
      <c r="A5539" s="337">
        <v>87550</v>
      </c>
      <c r="B5539" s="338" t="s">
        <v>6268</v>
      </c>
      <c r="C5539" s="337" t="s">
        <v>145</v>
      </c>
      <c r="D5539" s="339">
        <v>16.440000000000001</v>
      </c>
    </row>
    <row r="5540" spans="1:4" ht="94.5">
      <c r="A5540" s="337">
        <v>87553</v>
      </c>
      <c r="B5540" s="338" t="s">
        <v>6269</v>
      </c>
      <c r="C5540" s="337" t="s">
        <v>145</v>
      </c>
      <c r="D5540" s="339">
        <v>12.02</v>
      </c>
    </row>
    <row r="5541" spans="1:4" ht="81">
      <c r="A5541" s="337">
        <v>87554</v>
      </c>
      <c r="B5541" s="338" t="s">
        <v>6270</v>
      </c>
      <c r="C5541" s="337" t="s">
        <v>145</v>
      </c>
      <c r="D5541" s="339">
        <v>13.93</v>
      </c>
    </row>
    <row r="5542" spans="1:4" ht="108">
      <c r="A5542" s="337">
        <v>87555</v>
      </c>
      <c r="B5542" s="338" t="s">
        <v>6271</v>
      </c>
      <c r="C5542" s="337" t="s">
        <v>145</v>
      </c>
      <c r="D5542" s="339">
        <v>29.2</v>
      </c>
    </row>
    <row r="5543" spans="1:4" ht="94.5">
      <c r="A5543" s="337">
        <v>87556</v>
      </c>
      <c r="B5543" s="338" t="s">
        <v>6272</v>
      </c>
      <c r="C5543" s="337" t="s">
        <v>145</v>
      </c>
      <c r="D5543" s="339">
        <v>27.07</v>
      </c>
    </row>
    <row r="5544" spans="1:4" ht="108">
      <c r="A5544" s="337">
        <v>87557</v>
      </c>
      <c r="B5544" s="338" t="s">
        <v>6273</v>
      </c>
      <c r="C5544" s="337" t="s">
        <v>145</v>
      </c>
      <c r="D5544" s="339">
        <v>26.3</v>
      </c>
    </row>
    <row r="5545" spans="1:4" ht="108">
      <c r="A5545" s="337">
        <v>87559</v>
      </c>
      <c r="B5545" s="338" t="s">
        <v>6274</v>
      </c>
      <c r="C5545" s="337" t="s">
        <v>145</v>
      </c>
      <c r="D5545" s="339">
        <v>24.16</v>
      </c>
    </row>
    <row r="5546" spans="1:4" ht="108">
      <c r="A5546" s="337">
        <v>87561</v>
      </c>
      <c r="B5546" s="338" t="s">
        <v>6275</v>
      </c>
      <c r="C5546" s="337" t="s">
        <v>145</v>
      </c>
      <c r="D5546" s="339">
        <v>26.49</v>
      </c>
    </row>
    <row r="5547" spans="1:4" ht="67.5">
      <c r="A5547" s="337">
        <v>87775</v>
      </c>
      <c r="B5547" s="338" t="s">
        <v>6276</v>
      </c>
      <c r="C5547" s="337" t="s">
        <v>145</v>
      </c>
      <c r="D5547" s="339">
        <v>37.26</v>
      </c>
    </row>
    <row r="5548" spans="1:4" ht="67.5">
      <c r="A5548" s="337">
        <v>87777</v>
      </c>
      <c r="B5548" s="338" t="s">
        <v>6277</v>
      </c>
      <c r="C5548" s="337" t="s">
        <v>145</v>
      </c>
      <c r="D5548" s="339">
        <v>40.090000000000003</v>
      </c>
    </row>
    <row r="5549" spans="1:4" ht="81">
      <c r="A5549" s="337">
        <v>87778</v>
      </c>
      <c r="B5549" s="338" t="s">
        <v>6278</v>
      </c>
      <c r="C5549" s="337" t="s">
        <v>145</v>
      </c>
      <c r="D5549" s="339">
        <v>53.2</v>
      </c>
    </row>
    <row r="5550" spans="1:4" ht="67.5">
      <c r="A5550" s="337">
        <v>87779</v>
      </c>
      <c r="B5550" s="338" t="s">
        <v>6279</v>
      </c>
      <c r="C5550" s="337" t="s">
        <v>145</v>
      </c>
      <c r="D5550" s="339">
        <v>43.55</v>
      </c>
    </row>
    <row r="5551" spans="1:4" ht="67.5">
      <c r="A5551" s="337">
        <v>87781</v>
      </c>
      <c r="B5551" s="338" t="s">
        <v>6280</v>
      </c>
      <c r="C5551" s="337" t="s">
        <v>145</v>
      </c>
      <c r="D5551" s="339">
        <v>47.34</v>
      </c>
    </row>
    <row r="5552" spans="1:4" ht="81">
      <c r="A5552" s="337">
        <v>87783</v>
      </c>
      <c r="B5552" s="338" t="s">
        <v>6281</v>
      </c>
      <c r="C5552" s="337" t="s">
        <v>145</v>
      </c>
      <c r="D5552" s="339">
        <v>66.33</v>
      </c>
    </row>
    <row r="5553" spans="1:4" ht="67.5">
      <c r="A5553" s="337">
        <v>87784</v>
      </c>
      <c r="B5553" s="338" t="s">
        <v>6282</v>
      </c>
      <c r="C5553" s="337" t="s">
        <v>145</v>
      </c>
      <c r="D5553" s="339">
        <v>49.85</v>
      </c>
    </row>
    <row r="5554" spans="1:4" ht="67.5">
      <c r="A5554" s="337">
        <v>87786</v>
      </c>
      <c r="B5554" s="338" t="s">
        <v>6283</v>
      </c>
      <c r="C5554" s="337" t="s">
        <v>145</v>
      </c>
      <c r="D5554" s="339">
        <v>54.61</v>
      </c>
    </row>
    <row r="5555" spans="1:4" ht="81">
      <c r="A5555" s="337">
        <v>87787</v>
      </c>
      <c r="B5555" s="338" t="s">
        <v>6284</v>
      </c>
      <c r="C5555" s="337" t="s">
        <v>145</v>
      </c>
      <c r="D5555" s="339">
        <v>79.47</v>
      </c>
    </row>
    <row r="5556" spans="1:4" ht="81">
      <c r="A5556" s="337">
        <v>87788</v>
      </c>
      <c r="B5556" s="338" t="s">
        <v>6285</v>
      </c>
      <c r="C5556" s="337" t="s">
        <v>145</v>
      </c>
      <c r="D5556" s="339">
        <v>64.150000000000006</v>
      </c>
    </row>
    <row r="5557" spans="1:4" ht="67.5">
      <c r="A5557" s="337">
        <v>87790</v>
      </c>
      <c r="B5557" s="338" t="s">
        <v>6286</v>
      </c>
      <c r="C5557" s="337" t="s">
        <v>145</v>
      </c>
      <c r="D5557" s="339">
        <v>69.38</v>
      </c>
    </row>
    <row r="5558" spans="1:4" ht="94.5">
      <c r="A5558" s="337">
        <v>87791</v>
      </c>
      <c r="B5558" s="338" t="s">
        <v>6287</v>
      </c>
      <c r="C5558" s="337" t="s">
        <v>145</v>
      </c>
      <c r="D5558" s="339">
        <v>94.29</v>
      </c>
    </row>
    <row r="5559" spans="1:4" ht="81">
      <c r="A5559" s="337">
        <v>87792</v>
      </c>
      <c r="B5559" s="338" t="s">
        <v>6288</v>
      </c>
      <c r="C5559" s="337" t="s">
        <v>145</v>
      </c>
      <c r="D5559" s="339">
        <v>24.6</v>
      </c>
    </row>
    <row r="5560" spans="1:4" ht="67.5">
      <c r="A5560" s="337">
        <v>87794</v>
      </c>
      <c r="B5560" s="338" t="s">
        <v>6289</v>
      </c>
      <c r="C5560" s="337" t="s">
        <v>145</v>
      </c>
      <c r="D5560" s="339">
        <v>27.24</v>
      </c>
    </row>
    <row r="5561" spans="1:4" ht="81">
      <c r="A5561" s="337">
        <v>87795</v>
      </c>
      <c r="B5561" s="338" t="s">
        <v>6290</v>
      </c>
      <c r="C5561" s="337" t="s">
        <v>145</v>
      </c>
      <c r="D5561" s="339">
        <v>39.19</v>
      </c>
    </row>
    <row r="5562" spans="1:4" ht="81">
      <c r="A5562" s="337">
        <v>87797</v>
      </c>
      <c r="B5562" s="338" t="s">
        <v>6291</v>
      </c>
      <c r="C5562" s="337" t="s">
        <v>145</v>
      </c>
      <c r="D5562" s="339">
        <v>30.64</v>
      </c>
    </row>
    <row r="5563" spans="1:4" ht="67.5">
      <c r="A5563" s="337">
        <v>87799</v>
      </c>
      <c r="B5563" s="338" t="s">
        <v>6292</v>
      </c>
      <c r="C5563" s="337" t="s">
        <v>145</v>
      </c>
      <c r="D5563" s="339">
        <v>34.18</v>
      </c>
    </row>
    <row r="5564" spans="1:4" ht="81">
      <c r="A5564" s="337">
        <v>87800</v>
      </c>
      <c r="B5564" s="338" t="s">
        <v>6293</v>
      </c>
      <c r="C5564" s="337" t="s">
        <v>145</v>
      </c>
      <c r="D5564" s="339">
        <v>51.64</v>
      </c>
    </row>
    <row r="5565" spans="1:4" ht="81">
      <c r="A5565" s="337">
        <v>87801</v>
      </c>
      <c r="B5565" s="338" t="s">
        <v>6294</v>
      </c>
      <c r="C5565" s="337" t="s">
        <v>145</v>
      </c>
      <c r="D5565" s="339">
        <v>36.700000000000003</v>
      </c>
    </row>
    <row r="5566" spans="1:4" ht="67.5">
      <c r="A5566" s="337">
        <v>87803</v>
      </c>
      <c r="B5566" s="338" t="s">
        <v>6295</v>
      </c>
      <c r="C5566" s="337" t="s">
        <v>145</v>
      </c>
      <c r="D5566" s="339">
        <v>41.14</v>
      </c>
    </row>
    <row r="5567" spans="1:4" ht="81">
      <c r="A5567" s="337">
        <v>87804</v>
      </c>
      <c r="B5567" s="338" t="s">
        <v>6296</v>
      </c>
      <c r="C5567" s="337" t="s">
        <v>145</v>
      </c>
      <c r="D5567" s="339">
        <v>64.08</v>
      </c>
    </row>
    <row r="5568" spans="1:4" ht="81">
      <c r="A5568" s="337">
        <v>87805</v>
      </c>
      <c r="B5568" s="338" t="s">
        <v>6297</v>
      </c>
      <c r="C5568" s="337" t="s">
        <v>145</v>
      </c>
      <c r="D5568" s="339">
        <v>42.28</v>
      </c>
    </row>
    <row r="5569" spans="1:4" ht="67.5">
      <c r="A5569" s="337">
        <v>87807</v>
      </c>
      <c r="B5569" s="338" t="s">
        <v>6298</v>
      </c>
      <c r="C5569" s="337" t="s">
        <v>145</v>
      </c>
      <c r="D5569" s="339">
        <v>47.17</v>
      </c>
    </row>
    <row r="5570" spans="1:4" ht="94.5">
      <c r="A5570" s="337">
        <v>87808</v>
      </c>
      <c r="B5570" s="338" t="s">
        <v>6299</v>
      </c>
      <c r="C5570" s="337" t="s">
        <v>145</v>
      </c>
      <c r="D5570" s="339">
        <v>69.989999999999995</v>
      </c>
    </row>
    <row r="5571" spans="1:4" ht="94.5">
      <c r="A5571" s="337">
        <v>87809</v>
      </c>
      <c r="B5571" s="338" t="s">
        <v>6300</v>
      </c>
      <c r="C5571" s="337" t="s">
        <v>145</v>
      </c>
      <c r="D5571" s="339">
        <v>59.7</v>
      </c>
    </row>
    <row r="5572" spans="1:4" ht="81">
      <c r="A5572" s="337">
        <v>87811</v>
      </c>
      <c r="B5572" s="338" t="s">
        <v>6301</v>
      </c>
      <c r="C5572" s="337" t="s">
        <v>145</v>
      </c>
      <c r="D5572" s="339">
        <v>62.34</v>
      </c>
    </row>
    <row r="5573" spans="1:4" ht="81">
      <c r="A5573" s="337">
        <v>87812</v>
      </c>
      <c r="B5573" s="338" t="s">
        <v>6302</v>
      </c>
      <c r="C5573" s="337" t="s">
        <v>145</v>
      </c>
      <c r="D5573" s="339">
        <v>73.959999999999994</v>
      </c>
    </row>
    <row r="5574" spans="1:4" ht="94.5">
      <c r="A5574" s="337">
        <v>87813</v>
      </c>
      <c r="B5574" s="338" t="s">
        <v>6303</v>
      </c>
      <c r="C5574" s="337" t="s">
        <v>145</v>
      </c>
      <c r="D5574" s="339">
        <v>65.739999999999995</v>
      </c>
    </row>
    <row r="5575" spans="1:4" ht="81">
      <c r="A5575" s="337">
        <v>87815</v>
      </c>
      <c r="B5575" s="338" t="s">
        <v>6304</v>
      </c>
      <c r="C5575" s="337" t="s">
        <v>145</v>
      </c>
      <c r="D5575" s="339">
        <v>69.28</v>
      </c>
    </row>
    <row r="5576" spans="1:4" ht="81">
      <c r="A5576" s="337">
        <v>87816</v>
      </c>
      <c r="B5576" s="338" t="s">
        <v>6305</v>
      </c>
      <c r="C5576" s="337" t="s">
        <v>145</v>
      </c>
      <c r="D5576" s="339">
        <v>86.42</v>
      </c>
    </row>
    <row r="5577" spans="1:4" ht="94.5">
      <c r="A5577" s="337">
        <v>87817</v>
      </c>
      <c r="B5577" s="338" t="s">
        <v>6306</v>
      </c>
      <c r="C5577" s="337" t="s">
        <v>145</v>
      </c>
      <c r="D5577" s="339">
        <v>71.48</v>
      </c>
    </row>
    <row r="5578" spans="1:4" ht="81">
      <c r="A5578" s="337">
        <v>87819</v>
      </c>
      <c r="B5578" s="338" t="s">
        <v>6307</v>
      </c>
      <c r="C5578" s="337" t="s">
        <v>145</v>
      </c>
      <c r="D5578" s="339">
        <v>75.92</v>
      </c>
    </row>
    <row r="5579" spans="1:4" ht="81">
      <c r="A5579" s="337">
        <v>87820</v>
      </c>
      <c r="B5579" s="338" t="s">
        <v>6308</v>
      </c>
      <c r="C5579" s="337" t="s">
        <v>145</v>
      </c>
      <c r="D5579" s="339">
        <v>98.86</v>
      </c>
    </row>
    <row r="5580" spans="1:4" ht="94.5">
      <c r="A5580" s="337">
        <v>87821</v>
      </c>
      <c r="B5580" s="338" t="s">
        <v>6309</v>
      </c>
      <c r="C5580" s="337" t="s">
        <v>145</v>
      </c>
      <c r="D5580" s="339">
        <v>102.9</v>
      </c>
    </row>
    <row r="5581" spans="1:4" ht="81">
      <c r="A5581" s="337">
        <v>87823</v>
      </c>
      <c r="B5581" s="338" t="s">
        <v>6310</v>
      </c>
      <c r="C5581" s="337" t="s">
        <v>145</v>
      </c>
      <c r="D5581" s="339">
        <v>107.79</v>
      </c>
    </row>
    <row r="5582" spans="1:4" ht="94.5">
      <c r="A5582" s="337">
        <v>87824</v>
      </c>
      <c r="B5582" s="338" t="s">
        <v>6311</v>
      </c>
      <c r="C5582" s="337" t="s">
        <v>145</v>
      </c>
      <c r="D5582" s="339">
        <v>130.30000000000001</v>
      </c>
    </row>
    <row r="5583" spans="1:4" ht="94.5">
      <c r="A5583" s="337">
        <v>87825</v>
      </c>
      <c r="B5583" s="338" t="s">
        <v>6312</v>
      </c>
      <c r="C5583" s="337" t="s">
        <v>145</v>
      </c>
      <c r="D5583" s="339">
        <v>47.32</v>
      </c>
    </row>
    <row r="5584" spans="1:4" ht="81">
      <c r="A5584" s="337">
        <v>87827</v>
      </c>
      <c r="B5584" s="338" t="s">
        <v>6313</v>
      </c>
      <c r="C5584" s="337" t="s">
        <v>145</v>
      </c>
      <c r="D5584" s="339">
        <v>50.56</v>
      </c>
    </row>
    <row r="5585" spans="1:4" ht="81">
      <c r="A5585" s="337">
        <v>87828</v>
      </c>
      <c r="B5585" s="338" t="s">
        <v>6314</v>
      </c>
      <c r="C5585" s="337" t="s">
        <v>145</v>
      </c>
      <c r="D5585" s="339">
        <v>66.13</v>
      </c>
    </row>
    <row r="5586" spans="1:4" ht="94.5">
      <c r="A5586" s="337">
        <v>87829</v>
      </c>
      <c r="B5586" s="338" t="s">
        <v>6315</v>
      </c>
      <c r="C5586" s="337" t="s">
        <v>145</v>
      </c>
      <c r="D5586" s="339">
        <v>54.15</v>
      </c>
    </row>
    <row r="5587" spans="1:4" ht="81">
      <c r="A5587" s="337">
        <v>87831</v>
      </c>
      <c r="B5587" s="338" t="s">
        <v>6316</v>
      </c>
      <c r="C5587" s="337" t="s">
        <v>145</v>
      </c>
      <c r="D5587" s="339">
        <v>58.48</v>
      </c>
    </row>
    <row r="5588" spans="1:4" ht="94.5">
      <c r="A5588" s="337">
        <v>87832</v>
      </c>
      <c r="B5588" s="338" t="s">
        <v>6317</v>
      </c>
      <c r="C5588" s="337" t="s">
        <v>145</v>
      </c>
      <c r="D5588" s="339">
        <v>80.760000000000005</v>
      </c>
    </row>
    <row r="5589" spans="1:4" ht="67.5">
      <c r="A5589" s="337">
        <v>87834</v>
      </c>
      <c r="B5589" s="338" t="s">
        <v>6318</v>
      </c>
      <c r="C5589" s="337" t="s">
        <v>145</v>
      </c>
      <c r="D5589" s="339">
        <v>137.53</v>
      </c>
    </row>
    <row r="5590" spans="1:4" ht="67.5">
      <c r="A5590" s="337">
        <v>87835</v>
      </c>
      <c r="B5590" s="338" t="s">
        <v>6319</v>
      </c>
      <c r="C5590" s="337" t="s">
        <v>145</v>
      </c>
      <c r="D5590" s="339">
        <v>93.9</v>
      </c>
    </row>
    <row r="5591" spans="1:4" ht="67.5">
      <c r="A5591" s="337">
        <v>87836</v>
      </c>
      <c r="B5591" s="338" t="s">
        <v>6320</v>
      </c>
      <c r="C5591" s="337" t="s">
        <v>145</v>
      </c>
      <c r="D5591" s="339">
        <v>131.28</v>
      </c>
    </row>
    <row r="5592" spans="1:4" ht="67.5">
      <c r="A5592" s="337">
        <v>87837</v>
      </c>
      <c r="B5592" s="338" t="s">
        <v>6321</v>
      </c>
      <c r="C5592" s="337" t="s">
        <v>145</v>
      </c>
      <c r="D5592" s="339">
        <v>88.53</v>
      </c>
    </row>
    <row r="5593" spans="1:4" ht="67.5">
      <c r="A5593" s="337">
        <v>87838</v>
      </c>
      <c r="B5593" s="338" t="s">
        <v>6322</v>
      </c>
      <c r="C5593" s="337" t="s">
        <v>145</v>
      </c>
      <c r="D5593" s="339">
        <v>143.63999999999999</v>
      </c>
    </row>
    <row r="5594" spans="1:4" ht="67.5">
      <c r="A5594" s="337">
        <v>87839</v>
      </c>
      <c r="B5594" s="338" t="s">
        <v>6323</v>
      </c>
      <c r="C5594" s="337" t="s">
        <v>145</v>
      </c>
      <c r="D5594" s="339">
        <v>97.98</v>
      </c>
    </row>
    <row r="5595" spans="1:4" ht="81">
      <c r="A5595" s="337">
        <v>87840</v>
      </c>
      <c r="B5595" s="338" t="s">
        <v>6324</v>
      </c>
      <c r="C5595" s="337" t="s">
        <v>145</v>
      </c>
      <c r="D5595" s="339">
        <v>136.08000000000001</v>
      </c>
    </row>
    <row r="5596" spans="1:4" ht="67.5">
      <c r="A5596" s="337">
        <v>87841</v>
      </c>
      <c r="B5596" s="338" t="s">
        <v>6325</v>
      </c>
      <c r="C5596" s="337" t="s">
        <v>145</v>
      </c>
      <c r="D5596" s="339">
        <v>91.28</v>
      </c>
    </row>
    <row r="5597" spans="1:4" ht="67.5">
      <c r="A5597" s="337">
        <v>87842</v>
      </c>
      <c r="B5597" s="338" t="s">
        <v>6326</v>
      </c>
      <c r="C5597" s="337" t="s">
        <v>145</v>
      </c>
      <c r="D5597" s="339">
        <v>140.97</v>
      </c>
    </row>
    <row r="5598" spans="1:4" ht="67.5">
      <c r="A5598" s="337">
        <v>87843</v>
      </c>
      <c r="B5598" s="338" t="s">
        <v>6327</v>
      </c>
      <c r="C5598" s="337" t="s">
        <v>145</v>
      </c>
      <c r="D5598" s="339">
        <v>103.94</v>
      </c>
    </row>
    <row r="5599" spans="1:4" ht="67.5">
      <c r="A5599" s="337">
        <v>87844</v>
      </c>
      <c r="B5599" s="338" t="s">
        <v>6328</v>
      </c>
      <c r="C5599" s="337" t="s">
        <v>145</v>
      </c>
      <c r="D5599" s="339">
        <v>129.94</v>
      </c>
    </row>
    <row r="5600" spans="1:4" ht="67.5">
      <c r="A5600" s="337">
        <v>87845</v>
      </c>
      <c r="B5600" s="338" t="s">
        <v>6329</v>
      </c>
      <c r="C5600" s="337" t="s">
        <v>145</v>
      </c>
      <c r="D5600" s="339">
        <v>93.79</v>
      </c>
    </row>
    <row r="5601" spans="1:4" ht="67.5">
      <c r="A5601" s="337">
        <v>87846</v>
      </c>
      <c r="B5601" s="338" t="s">
        <v>6330</v>
      </c>
      <c r="C5601" s="337" t="s">
        <v>145</v>
      </c>
      <c r="D5601" s="339">
        <v>148.78</v>
      </c>
    </row>
    <row r="5602" spans="1:4" ht="67.5">
      <c r="A5602" s="337">
        <v>87847</v>
      </c>
      <c r="B5602" s="338" t="s">
        <v>6331</v>
      </c>
      <c r="C5602" s="337" t="s">
        <v>145</v>
      </c>
      <c r="D5602" s="339">
        <v>105.17</v>
      </c>
    </row>
    <row r="5603" spans="1:4" ht="67.5">
      <c r="A5603" s="337">
        <v>87848</v>
      </c>
      <c r="B5603" s="338" t="s">
        <v>6332</v>
      </c>
      <c r="C5603" s="337" t="s">
        <v>145</v>
      </c>
      <c r="D5603" s="339">
        <v>141.54</v>
      </c>
    </row>
    <row r="5604" spans="1:4" ht="67.5">
      <c r="A5604" s="337">
        <v>87849</v>
      </c>
      <c r="B5604" s="338" t="s">
        <v>6333</v>
      </c>
      <c r="C5604" s="337" t="s">
        <v>145</v>
      </c>
      <c r="D5604" s="339">
        <v>98.78</v>
      </c>
    </row>
    <row r="5605" spans="1:4" ht="67.5">
      <c r="A5605" s="337">
        <v>87850</v>
      </c>
      <c r="B5605" s="338" t="s">
        <v>6334</v>
      </c>
      <c r="C5605" s="337" t="s">
        <v>145</v>
      </c>
      <c r="D5605" s="339">
        <v>154.91</v>
      </c>
    </row>
    <row r="5606" spans="1:4" ht="67.5">
      <c r="A5606" s="337">
        <v>87851</v>
      </c>
      <c r="B5606" s="338" t="s">
        <v>6335</v>
      </c>
      <c r="C5606" s="337" t="s">
        <v>145</v>
      </c>
      <c r="D5606" s="339">
        <v>109.27</v>
      </c>
    </row>
    <row r="5607" spans="1:4" ht="81">
      <c r="A5607" s="337">
        <v>87852</v>
      </c>
      <c r="B5607" s="338" t="s">
        <v>6336</v>
      </c>
      <c r="C5607" s="337" t="s">
        <v>145</v>
      </c>
      <c r="D5607" s="339">
        <v>146.32</v>
      </c>
    </row>
    <row r="5608" spans="1:4" ht="67.5">
      <c r="A5608" s="337">
        <v>87853</v>
      </c>
      <c r="B5608" s="338" t="s">
        <v>6337</v>
      </c>
      <c r="C5608" s="337" t="s">
        <v>145</v>
      </c>
      <c r="D5608" s="339">
        <v>101.52</v>
      </c>
    </row>
    <row r="5609" spans="1:4" ht="67.5">
      <c r="A5609" s="337">
        <v>87854</v>
      </c>
      <c r="B5609" s="338" t="s">
        <v>6338</v>
      </c>
      <c r="C5609" s="337" t="s">
        <v>145</v>
      </c>
      <c r="D5609" s="339">
        <v>152.22999999999999</v>
      </c>
    </row>
    <row r="5610" spans="1:4" ht="67.5">
      <c r="A5610" s="337">
        <v>87855</v>
      </c>
      <c r="B5610" s="338" t="s">
        <v>6339</v>
      </c>
      <c r="C5610" s="337" t="s">
        <v>145</v>
      </c>
      <c r="D5610" s="339">
        <v>115.22</v>
      </c>
    </row>
    <row r="5611" spans="1:4" ht="67.5">
      <c r="A5611" s="337">
        <v>87856</v>
      </c>
      <c r="B5611" s="338" t="s">
        <v>6340</v>
      </c>
      <c r="C5611" s="337" t="s">
        <v>145</v>
      </c>
      <c r="D5611" s="339">
        <v>140.19999999999999</v>
      </c>
    </row>
    <row r="5612" spans="1:4" ht="67.5">
      <c r="A5612" s="337">
        <v>87857</v>
      </c>
      <c r="B5612" s="338" t="s">
        <v>6341</v>
      </c>
      <c r="C5612" s="337" t="s">
        <v>145</v>
      </c>
      <c r="D5612" s="339">
        <v>104.03</v>
      </c>
    </row>
    <row r="5613" spans="1:4" ht="54">
      <c r="A5613" s="337">
        <v>87858</v>
      </c>
      <c r="B5613" s="338" t="s">
        <v>6342</v>
      </c>
      <c r="C5613" s="337" t="s">
        <v>145</v>
      </c>
      <c r="D5613" s="339">
        <v>100.56</v>
      </c>
    </row>
    <row r="5614" spans="1:4" ht="54">
      <c r="A5614" s="337">
        <v>87859</v>
      </c>
      <c r="B5614" s="338" t="s">
        <v>6343</v>
      </c>
      <c r="C5614" s="337" t="s">
        <v>145</v>
      </c>
      <c r="D5614" s="339">
        <v>115.98</v>
      </c>
    </row>
    <row r="5615" spans="1:4" ht="94.5">
      <c r="A5615" s="337">
        <v>89048</v>
      </c>
      <c r="B5615" s="338" t="s">
        <v>6344</v>
      </c>
      <c r="C5615" s="337" t="s">
        <v>145</v>
      </c>
      <c r="D5615" s="339">
        <v>24.39</v>
      </c>
    </row>
    <row r="5616" spans="1:4" ht="81">
      <c r="A5616" s="337">
        <v>89049</v>
      </c>
      <c r="B5616" s="338" t="s">
        <v>6345</v>
      </c>
      <c r="C5616" s="337" t="s">
        <v>145</v>
      </c>
      <c r="D5616" s="339">
        <v>16.13</v>
      </c>
    </row>
    <row r="5617" spans="1:4" ht="94.5">
      <c r="A5617" s="337">
        <v>89173</v>
      </c>
      <c r="B5617" s="338" t="s">
        <v>6346</v>
      </c>
      <c r="C5617" s="337" t="s">
        <v>145</v>
      </c>
      <c r="D5617" s="339">
        <v>23.99</v>
      </c>
    </row>
    <row r="5618" spans="1:4" ht="81">
      <c r="A5618" s="337">
        <v>90406</v>
      </c>
      <c r="B5618" s="338" t="s">
        <v>6347</v>
      </c>
      <c r="C5618" s="337" t="s">
        <v>145</v>
      </c>
      <c r="D5618" s="339">
        <v>31.18</v>
      </c>
    </row>
    <row r="5619" spans="1:4" ht="67.5">
      <c r="A5619" s="337">
        <v>90407</v>
      </c>
      <c r="B5619" s="338" t="s">
        <v>6348</v>
      </c>
      <c r="C5619" s="337" t="s">
        <v>145</v>
      </c>
      <c r="D5619" s="339">
        <v>34.57</v>
      </c>
    </row>
    <row r="5620" spans="1:4" ht="81">
      <c r="A5620" s="337">
        <v>90408</v>
      </c>
      <c r="B5620" s="338" t="s">
        <v>6349</v>
      </c>
      <c r="C5620" s="337" t="s">
        <v>145</v>
      </c>
      <c r="D5620" s="339">
        <v>22.53</v>
      </c>
    </row>
    <row r="5621" spans="1:4" ht="67.5">
      <c r="A5621" s="337">
        <v>90409</v>
      </c>
      <c r="B5621" s="338" t="s">
        <v>6350</v>
      </c>
      <c r="C5621" s="337" t="s">
        <v>145</v>
      </c>
      <c r="D5621" s="339">
        <v>24.44</v>
      </c>
    </row>
    <row r="5622" spans="1:4" ht="27">
      <c r="A5622" s="337">
        <v>5998</v>
      </c>
      <c r="B5622" s="338" t="s">
        <v>6351</v>
      </c>
      <c r="C5622" s="337" t="s">
        <v>145</v>
      </c>
      <c r="D5622" s="339">
        <v>0.8</v>
      </c>
    </row>
    <row r="5623" spans="1:4" ht="27">
      <c r="A5623" s="337">
        <v>84084</v>
      </c>
      <c r="B5623" s="338" t="s">
        <v>6352</v>
      </c>
      <c r="C5623" s="337" t="s">
        <v>145</v>
      </c>
      <c r="D5623" s="339">
        <v>5.72</v>
      </c>
    </row>
    <row r="5624" spans="1:4" ht="67.5">
      <c r="A5624" s="337">
        <v>87242</v>
      </c>
      <c r="B5624" s="338" t="s">
        <v>6353</v>
      </c>
      <c r="C5624" s="337" t="s">
        <v>145</v>
      </c>
      <c r="D5624" s="339">
        <v>138.84</v>
      </c>
    </row>
    <row r="5625" spans="1:4" ht="67.5">
      <c r="A5625" s="337">
        <v>87243</v>
      </c>
      <c r="B5625" s="338" t="s">
        <v>6354</v>
      </c>
      <c r="C5625" s="337" t="s">
        <v>145</v>
      </c>
      <c r="D5625" s="339">
        <v>126.98</v>
      </c>
    </row>
    <row r="5626" spans="1:4" ht="67.5">
      <c r="A5626" s="337">
        <v>87244</v>
      </c>
      <c r="B5626" s="338" t="s">
        <v>6355</v>
      </c>
      <c r="C5626" s="337" t="s">
        <v>145</v>
      </c>
      <c r="D5626" s="339">
        <v>135.69999999999999</v>
      </c>
    </row>
    <row r="5627" spans="1:4" ht="67.5">
      <c r="A5627" s="337">
        <v>87245</v>
      </c>
      <c r="B5627" s="338" t="s">
        <v>6356</v>
      </c>
      <c r="C5627" s="337" t="s">
        <v>145</v>
      </c>
      <c r="D5627" s="339">
        <v>161.76</v>
      </c>
    </row>
    <row r="5628" spans="1:4" ht="67.5">
      <c r="A5628" s="337">
        <v>87264</v>
      </c>
      <c r="B5628" s="338" t="s">
        <v>6357</v>
      </c>
      <c r="C5628" s="337" t="s">
        <v>145</v>
      </c>
      <c r="D5628" s="339">
        <v>52.4</v>
      </c>
    </row>
    <row r="5629" spans="1:4" ht="67.5">
      <c r="A5629" s="337">
        <v>87265</v>
      </c>
      <c r="B5629" s="338" t="s">
        <v>6358</v>
      </c>
      <c r="C5629" s="337" t="s">
        <v>145</v>
      </c>
      <c r="D5629" s="339">
        <v>46.79</v>
      </c>
    </row>
    <row r="5630" spans="1:4" ht="67.5">
      <c r="A5630" s="337">
        <v>87266</v>
      </c>
      <c r="B5630" s="338" t="s">
        <v>6359</v>
      </c>
      <c r="C5630" s="337" t="s">
        <v>145</v>
      </c>
      <c r="D5630" s="339">
        <v>54.39</v>
      </c>
    </row>
    <row r="5631" spans="1:4" ht="67.5">
      <c r="A5631" s="337">
        <v>87267</v>
      </c>
      <c r="B5631" s="338" t="s">
        <v>6360</v>
      </c>
      <c r="C5631" s="337" t="s">
        <v>145</v>
      </c>
      <c r="D5631" s="339">
        <v>51.91</v>
      </c>
    </row>
    <row r="5632" spans="1:4" ht="67.5">
      <c r="A5632" s="337">
        <v>87268</v>
      </c>
      <c r="B5632" s="338" t="s">
        <v>6361</v>
      </c>
      <c r="C5632" s="337" t="s">
        <v>145</v>
      </c>
      <c r="D5632" s="339">
        <v>55.83</v>
      </c>
    </row>
    <row r="5633" spans="1:4" ht="67.5">
      <c r="A5633" s="337">
        <v>87269</v>
      </c>
      <c r="B5633" s="338" t="s">
        <v>6362</v>
      </c>
      <c r="C5633" s="337" t="s">
        <v>145</v>
      </c>
      <c r="D5633" s="339">
        <v>49.72</v>
      </c>
    </row>
    <row r="5634" spans="1:4" ht="67.5">
      <c r="A5634" s="337">
        <v>87270</v>
      </c>
      <c r="B5634" s="338" t="s">
        <v>6363</v>
      </c>
      <c r="C5634" s="337" t="s">
        <v>145</v>
      </c>
      <c r="D5634" s="339">
        <v>57.49</v>
      </c>
    </row>
    <row r="5635" spans="1:4" ht="67.5">
      <c r="A5635" s="337">
        <v>87271</v>
      </c>
      <c r="B5635" s="338" t="s">
        <v>6364</v>
      </c>
      <c r="C5635" s="337" t="s">
        <v>145</v>
      </c>
      <c r="D5635" s="339">
        <v>54.56</v>
      </c>
    </row>
    <row r="5636" spans="1:4" ht="67.5">
      <c r="A5636" s="337">
        <v>87272</v>
      </c>
      <c r="B5636" s="338" t="s">
        <v>6365</v>
      </c>
      <c r="C5636" s="337" t="s">
        <v>145</v>
      </c>
      <c r="D5636" s="339">
        <v>59.07</v>
      </c>
    </row>
    <row r="5637" spans="1:4" ht="67.5">
      <c r="A5637" s="337">
        <v>87273</v>
      </c>
      <c r="B5637" s="338" t="s">
        <v>6366</v>
      </c>
      <c r="C5637" s="337" t="s">
        <v>145</v>
      </c>
      <c r="D5637" s="339">
        <v>51.64</v>
      </c>
    </row>
    <row r="5638" spans="1:4" ht="67.5">
      <c r="A5638" s="337">
        <v>87274</v>
      </c>
      <c r="B5638" s="338" t="s">
        <v>6367</v>
      </c>
      <c r="C5638" s="337" t="s">
        <v>145</v>
      </c>
      <c r="D5638" s="339">
        <v>60.24</v>
      </c>
    </row>
    <row r="5639" spans="1:4" ht="67.5">
      <c r="A5639" s="337">
        <v>87275</v>
      </c>
      <c r="B5639" s="338" t="s">
        <v>6368</v>
      </c>
      <c r="C5639" s="337" t="s">
        <v>145</v>
      </c>
      <c r="D5639" s="339">
        <v>57.74</v>
      </c>
    </row>
    <row r="5640" spans="1:4" ht="67.5">
      <c r="A5640" s="337">
        <v>88786</v>
      </c>
      <c r="B5640" s="338" t="s">
        <v>6369</v>
      </c>
      <c r="C5640" s="337" t="s">
        <v>145</v>
      </c>
      <c r="D5640" s="339">
        <v>154.66</v>
      </c>
    </row>
    <row r="5641" spans="1:4" ht="67.5">
      <c r="A5641" s="337">
        <v>88787</v>
      </c>
      <c r="B5641" s="338" t="s">
        <v>6370</v>
      </c>
      <c r="C5641" s="337" t="s">
        <v>145</v>
      </c>
      <c r="D5641" s="339">
        <v>142.16</v>
      </c>
    </row>
    <row r="5642" spans="1:4" ht="81">
      <c r="A5642" s="337">
        <v>88788</v>
      </c>
      <c r="B5642" s="338" t="s">
        <v>6371</v>
      </c>
      <c r="C5642" s="337" t="s">
        <v>145</v>
      </c>
      <c r="D5642" s="339">
        <v>150.88</v>
      </c>
    </row>
    <row r="5643" spans="1:4" ht="81">
      <c r="A5643" s="337">
        <v>88789</v>
      </c>
      <c r="B5643" s="338" t="s">
        <v>6372</v>
      </c>
      <c r="C5643" s="337" t="s">
        <v>145</v>
      </c>
      <c r="D5643" s="339">
        <v>179.1</v>
      </c>
    </row>
    <row r="5644" spans="1:4" ht="94.5">
      <c r="A5644" s="337">
        <v>89045</v>
      </c>
      <c r="B5644" s="338" t="s">
        <v>6373</v>
      </c>
      <c r="C5644" s="337" t="s">
        <v>145</v>
      </c>
      <c r="D5644" s="339">
        <v>52.26</v>
      </c>
    </row>
    <row r="5645" spans="1:4" ht="94.5">
      <c r="A5645" s="337">
        <v>89170</v>
      </c>
      <c r="B5645" s="338" t="s">
        <v>6374</v>
      </c>
      <c r="C5645" s="337" t="s">
        <v>145</v>
      </c>
      <c r="D5645" s="339">
        <v>50.85</v>
      </c>
    </row>
    <row r="5646" spans="1:4" ht="81">
      <c r="A5646" s="337">
        <v>93392</v>
      </c>
      <c r="B5646" s="338" t="s">
        <v>6375</v>
      </c>
      <c r="C5646" s="337" t="s">
        <v>145</v>
      </c>
      <c r="D5646" s="339">
        <v>40.01</v>
      </c>
    </row>
    <row r="5647" spans="1:4" ht="81">
      <c r="A5647" s="337">
        <v>93393</v>
      </c>
      <c r="B5647" s="338" t="s">
        <v>6376</v>
      </c>
      <c r="C5647" s="337" t="s">
        <v>145</v>
      </c>
      <c r="D5647" s="339">
        <v>34.53</v>
      </c>
    </row>
    <row r="5648" spans="1:4" ht="81">
      <c r="A5648" s="337">
        <v>93394</v>
      </c>
      <c r="B5648" s="338" t="s">
        <v>6377</v>
      </c>
      <c r="C5648" s="337" t="s">
        <v>145</v>
      </c>
      <c r="D5648" s="339">
        <v>42</v>
      </c>
    </row>
    <row r="5649" spans="1:4" ht="81">
      <c r="A5649" s="337">
        <v>93395</v>
      </c>
      <c r="B5649" s="338" t="s">
        <v>6378</v>
      </c>
      <c r="C5649" s="337" t="s">
        <v>145</v>
      </c>
      <c r="D5649" s="339">
        <v>39.520000000000003</v>
      </c>
    </row>
    <row r="5650" spans="1:4" ht="54">
      <c r="A5650" s="337">
        <v>84088</v>
      </c>
      <c r="B5650" s="338" t="s">
        <v>6379</v>
      </c>
      <c r="C5650" s="337" t="s">
        <v>172</v>
      </c>
      <c r="D5650" s="339">
        <v>87.63</v>
      </c>
    </row>
    <row r="5651" spans="1:4" ht="54">
      <c r="A5651" s="337">
        <v>84089</v>
      </c>
      <c r="B5651" s="338" t="s">
        <v>6380</v>
      </c>
      <c r="C5651" s="337" t="s">
        <v>172</v>
      </c>
      <c r="D5651" s="339">
        <v>123.5</v>
      </c>
    </row>
    <row r="5652" spans="1:4" ht="27">
      <c r="A5652" s="337">
        <v>40675</v>
      </c>
      <c r="B5652" s="338" t="s">
        <v>6381</v>
      </c>
      <c r="C5652" s="337" t="s">
        <v>172</v>
      </c>
      <c r="D5652" s="339">
        <v>3.75</v>
      </c>
    </row>
    <row r="5653" spans="1:4" ht="27">
      <c r="A5653" s="337">
        <v>84093</v>
      </c>
      <c r="B5653" s="338" t="s">
        <v>6382</v>
      </c>
      <c r="C5653" s="337" t="s">
        <v>172</v>
      </c>
      <c r="D5653" s="339">
        <v>23.31</v>
      </c>
    </row>
    <row r="5654" spans="1:4" ht="40.5">
      <c r="A5654" s="337">
        <v>96112</v>
      </c>
      <c r="B5654" s="338" t="s">
        <v>6383</v>
      </c>
      <c r="C5654" s="337" t="s">
        <v>145</v>
      </c>
      <c r="D5654" s="339">
        <v>79.61</v>
      </c>
    </row>
    <row r="5655" spans="1:4" ht="40.5">
      <c r="A5655" s="337">
        <v>96117</v>
      </c>
      <c r="B5655" s="338" t="s">
        <v>6384</v>
      </c>
      <c r="C5655" s="337" t="s">
        <v>145</v>
      </c>
      <c r="D5655" s="339">
        <v>89</v>
      </c>
    </row>
    <row r="5656" spans="1:4" ht="27">
      <c r="A5656" s="337">
        <v>96122</v>
      </c>
      <c r="B5656" s="338" t="s">
        <v>6385</v>
      </c>
      <c r="C5656" s="337" t="s">
        <v>172</v>
      </c>
      <c r="D5656" s="339">
        <v>19.98</v>
      </c>
    </row>
    <row r="5657" spans="1:4" ht="27">
      <c r="A5657" s="337">
        <v>96109</v>
      </c>
      <c r="B5657" s="338" t="s">
        <v>6386</v>
      </c>
      <c r="C5657" s="337" t="s">
        <v>145</v>
      </c>
      <c r="D5657" s="339">
        <v>35.04</v>
      </c>
    </row>
    <row r="5658" spans="1:4" ht="40.5">
      <c r="A5658" s="337">
        <v>96110</v>
      </c>
      <c r="B5658" s="338" t="s">
        <v>6387</v>
      </c>
      <c r="C5658" s="337" t="s">
        <v>145</v>
      </c>
      <c r="D5658" s="339">
        <v>55.88</v>
      </c>
    </row>
    <row r="5659" spans="1:4" ht="27">
      <c r="A5659" s="337">
        <v>96113</v>
      </c>
      <c r="B5659" s="338" t="s">
        <v>6388</v>
      </c>
      <c r="C5659" s="337" t="s">
        <v>145</v>
      </c>
      <c r="D5659" s="339">
        <v>31.54</v>
      </c>
    </row>
    <row r="5660" spans="1:4" ht="40.5">
      <c r="A5660" s="337">
        <v>96114</v>
      </c>
      <c r="B5660" s="338" t="s">
        <v>6389</v>
      </c>
      <c r="C5660" s="337" t="s">
        <v>145</v>
      </c>
      <c r="D5660" s="339">
        <v>58.18</v>
      </c>
    </row>
    <row r="5661" spans="1:4" ht="27">
      <c r="A5661" s="337">
        <v>96120</v>
      </c>
      <c r="B5661" s="338" t="s">
        <v>6390</v>
      </c>
      <c r="C5661" s="337" t="s">
        <v>172</v>
      </c>
      <c r="D5661" s="339">
        <v>2.4500000000000002</v>
      </c>
    </row>
    <row r="5662" spans="1:4" ht="40.5">
      <c r="A5662" s="337">
        <v>96123</v>
      </c>
      <c r="B5662" s="338" t="s">
        <v>6391</v>
      </c>
      <c r="C5662" s="337" t="s">
        <v>172</v>
      </c>
      <c r="D5662" s="339">
        <v>22.99</v>
      </c>
    </row>
    <row r="5663" spans="1:4" ht="40.5">
      <c r="A5663" s="337">
        <v>96124</v>
      </c>
      <c r="B5663" s="338" t="s">
        <v>6392</v>
      </c>
      <c r="C5663" s="337" t="s">
        <v>172</v>
      </c>
      <c r="D5663" s="339">
        <v>36.49</v>
      </c>
    </row>
    <row r="5664" spans="1:4" ht="40.5">
      <c r="A5664" s="337">
        <v>72200</v>
      </c>
      <c r="B5664" s="338" t="s">
        <v>6393</v>
      </c>
      <c r="C5664" s="337" t="s">
        <v>145</v>
      </c>
      <c r="D5664" s="339">
        <v>83.6</v>
      </c>
    </row>
    <row r="5665" spans="1:4" ht="13.5">
      <c r="A5665" s="337" t="s">
        <v>6394</v>
      </c>
      <c r="B5665" s="338" t="s">
        <v>6395</v>
      </c>
      <c r="C5665" s="337" t="s">
        <v>172</v>
      </c>
      <c r="D5665" s="339">
        <v>83.94</v>
      </c>
    </row>
    <row r="5666" spans="1:4" ht="40.5">
      <c r="A5666" s="337">
        <v>72201</v>
      </c>
      <c r="B5666" s="338" t="s">
        <v>6396</v>
      </c>
      <c r="C5666" s="337" t="s">
        <v>145</v>
      </c>
      <c r="D5666" s="339">
        <v>9.9</v>
      </c>
    </row>
    <row r="5667" spans="1:4" ht="40.5">
      <c r="A5667" s="337">
        <v>96111</v>
      </c>
      <c r="B5667" s="338" t="s">
        <v>6397</v>
      </c>
      <c r="C5667" s="337" t="s">
        <v>145</v>
      </c>
      <c r="D5667" s="339">
        <v>37.869999999999997</v>
      </c>
    </row>
    <row r="5668" spans="1:4" ht="40.5">
      <c r="A5668" s="337">
        <v>96116</v>
      </c>
      <c r="B5668" s="338" t="s">
        <v>6398</v>
      </c>
      <c r="C5668" s="337" t="s">
        <v>145</v>
      </c>
      <c r="D5668" s="339">
        <v>42.15</v>
      </c>
    </row>
    <row r="5669" spans="1:4" ht="27">
      <c r="A5669" s="337">
        <v>96121</v>
      </c>
      <c r="B5669" s="338" t="s">
        <v>6399</v>
      </c>
      <c r="C5669" s="337" t="s">
        <v>172</v>
      </c>
      <c r="D5669" s="339">
        <v>6.74</v>
      </c>
    </row>
    <row r="5670" spans="1:4" ht="40.5">
      <c r="A5670" s="337">
        <v>96485</v>
      </c>
      <c r="B5670" s="338" t="s">
        <v>6400</v>
      </c>
      <c r="C5670" s="337" t="s">
        <v>145</v>
      </c>
      <c r="D5670" s="339">
        <v>43.78</v>
      </c>
    </row>
    <row r="5671" spans="1:4" ht="40.5">
      <c r="A5671" s="337">
        <v>96486</v>
      </c>
      <c r="B5671" s="338" t="s">
        <v>6401</v>
      </c>
      <c r="C5671" s="337" t="s">
        <v>145</v>
      </c>
      <c r="D5671" s="339">
        <v>48.41</v>
      </c>
    </row>
    <row r="5672" spans="1:4" ht="67.5">
      <c r="A5672" s="337">
        <v>72198</v>
      </c>
      <c r="B5672" s="338" t="s">
        <v>6402</v>
      </c>
      <c r="C5672" s="337" t="s">
        <v>145</v>
      </c>
      <c r="D5672" s="339">
        <v>103.35</v>
      </c>
    </row>
    <row r="5673" spans="1:4" ht="27">
      <c r="A5673" s="337" t="s">
        <v>6403</v>
      </c>
      <c r="B5673" s="338" t="s">
        <v>6404</v>
      </c>
      <c r="C5673" s="337" t="s">
        <v>145</v>
      </c>
      <c r="D5673" s="339">
        <v>55.91</v>
      </c>
    </row>
    <row r="5674" spans="1:4" ht="40.5">
      <c r="A5674" s="337">
        <v>83730</v>
      </c>
      <c r="B5674" s="338" t="s">
        <v>6405</v>
      </c>
      <c r="C5674" s="337" t="s">
        <v>145</v>
      </c>
      <c r="D5674" s="339">
        <v>185.31</v>
      </c>
    </row>
    <row r="5675" spans="1:4" ht="40.5">
      <c r="A5675" s="337">
        <v>83736</v>
      </c>
      <c r="B5675" s="338" t="s">
        <v>6406</v>
      </c>
      <c r="C5675" s="337" t="s">
        <v>145</v>
      </c>
      <c r="D5675" s="339">
        <v>170.55</v>
      </c>
    </row>
    <row r="5676" spans="1:4" ht="54">
      <c r="A5676" s="337">
        <v>91514</v>
      </c>
      <c r="B5676" s="338" t="s">
        <v>6407</v>
      </c>
      <c r="C5676" s="337" t="s">
        <v>145</v>
      </c>
      <c r="D5676" s="339">
        <v>4.6500000000000004</v>
      </c>
    </row>
    <row r="5677" spans="1:4" ht="54">
      <c r="A5677" s="337">
        <v>91515</v>
      </c>
      <c r="B5677" s="338" t="s">
        <v>6408</v>
      </c>
      <c r="C5677" s="337" t="s">
        <v>145</v>
      </c>
      <c r="D5677" s="339">
        <v>6.15</v>
      </c>
    </row>
    <row r="5678" spans="1:4" ht="54">
      <c r="A5678" s="337">
        <v>91516</v>
      </c>
      <c r="B5678" s="338" t="s">
        <v>6409</v>
      </c>
      <c r="C5678" s="337" t="s">
        <v>145</v>
      </c>
      <c r="D5678" s="339">
        <v>8.9600000000000009</v>
      </c>
    </row>
    <row r="5679" spans="1:4" ht="54">
      <c r="A5679" s="337">
        <v>91517</v>
      </c>
      <c r="B5679" s="338" t="s">
        <v>6410</v>
      </c>
      <c r="C5679" s="337" t="s">
        <v>145</v>
      </c>
      <c r="D5679" s="339">
        <v>9.98</v>
      </c>
    </row>
    <row r="5680" spans="1:4" ht="54">
      <c r="A5680" s="337">
        <v>91519</v>
      </c>
      <c r="B5680" s="338" t="s">
        <v>6411</v>
      </c>
      <c r="C5680" s="337" t="s">
        <v>145</v>
      </c>
      <c r="D5680" s="339">
        <v>11.46</v>
      </c>
    </row>
    <row r="5681" spans="1:4" ht="40.5">
      <c r="A5681" s="337">
        <v>91520</v>
      </c>
      <c r="B5681" s="338" t="s">
        <v>6412</v>
      </c>
      <c r="C5681" s="337" t="s">
        <v>145</v>
      </c>
      <c r="D5681" s="339">
        <v>1.69</v>
      </c>
    </row>
    <row r="5682" spans="1:4" ht="40.5">
      <c r="A5682" s="337">
        <v>91522</v>
      </c>
      <c r="B5682" s="338" t="s">
        <v>6413</v>
      </c>
      <c r="C5682" s="337" t="s">
        <v>145</v>
      </c>
      <c r="D5682" s="339">
        <v>2.0299999999999998</v>
      </c>
    </row>
    <row r="5683" spans="1:4" ht="40.5">
      <c r="A5683" s="337">
        <v>91525</v>
      </c>
      <c r="B5683" s="338" t="s">
        <v>6414</v>
      </c>
      <c r="C5683" s="337" t="s">
        <v>145</v>
      </c>
      <c r="D5683" s="339">
        <v>3.76</v>
      </c>
    </row>
    <row r="5684" spans="1:4" ht="40.5">
      <c r="A5684" s="337">
        <v>73548</v>
      </c>
      <c r="B5684" s="338" t="s">
        <v>6415</v>
      </c>
      <c r="C5684" s="337" t="s">
        <v>178</v>
      </c>
      <c r="D5684" s="339">
        <v>502.91</v>
      </c>
    </row>
    <row r="5685" spans="1:4" ht="40.5">
      <c r="A5685" s="337">
        <v>73549</v>
      </c>
      <c r="B5685" s="338" t="s">
        <v>6416</v>
      </c>
      <c r="C5685" s="337" t="s">
        <v>178</v>
      </c>
      <c r="D5685" s="339">
        <v>478.57</v>
      </c>
    </row>
    <row r="5686" spans="1:4" ht="67.5">
      <c r="A5686" s="337">
        <v>87280</v>
      </c>
      <c r="B5686" s="338" t="s">
        <v>6417</v>
      </c>
      <c r="C5686" s="337" t="s">
        <v>178</v>
      </c>
      <c r="D5686" s="339">
        <v>284.08999999999997</v>
      </c>
    </row>
    <row r="5687" spans="1:4" ht="67.5">
      <c r="A5687" s="337">
        <v>87281</v>
      </c>
      <c r="B5687" s="338" t="s">
        <v>6418</v>
      </c>
      <c r="C5687" s="337" t="s">
        <v>178</v>
      </c>
      <c r="D5687" s="339">
        <v>283.33</v>
      </c>
    </row>
    <row r="5688" spans="1:4" ht="67.5">
      <c r="A5688" s="337">
        <v>87283</v>
      </c>
      <c r="B5688" s="338" t="s">
        <v>6419</v>
      </c>
      <c r="C5688" s="337" t="s">
        <v>178</v>
      </c>
      <c r="D5688" s="339">
        <v>305.88</v>
      </c>
    </row>
    <row r="5689" spans="1:4" ht="67.5">
      <c r="A5689" s="337">
        <v>87284</v>
      </c>
      <c r="B5689" s="338" t="s">
        <v>6420</v>
      </c>
      <c r="C5689" s="337" t="s">
        <v>178</v>
      </c>
      <c r="D5689" s="339">
        <v>293.3</v>
      </c>
    </row>
    <row r="5690" spans="1:4" ht="67.5">
      <c r="A5690" s="337">
        <v>87286</v>
      </c>
      <c r="B5690" s="338" t="s">
        <v>6421</v>
      </c>
      <c r="C5690" s="337" t="s">
        <v>178</v>
      </c>
      <c r="D5690" s="339">
        <v>297.83</v>
      </c>
    </row>
    <row r="5691" spans="1:4" ht="67.5">
      <c r="A5691" s="337">
        <v>87287</v>
      </c>
      <c r="B5691" s="338" t="s">
        <v>6422</v>
      </c>
      <c r="C5691" s="337" t="s">
        <v>178</v>
      </c>
      <c r="D5691" s="339">
        <v>352.48</v>
      </c>
    </row>
    <row r="5692" spans="1:4" ht="67.5">
      <c r="A5692" s="337">
        <v>87289</v>
      </c>
      <c r="B5692" s="338" t="s">
        <v>6423</v>
      </c>
      <c r="C5692" s="337" t="s">
        <v>178</v>
      </c>
      <c r="D5692" s="339">
        <v>337.07</v>
      </c>
    </row>
    <row r="5693" spans="1:4" ht="67.5">
      <c r="A5693" s="337">
        <v>87290</v>
      </c>
      <c r="B5693" s="338" t="s">
        <v>6424</v>
      </c>
      <c r="C5693" s="337" t="s">
        <v>178</v>
      </c>
      <c r="D5693" s="339">
        <v>335.86</v>
      </c>
    </row>
    <row r="5694" spans="1:4" ht="67.5">
      <c r="A5694" s="337">
        <v>87292</v>
      </c>
      <c r="B5694" s="338" t="s">
        <v>6425</v>
      </c>
      <c r="C5694" s="337" t="s">
        <v>178</v>
      </c>
      <c r="D5694" s="339">
        <v>349.78</v>
      </c>
    </row>
    <row r="5695" spans="1:4" ht="67.5">
      <c r="A5695" s="337">
        <v>87294</v>
      </c>
      <c r="B5695" s="338" t="s">
        <v>6426</v>
      </c>
      <c r="C5695" s="337" t="s">
        <v>178</v>
      </c>
      <c r="D5695" s="339">
        <v>334.37</v>
      </c>
    </row>
    <row r="5696" spans="1:4" ht="67.5">
      <c r="A5696" s="337">
        <v>87295</v>
      </c>
      <c r="B5696" s="338" t="s">
        <v>6427</v>
      </c>
      <c r="C5696" s="337" t="s">
        <v>178</v>
      </c>
      <c r="D5696" s="339">
        <v>335.14</v>
      </c>
    </row>
    <row r="5697" spans="1:4" ht="67.5">
      <c r="A5697" s="337">
        <v>87296</v>
      </c>
      <c r="B5697" s="338" t="s">
        <v>6428</v>
      </c>
      <c r="C5697" s="337" t="s">
        <v>178</v>
      </c>
      <c r="D5697" s="339">
        <v>322.72000000000003</v>
      </c>
    </row>
    <row r="5698" spans="1:4" ht="54">
      <c r="A5698" s="337">
        <v>87298</v>
      </c>
      <c r="B5698" s="338" t="s">
        <v>6429</v>
      </c>
      <c r="C5698" s="337" t="s">
        <v>178</v>
      </c>
      <c r="D5698" s="339">
        <v>441.56</v>
      </c>
    </row>
    <row r="5699" spans="1:4" ht="54">
      <c r="A5699" s="337">
        <v>87299</v>
      </c>
      <c r="B5699" s="338" t="s">
        <v>6430</v>
      </c>
      <c r="C5699" s="337" t="s">
        <v>178</v>
      </c>
      <c r="D5699" s="339">
        <v>432.72</v>
      </c>
    </row>
    <row r="5700" spans="1:4" ht="54">
      <c r="A5700" s="337">
        <v>87301</v>
      </c>
      <c r="B5700" s="338" t="s">
        <v>6431</v>
      </c>
      <c r="C5700" s="337" t="s">
        <v>178</v>
      </c>
      <c r="D5700" s="339">
        <v>391.59</v>
      </c>
    </row>
    <row r="5701" spans="1:4" ht="54">
      <c r="A5701" s="337">
        <v>87302</v>
      </c>
      <c r="B5701" s="338" t="s">
        <v>6432</v>
      </c>
      <c r="C5701" s="337" t="s">
        <v>178</v>
      </c>
      <c r="D5701" s="339">
        <v>384.77</v>
      </c>
    </row>
    <row r="5702" spans="1:4" ht="54">
      <c r="A5702" s="337">
        <v>87304</v>
      </c>
      <c r="B5702" s="338" t="s">
        <v>6433</v>
      </c>
      <c r="C5702" s="337" t="s">
        <v>178</v>
      </c>
      <c r="D5702" s="339">
        <v>361.32</v>
      </c>
    </row>
    <row r="5703" spans="1:4" ht="54">
      <c r="A5703" s="337">
        <v>87305</v>
      </c>
      <c r="B5703" s="338" t="s">
        <v>6434</v>
      </c>
      <c r="C5703" s="337" t="s">
        <v>178</v>
      </c>
      <c r="D5703" s="339">
        <v>354.58</v>
      </c>
    </row>
    <row r="5704" spans="1:4" ht="54">
      <c r="A5704" s="337">
        <v>87307</v>
      </c>
      <c r="B5704" s="338" t="s">
        <v>6435</v>
      </c>
      <c r="C5704" s="337" t="s">
        <v>178</v>
      </c>
      <c r="D5704" s="339">
        <v>335.77</v>
      </c>
    </row>
    <row r="5705" spans="1:4" ht="54">
      <c r="A5705" s="337">
        <v>87308</v>
      </c>
      <c r="B5705" s="338" t="s">
        <v>6436</v>
      </c>
      <c r="C5705" s="337" t="s">
        <v>178</v>
      </c>
      <c r="D5705" s="339">
        <v>329.98</v>
      </c>
    </row>
    <row r="5706" spans="1:4" ht="54">
      <c r="A5706" s="337">
        <v>87310</v>
      </c>
      <c r="B5706" s="338" t="s">
        <v>6437</v>
      </c>
      <c r="C5706" s="337" t="s">
        <v>178</v>
      </c>
      <c r="D5706" s="339">
        <v>262.12</v>
      </c>
    </row>
    <row r="5707" spans="1:4" ht="54">
      <c r="A5707" s="337">
        <v>87311</v>
      </c>
      <c r="B5707" s="338" t="s">
        <v>6438</v>
      </c>
      <c r="C5707" s="337" t="s">
        <v>178</v>
      </c>
      <c r="D5707" s="339">
        <v>258.48</v>
      </c>
    </row>
    <row r="5708" spans="1:4" ht="54">
      <c r="A5708" s="337">
        <v>87313</v>
      </c>
      <c r="B5708" s="338" t="s">
        <v>6439</v>
      </c>
      <c r="C5708" s="337" t="s">
        <v>178</v>
      </c>
      <c r="D5708" s="339">
        <v>323.37</v>
      </c>
    </row>
    <row r="5709" spans="1:4" ht="54">
      <c r="A5709" s="337">
        <v>87314</v>
      </c>
      <c r="B5709" s="338" t="s">
        <v>6440</v>
      </c>
      <c r="C5709" s="337" t="s">
        <v>178</v>
      </c>
      <c r="D5709" s="339">
        <v>320.75</v>
      </c>
    </row>
    <row r="5710" spans="1:4" ht="54">
      <c r="A5710" s="337">
        <v>87316</v>
      </c>
      <c r="B5710" s="338" t="s">
        <v>6441</v>
      </c>
      <c r="C5710" s="337" t="s">
        <v>178</v>
      </c>
      <c r="D5710" s="339">
        <v>290.27</v>
      </c>
    </row>
    <row r="5711" spans="1:4" ht="54">
      <c r="A5711" s="337">
        <v>87317</v>
      </c>
      <c r="B5711" s="338" t="s">
        <v>6442</v>
      </c>
      <c r="C5711" s="337" t="s">
        <v>178</v>
      </c>
      <c r="D5711" s="339">
        <v>283.99</v>
      </c>
    </row>
    <row r="5712" spans="1:4" ht="67.5">
      <c r="A5712" s="337">
        <v>87319</v>
      </c>
      <c r="B5712" s="338" t="s">
        <v>6443</v>
      </c>
      <c r="C5712" s="337" t="s">
        <v>178</v>
      </c>
      <c r="D5712" s="340">
        <v>2486.62</v>
      </c>
    </row>
    <row r="5713" spans="1:4" ht="67.5">
      <c r="A5713" s="337">
        <v>87320</v>
      </c>
      <c r="B5713" s="338" t="s">
        <v>6444</v>
      </c>
      <c r="C5713" s="337" t="s">
        <v>178</v>
      </c>
      <c r="D5713" s="340">
        <v>2492.85</v>
      </c>
    </row>
    <row r="5714" spans="1:4" ht="67.5">
      <c r="A5714" s="337">
        <v>87322</v>
      </c>
      <c r="B5714" s="338" t="s">
        <v>6445</v>
      </c>
      <c r="C5714" s="337" t="s">
        <v>178</v>
      </c>
      <c r="D5714" s="340">
        <v>2555.31</v>
      </c>
    </row>
    <row r="5715" spans="1:4" ht="67.5">
      <c r="A5715" s="337">
        <v>87323</v>
      </c>
      <c r="B5715" s="338" t="s">
        <v>6446</v>
      </c>
      <c r="C5715" s="337" t="s">
        <v>178</v>
      </c>
      <c r="D5715" s="340">
        <v>2544.8000000000002</v>
      </c>
    </row>
    <row r="5716" spans="1:4" ht="67.5">
      <c r="A5716" s="337">
        <v>87325</v>
      </c>
      <c r="B5716" s="338" t="s">
        <v>6447</v>
      </c>
      <c r="C5716" s="337" t="s">
        <v>178</v>
      </c>
      <c r="D5716" s="340">
        <v>2510.5300000000002</v>
      </c>
    </row>
    <row r="5717" spans="1:4" ht="67.5">
      <c r="A5717" s="337">
        <v>87326</v>
      </c>
      <c r="B5717" s="338" t="s">
        <v>6448</v>
      </c>
      <c r="C5717" s="337" t="s">
        <v>178</v>
      </c>
      <c r="D5717" s="340">
        <v>2509.83</v>
      </c>
    </row>
    <row r="5718" spans="1:4" ht="81">
      <c r="A5718" s="337">
        <v>87327</v>
      </c>
      <c r="B5718" s="338" t="s">
        <v>6449</v>
      </c>
      <c r="C5718" s="337" t="s">
        <v>178</v>
      </c>
      <c r="D5718" s="339">
        <v>298.31</v>
      </c>
    </row>
    <row r="5719" spans="1:4" ht="81">
      <c r="A5719" s="337">
        <v>87328</v>
      </c>
      <c r="B5719" s="338" t="s">
        <v>6450</v>
      </c>
      <c r="C5719" s="337" t="s">
        <v>178</v>
      </c>
      <c r="D5719" s="339">
        <v>270.95999999999998</v>
      </c>
    </row>
    <row r="5720" spans="1:4" ht="81">
      <c r="A5720" s="337">
        <v>87329</v>
      </c>
      <c r="B5720" s="338" t="s">
        <v>6451</v>
      </c>
      <c r="C5720" s="337" t="s">
        <v>178</v>
      </c>
      <c r="D5720" s="339">
        <v>321.14</v>
      </c>
    </row>
    <row r="5721" spans="1:4" ht="81">
      <c r="A5721" s="337">
        <v>87330</v>
      </c>
      <c r="B5721" s="338" t="s">
        <v>6452</v>
      </c>
      <c r="C5721" s="337" t="s">
        <v>178</v>
      </c>
      <c r="D5721" s="339">
        <v>291.47000000000003</v>
      </c>
    </row>
    <row r="5722" spans="1:4" ht="81">
      <c r="A5722" s="337">
        <v>87331</v>
      </c>
      <c r="B5722" s="338" t="s">
        <v>6453</v>
      </c>
      <c r="C5722" s="337" t="s">
        <v>178</v>
      </c>
      <c r="D5722" s="339">
        <v>366.56</v>
      </c>
    </row>
    <row r="5723" spans="1:4" ht="81">
      <c r="A5723" s="337">
        <v>87332</v>
      </c>
      <c r="B5723" s="338" t="s">
        <v>6454</v>
      </c>
      <c r="C5723" s="337" t="s">
        <v>178</v>
      </c>
      <c r="D5723" s="339">
        <v>337.18</v>
      </c>
    </row>
    <row r="5724" spans="1:4" ht="81">
      <c r="A5724" s="337">
        <v>87333</v>
      </c>
      <c r="B5724" s="338" t="s">
        <v>6455</v>
      </c>
      <c r="C5724" s="337" t="s">
        <v>178</v>
      </c>
      <c r="D5724" s="339">
        <v>341.15</v>
      </c>
    </row>
    <row r="5725" spans="1:4" ht="81">
      <c r="A5725" s="337">
        <v>87334</v>
      </c>
      <c r="B5725" s="338" t="s">
        <v>6456</v>
      </c>
      <c r="C5725" s="337" t="s">
        <v>178</v>
      </c>
      <c r="D5725" s="339">
        <v>319.95999999999998</v>
      </c>
    </row>
    <row r="5726" spans="1:4" ht="81">
      <c r="A5726" s="337">
        <v>87335</v>
      </c>
      <c r="B5726" s="338" t="s">
        <v>6457</v>
      </c>
      <c r="C5726" s="337" t="s">
        <v>178</v>
      </c>
      <c r="D5726" s="339">
        <v>345.94</v>
      </c>
    </row>
    <row r="5727" spans="1:4" ht="81">
      <c r="A5727" s="337">
        <v>87336</v>
      </c>
      <c r="B5727" s="338" t="s">
        <v>6458</v>
      </c>
      <c r="C5727" s="337" t="s">
        <v>178</v>
      </c>
      <c r="D5727" s="339">
        <v>330.84</v>
      </c>
    </row>
    <row r="5728" spans="1:4" ht="81">
      <c r="A5728" s="337">
        <v>87337</v>
      </c>
      <c r="B5728" s="338" t="s">
        <v>6459</v>
      </c>
      <c r="C5728" s="337" t="s">
        <v>178</v>
      </c>
      <c r="D5728" s="339">
        <v>329.6</v>
      </c>
    </row>
    <row r="5729" spans="1:4" ht="81">
      <c r="A5729" s="337">
        <v>87338</v>
      </c>
      <c r="B5729" s="338" t="s">
        <v>6460</v>
      </c>
      <c r="C5729" s="337" t="s">
        <v>178</v>
      </c>
      <c r="D5729" s="339">
        <v>318.33</v>
      </c>
    </row>
    <row r="5730" spans="1:4" ht="54">
      <c r="A5730" s="337">
        <v>87339</v>
      </c>
      <c r="B5730" s="338" t="s">
        <v>6461</v>
      </c>
      <c r="C5730" s="337" t="s">
        <v>178</v>
      </c>
      <c r="D5730" s="339">
        <v>499.68</v>
      </c>
    </row>
    <row r="5731" spans="1:4" ht="54">
      <c r="A5731" s="337">
        <v>87340</v>
      </c>
      <c r="B5731" s="338" t="s">
        <v>6462</v>
      </c>
      <c r="C5731" s="337" t="s">
        <v>178</v>
      </c>
      <c r="D5731" s="339">
        <v>431.17</v>
      </c>
    </row>
    <row r="5732" spans="1:4" ht="54">
      <c r="A5732" s="337">
        <v>87341</v>
      </c>
      <c r="B5732" s="338" t="s">
        <v>6463</v>
      </c>
      <c r="C5732" s="337" t="s">
        <v>178</v>
      </c>
      <c r="D5732" s="339">
        <v>419.63</v>
      </c>
    </row>
    <row r="5733" spans="1:4" ht="54">
      <c r="A5733" s="337">
        <v>87342</v>
      </c>
      <c r="B5733" s="338" t="s">
        <v>6464</v>
      </c>
      <c r="C5733" s="337" t="s">
        <v>178</v>
      </c>
      <c r="D5733" s="339">
        <v>432.83</v>
      </c>
    </row>
    <row r="5734" spans="1:4" ht="54">
      <c r="A5734" s="337">
        <v>87343</v>
      </c>
      <c r="B5734" s="338" t="s">
        <v>6465</v>
      </c>
      <c r="C5734" s="337" t="s">
        <v>178</v>
      </c>
      <c r="D5734" s="339">
        <v>388.53</v>
      </c>
    </row>
    <row r="5735" spans="1:4" ht="54">
      <c r="A5735" s="337">
        <v>87344</v>
      </c>
      <c r="B5735" s="338" t="s">
        <v>6466</v>
      </c>
      <c r="C5735" s="337" t="s">
        <v>178</v>
      </c>
      <c r="D5735" s="339">
        <v>371.86</v>
      </c>
    </row>
    <row r="5736" spans="1:4" ht="54">
      <c r="A5736" s="337">
        <v>87345</v>
      </c>
      <c r="B5736" s="338" t="s">
        <v>6467</v>
      </c>
      <c r="C5736" s="337" t="s">
        <v>178</v>
      </c>
      <c r="D5736" s="339">
        <v>381.57</v>
      </c>
    </row>
    <row r="5737" spans="1:4" ht="54">
      <c r="A5737" s="337">
        <v>87346</v>
      </c>
      <c r="B5737" s="338" t="s">
        <v>6468</v>
      </c>
      <c r="C5737" s="337" t="s">
        <v>178</v>
      </c>
      <c r="D5737" s="339">
        <v>351.43</v>
      </c>
    </row>
    <row r="5738" spans="1:4" ht="54">
      <c r="A5738" s="337">
        <v>87347</v>
      </c>
      <c r="B5738" s="338" t="s">
        <v>6469</v>
      </c>
      <c r="C5738" s="337" t="s">
        <v>178</v>
      </c>
      <c r="D5738" s="339">
        <v>342.74</v>
      </c>
    </row>
    <row r="5739" spans="1:4" ht="54">
      <c r="A5739" s="337">
        <v>87348</v>
      </c>
      <c r="B5739" s="338" t="s">
        <v>6470</v>
      </c>
      <c r="C5739" s="337" t="s">
        <v>178</v>
      </c>
      <c r="D5739" s="339">
        <v>354.54</v>
      </c>
    </row>
    <row r="5740" spans="1:4" ht="54">
      <c r="A5740" s="337">
        <v>87349</v>
      </c>
      <c r="B5740" s="338" t="s">
        <v>6471</v>
      </c>
      <c r="C5740" s="337" t="s">
        <v>178</v>
      </c>
      <c r="D5740" s="339">
        <v>317.08</v>
      </c>
    </row>
    <row r="5741" spans="1:4" ht="54">
      <c r="A5741" s="337">
        <v>87350</v>
      </c>
      <c r="B5741" s="338" t="s">
        <v>6472</v>
      </c>
      <c r="C5741" s="337" t="s">
        <v>178</v>
      </c>
      <c r="D5741" s="339">
        <v>285.39999999999998</v>
      </c>
    </row>
    <row r="5742" spans="1:4" ht="54">
      <c r="A5742" s="337">
        <v>87351</v>
      </c>
      <c r="B5742" s="338" t="s">
        <v>6473</v>
      </c>
      <c r="C5742" s="337" t="s">
        <v>178</v>
      </c>
      <c r="D5742" s="339">
        <v>257.74</v>
      </c>
    </row>
    <row r="5743" spans="1:4" ht="54">
      <c r="A5743" s="337">
        <v>87352</v>
      </c>
      <c r="B5743" s="338" t="s">
        <v>6474</v>
      </c>
      <c r="C5743" s="337" t="s">
        <v>178</v>
      </c>
      <c r="D5743" s="339">
        <v>366.75</v>
      </c>
    </row>
    <row r="5744" spans="1:4" ht="54">
      <c r="A5744" s="337">
        <v>87353</v>
      </c>
      <c r="B5744" s="338" t="s">
        <v>6475</v>
      </c>
      <c r="C5744" s="337" t="s">
        <v>178</v>
      </c>
      <c r="D5744" s="339">
        <v>326.64</v>
      </c>
    </row>
    <row r="5745" spans="1:4" ht="54">
      <c r="A5745" s="337">
        <v>87354</v>
      </c>
      <c r="B5745" s="338" t="s">
        <v>6476</v>
      </c>
      <c r="C5745" s="337" t="s">
        <v>178</v>
      </c>
      <c r="D5745" s="339">
        <v>309.37</v>
      </c>
    </row>
    <row r="5746" spans="1:4" ht="54">
      <c r="A5746" s="337">
        <v>87355</v>
      </c>
      <c r="B5746" s="338" t="s">
        <v>6477</v>
      </c>
      <c r="C5746" s="337" t="s">
        <v>178</v>
      </c>
      <c r="D5746" s="339">
        <v>315.31</v>
      </c>
    </row>
    <row r="5747" spans="1:4" ht="54">
      <c r="A5747" s="337">
        <v>87356</v>
      </c>
      <c r="B5747" s="338" t="s">
        <v>6478</v>
      </c>
      <c r="C5747" s="337" t="s">
        <v>178</v>
      </c>
      <c r="D5747" s="339">
        <v>282.83</v>
      </c>
    </row>
    <row r="5748" spans="1:4" ht="54">
      <c r="A5748" s="337">
        <v>87357</v>
      </c>
      <c r="B5748" s="338" t="s">
        <v>6479</v>
      </c>
      <c r="C5748" s="337" t="s">
        <v>178</v>
      </c>
      <c r="D5748" s="339">
        <v>276.47000000000003</v>
      </c>
    </row>
    <row r="5749" spans="1:4" ht="67.5">
      <c r="A5749" s="337">
        <v>87358</v>
      </c>
      <c r="B5749" s="338" t="s">
        <v>6480</v>
      </c>
      <c r="C5749" s="337" t="s">
        <v>178</v>
      </c>
      <c r="D5749" s="340">
        <v>2446.3200000000002</v>
      </c>
    </row>
    <row r="5750" spans="1:4" ht="67.5">
      <c r="A5750" s="337">
        <v>87359</v>
      </c>
      <c r="B5750" s="338" t="s">
        <v>6481</v>
      </c>
      <c r="C5750" s="337" t="s">
        <v>178</v>
      </c>
      <c r="D5750" s="340">
        <v>2437.86</v>
      </c>
    </row>
    <row r="5751" spans="1:4" ht="67.5">
      <c r="A5751" s="337">
        <v>87360</v>
      </c>
      <c r="B5751" s="338" t="s">
        <v>6482</v>
      </c>
      <c r="C5751" s="337" t="s">
        <v>178</v>
      </c>
      <c r="D5751" s="340">
        <v>2518.89</v>
      </c>
    </row>
    <row r="5752" spans="1:4" ht="67.5">
      <c r="A5752" s="337">
        <v>87361</v>
      </c>
      <c r="B5752" s="338" t="s">
        <v>6483</v>
      </c>
      <c r="C5752" s="337" t="s">
        <v>178</v>
      </c>
      <c r="D5752" s="340">
        <v>2502.4299999999998</v>
      </c>
    </row>
    <row r="5753" spans="1:4" ht="67.5">
      <c r="A5753" s="337">
        <v>87362</v>
      </c>
      <c r="B5753" s="338" t="s">
        <v>6484</v>
      </c>
      <c r="C5753" s="337" t="s">
        <v>178</v>
      </c>
      <c r="D5753" s="340">
        <v>2501.6999999999998</v>
      </c>
    </row>
    <row r="5754" spans="1:4" ht="67.5">
      <c r="A5754" s="337">
        <v>87363</v>
      </c>
      <c r="B5754" s="338" t="s">
        <v>6485</v>
      </c>
      <c r="C5754" s="337" t="s">
        <v>178</v>
      </c>
      <c r="D5754" s="340">
        <v>2486.58</v>
      </c>
    </row>
    <row r="5755" spans="1:4" ht="67.5">
      <c r="A5755" s="337">
        <v>87364</v>
      </c>
      <c r="B5755" s="338" t="s">
        <v>6486</v>
      </c>
      <c r="C5755" s="337" t="s">
        <v>178</v>
      </c>
      <c r="D5755" s="340">
        <v>2459.85</v>
      </c>
    </row>
    <row r="5756" spans="1:4" ht="67.5">
      <c r="A5756" s="337">
        <v>87365</v>
      </c>
      <c r="B5756" s="338" t="s">
        <v>6487</v>
      </c>
      <c r="C5756" s="337" t="s">
        <v>178</v>
      </c>
      <c r="D5756" s="339">
        <v>373.33</v>
      </c>
    </row>
    <row r="5757" spans="1:4" ht="67.5">
      <c r="A5757" s="337">
        <v>87366</v>
      </c>
      <c r="B5757" s="338" t="s">
        <v>6488</v>
      </c>
      <c r="C5757" s="337" t="s">
        <v>178</v>
      </c>
      <c r="D5757" s="339">
        <v>389.35</v>
      </c>
    </row>
    <row r="5758" spans="1:4" ht="54">
      <c r="A5758" s="337">
        <v>87367</v>
      </c>
      <c r="B5758" s="338" t="s">
        <v>6489</v>
      </c>
      <c r="C5758" s="337" t="s">
        <v>178</v>
      </c>
      <c r="D5758" s="339">
        <v>438.08</v>
      </c>
    </row>
    <row r="5759" spans="1:4" ht="54">
      <c r="A5759" s="337">
        <v>87368</v>
      </c>
      <c r="B5759" s="338" t="s">
        <v>6490</v>
      </c>
      <c r="C5759" s="337" t="s">
        <v>178</v>
      </c>
      <c r="D5759" s="339">
        <v>430.87</v>
      </c>
    </row>
    <row r="5760" spans="1:4" ht="54">
      <c r="A5760" s="337">
        <v>87369</v>
      </c>
      <c r="B5760" s="338" t="s">
        <v>6491</v>
      </c>
      <c r="C5760" s="337" t="s">
        <v>178</v>
      </c>
      <c r="D5760" s="339">
        <v>439.9</v>
      </c>
    </row>
    <row r="5761" spans="1:4" ht="54">
      <c r="A5761" s="337">
        <v>87370</v>
      </c>
      <c r="B5761" s="338" t="s">
        <v>6492</v>
      </c>
      <c r="C5761" s="337" t="s">
        <v>178</v>
      </c>
      <c r="D5761" s="339">
        <v>424.61</v>
      </c>
    </row>
    <row r="5762" spans="1:4" ht="54">
      <c r="A5762" s="337">
        <v>87371</v>
      </c>
      <c r="B5762" s="338" t="s">
        <v>6493</v>
      </c>
      <c r="C5762" s="337" t="s">
        <v>178</v>
      </c>
      <c r="D5762" s="339">
        <v>416.77</v>
      </c>
    </row>
    <row r="5763" spans="1:4" ht="40.5">
      <c r="A5763" s="337">
        <v>87372</v>
      </c>
      <c r="B5763" s="338" t="s">
        <v>6494</v>
      </c>
      <c r="C5763" s="337" t="s">
        <v>178</v>
      </c>
      <c r="D5763" s="339">
        <v>529.21</v>
      </c>
    </row>
    <row r="5764" spans="1:4" ht="40.5">
      <c r="A5764" s="337">
        <v>87373</v>
      </c>
      <c r="B5764" s="338" t="s">
        <v>6495</v>
      </c>
      <c r="C5764" s="337" t="s">
        <v>178</v>
      </c>
      <c r="D5764" s="339">
        <v>481.03</v>
      </c>
    </row>
    <row r="5765" spans="1:4" ht="40.5">
      <c r="A5765" s="337">
        <v>87374</v>
      </c>
      <c r="B5765" s="338" t="s">
        <v>6496</v>
      </c>
      <c r="C5765" s="337" t="s">
        <v>178</v>
      </c>
      <c r="D5765" s="339">
        <v>448.65</v>
      </c>
    </row>
    <row r="5766" spans="1:4" ht="40.5">
      <c r="A5766" s="337">
        <v>87375</v>
      </c>
      <c r="B5766" s="338" t="s">
        <v>6497</v>
      </c>
      <c r="C5766" s="337" t="s">
        <v>178</v>
      </c>
      <c r="D5766" s="339">
        <v>421.53</v>
      </c>
    </row>
    <row r="5767" spans="1:4" ht="40.5">
      <c r="A5767" s="337">
        <v>87376</v>
      </c>
      <c r="B5767" s="338" t="s">
        <v>6498</v>
      </c>
      <c r="C5767" s="337" t="s">
        <v>178</v>
      </c>
      <c r="D5767" s="339">
        <v>357.93</v>
      </c>
    </row>
    <row r="5768" spans="1:4" ht="40.5">
      <c r="A5768" s="337">
        <v>87377</v>
      </c>
      <c r="B5768" s="338" t="s">
        <v>6499</v>
      </c>
      <c r="C5768" s="337" t="s">
        <v>178</v>
      </c>
      <c r="D5768" s="339">
        <v>417.08</v>
      </c>
    </row>
    <row r="5769" spans="1:4" ht="40.5">
      <c r="A5769" s="337">
        <v>87378</v>
      </c>
      <c r="B5769" s="338" t="s">
        <v>6500</v>
      </c>
      <c r="C5769" s="337" t="s">
        <v>178</v>
      </c>
      <c r="D5769" s="339">
        <v>381.6</v>
      </c>
    </row>
    <row r="5770" spans="1:4" ht="54">
      <c r="A5770" s="337">
        <v>87379</v>
      </c>
      <c r="B5770" s="338" t="s">
        <v>6501</v>
      </c>
      <c r="C5770" s="337" t="s">
        <v>178</v>
      </c>
      <c r="D5770" s="340">
        <v>2560.7399999999998</v>
      </c>
    </row>
    <row r="5771" spans="1:4" ht="54">
      <c r="A5771" s="337">
        <v>87380</v>
      </c>
      <c r="B5771" s="338" t="s">
        <v>6502</v>
      </c>
      <c r="C5771" s="337" t="s">
        <v>178</v>
      </c>
      <c r="D5771" s="340">
        <v>2623.35</v>
      </c>
    </row>
    <row r="5772" spans="1:4" ht="54">
      <c r="A5772" s="337">
        <v>87381</v>
      </c>
      <c r="B5772" s="338" t="s">
        <v>6503</v>
      </c>
      <c r="C5772" s="337" t="s">
        <v>178</v>
      </c>
      <c r="D5772" s="340">
        <v>2586.5700000000002</v>
      </c>
    </row>
    <row r="5773" spans="1:4" ht="54">
      <c r="A5773" s="337">
        <v>87382</v>
      </c>
      <c r="B5773" s="338" t="s">
        <v>6504</v>
      </c>
      <c r="C5773" s="337" t="s">
        <v>178</v>
      </c>
      <c r="D5773" s="339">
        <v>974.35</v>
      </c>
    </row>
    <row r="5774" spans="1:4" ht="54">
      <c r="A5774" s="337">
        <v>87383</v>
      </c>
      <c r="B5774" s="338" t="s">
        <v>6505</v>
      </c>
      <c r="C5774" s="337" t="s">
        <v>178</v>
      </c>
      <c r="D5774" s="339">
        <v>971.3</v>
      </c>
    </row>
    <row r="5775" spans="1:4" ht="54">
      <c r="A5775" s="337">
        <v>87384</v>
      </c>
      <c r="B5775" s="338" t="s">
        <v>6506</v>
      </c>
      <c r="C5775" s="337" t="s">
        <v>178</v>
      </c>
      <c r="D5775" s="339">
        <v>967.7</v>
      </c>
    </row>
    <row r="5776" spans="1:4" ht="40.5">
      <c r="A5776" s="337">
        <v>87385</v>
      </c>
      <c r="B5776" s="338" t="s">
        <v>6507</v>
      </c>
      <c r="C5776" s="337" t="s">
        <v>178</v>
      </c>
      <c r="D5776" s="340">
        <v>1389.43</v>
      </c>
    </row>
    <row r="5777" spans="1:4" ht="40.5">
      <c r="A5777" s="337">
        <v>87386</v>
      </c>
      <c r="B5777" s="338" t="s">
        <v>6508</v>
      </c>
      <c r="C5777" s="337" t="s">
        <v>178</v>
      </c>
      <c r="D5777" s="340">
        <v>1386.71</v>
      </c>
    </row>
    <row r="5778" spans="1:4" ht="40.5">
      <c r="A5778" s="337">
        <v>87387</v>
      </c>
      <c r="B5778" s="338" t="s">
        <v>6509</v>
      </c>
      <c r="C5778" s="337" t="s">
        <v>178</v>
      </c>
      <c r="D5778" s="340">
        <v>1386.45</v>
      </c>
    </row>
    <row r="5779" spans="1:4" ht="54">
      <c r="A5779" s="337">
        <v>87388</v>
      </c>
      <c r="B5779" s="338" t="s">
        <v>6510</v>
      </c>
      <c r="C5779" s="337" t="s">
        <v>178</v>
      </c>
      <c r="D5779" s="340">
        <v>3294.84</v>
      </c>
    </row>
    <row r="5780" spans="1:4" ht="54">
      <c r="A5780" s="337">
        <v>87389</v>
      </c>
      <c r="B5780" s="338" t="s">
        <v>6511</v>
      </c>
      <c r="C5780" s="337" t="s">
        <v>178</v>
      </c>
      <c r="D5780" s="340">
        <v>3310.96</v>
      </c>
    </row>
    <row r="5781" spans="1:4" ht="54">
      <c r="A5781" s="337">
        <v>87390</v>
      </c>
      <c r="B5781" s="338" t="s">
        <v>6512</v>
      </c>
      <c r="C5781" s="337" t="s">
        <v>178</v>
      </c>
      <c r="D5781" s="340">
        <v>3321.53</v>
      </c>
    </row>
    <row r="5782" spans="1:4" ht="40.5">
      <c r="A5782" s="337">
        <v>87391</v>
      </c>
      <c r="B5782" s="338" t="s">
        <v>6513</v>
      </c>
      <c r="C5782" s="337" t="s">
        <v>178</v>
      </c>
      <c r="D5782" s="340">
        <v>4765.63</v>
      </c>
    </row>
    <row r="5783" spans="1:4" ht="40.5">
      <c r="A5783" s="337">
        <v>87393</v>
      </c>
      <c r="B5783" s="338" t="s">
        <v>6514</v>
      </c>
      <c r="C5783" s="337" t="s">
        <v>178</v>
      </c>
      <c r="D5783" s="340">
        <v>4824.05</v>
      </c>
    </row>
    <row r="5784" spans="1:4" ht="40.5">
      <c r="A5784" s="337">
        <v>87394</v>
      </c>
      <c r="B5784" s="338" t="s">
        <v>6515</v>
      </c>
      <c r="C5784" s="337" t="s">
        <v>178</v>
      </c>
      <c r="D5784" s="340">
        <v>4849.82</v>
      </c>
    </row>
    <row r="5785" spans="1:4" ht="40.5">
      <c r="A5785" s="337">
        <v>87395</v>
      </c>
      <c r="B5785" s="338" t="s">
        <v>6516</v>
      </c>
      <c r="C5785" s="337" t="s">
        <v>178</v>
      </c>
      <c r="D5785" s="340">
        <v>3736.88</v>
      </c>
    </row>
    <row r="5786" spans="1:4" ht="40.5">
      <c r="A5786" s="337">
        <v>87396</v>
      </c>
      <c r="B5786" s="338" t="s">
        <v>6517</v>
      </c>
      <c r="C5786" s="337" t="s">
        <v>178</v>
      </c>
      <c r="D5786" s="340">
        <v>3780.76</v>
      </c>
    </row>
    <row r="5787" spans="1:4" ht="40.5">
      <c r="A5787" s="337">
        <v>87397</v>
      </c>
      <c r="B5787" s="338" t="s">
        <v>6518</v>
      </c>
      <c r="C5787" s="337" t="s">
        <v>178</v>
      </c>
      <c r="D5787" s="340">
        <v>3796.43</v>
      </c>
    </row>
    <row r="5788" spans="1:4" ht="40.5">
      <c r="A5788" s="337">
        <v>87398</v>
      </c>
      <c r="B5788" s="338" t="s">
        <v>6519</v>
      </c>
      <c r="C5788" s="337" t="s">
        <v>178</v>
      </c>
      <c r="D5788" s="340">
        <v>1121.28</v>
      </c>
    </row>
    <row r="5789" spans="1:4" ht="27">
      <c r="A5789" s="337">
        <v>87399</v>
      </c>
      <c r="B5789" s="338" t="s">
        <v>6520</v>
      </c>
      <c r="C5789" s="337" t="s">
        <v>178</v>
      </c>
      <c r="D5789" s="340">
        <v>1551.73</v>
      </c>
    </row>
    <row r="5790" spans="1:4" ht="27">
      <c r="A5790" s="337">
        <v>87401</v>
      </c>
      <c r="B5790" s="338" t="s">
        <v>6521</v>
      </c>
      <c r="C5790" s="337" t="s">
        <v>178</v>
      </c>
      <c r="D5790" s="340">
        <v>5005.53</v>
      </c>
    </row>
    <row r="5791" spans="1:4" ht="27">
      <c r="A5791" s="337">
        <v>87402</v>
      </c>
      <c r="B5791" s="338" t="s">
        <v>6522</v>
      </c>
      <c r="C5791" s="337" t="s">
        <v>178</v>
      </c>
      <c r="D5791" s="340">
        <v>3968.13</v>
      </c>
    </row>
    <row r="5792" spans="1:4" ht="54">
      <c r="A5792" s="337">
        <v>87404</v>
      </c>
      <c r="B5792" s="338" t="s">
        <v>6523</v>
      </c>
      <c r="C5792" s="337" t="s">
        <v>178</v>
      </c>
      <c r="D5792" s="340">
        <v>3408.54</v>
      </c>
    </row>
    <row r="5793" spans="1:4" ht="54">
      <c r="A5793" s="337">
        <v>87405</v>
      </c>
      <c r="B5793" s="338" t="s">
        <v>6524</v>
      </c>
      <c r="C5793" s="337" t="s">
        <v>178</v>
      </c>
      <c r="D5793" s="340">
        <v>3417.13</v>
      </c>
    </row>
    <row r="5794" spans="1:4" ht="40.5">
      <c r="A5794" s="337">
        <v>87407</v>
      </c>
      <c r="B5794" s="338" t="s">
        <v>6525</v>
      </c>
      <c r="C5794" s="337" t="s">
        <v>178</v>
      </c>
      <c r="D5794" s="339">
        <v>989.38</v>
      </c>
    </row>
    <row r="5795" spans="1:4" ht="40.5">
      <c r="A5795" s="337">
        <v>87408</v>
      </c>
      <c r="B5795" s="338" t="s">
        <v>6526</v>
      </c>
      <c r="C5795" s="337" t="s">
        <v>178</v>
      </c>
      <c r="D5795" s="339">
        <v>980.38</v>
      </c>
    </row>
    <row r="5796" spans="1:4" ht="40.5">
      <c r="A5796" s="337">
        <v>87410</v>
      </c>
      <c r="B5796" s="338" t="s">
        <v>6527</v>
      </c>
      <c r="C5796" s="337" t="s">
        <v>178</v>
      </c>
      <c r="D5796" s="339">
        <v>754.84</v>
      </c>
    </row>
    <row r="5797" spans="1:4" ht="40.5">
      <c r="A5797" s="337">
        <v>88626</v>
      </c>
      <c r="B5797" s="338" t="s">
        <v>6528</v>
      </c>
      <c r="C5797" s="337" t="s">
        <v>178</v>
      </c>
      <c r="D5797" s="339">
        <v>330.03</v>
      </c>
    </row>
    <row r="5798" spans="1:4" ht="40.5">
      <c r="A5798" s="337">
        <v>88627</v>
      </c>
      <c r="B5798" s="338" t="s">
        <v>6529</v>
      </c>
      <c r="C5798" s="337" t="s">
        <v>178</v>
      </c>
      <c r="D5798" s="339">
        <v>401.12</v>
      </c>
    </row>
    <row r="5799" spans="1:4" ht="40.5">
      <c r="A5799" s="337">
        <v>88628</v>
      </c>
      <c r="B5799" s="338" t="s">
        <v>6530</v>
      </c>
      <c r="C5799" s="337" t="s">
        <v>178</v>
      </c>
      <c r="D5799" s="339">
        <v>344.48</v>
      </c>
    </row>
    <row r="5800" spans="1:4" ht="27">
      <c r="A5800" s="337">
        <v>88629</v>
      </c>
      <c r="B5800" s="338" t="s">
        <v>6531</v>
      </c>
      <c r="C5800" s="337" t="s">
        <v>178</v>
      </c>
      <c r="D5800" s="339">
        <v>418.67</v>
      </c>
    </row>
    <row r="5801" spans="1:4" ht="40.5">
      <c r="A5801" s="337">
        <v>88630</v>
      </c>
      <c r="B5801" s="338" t="s">
        <v>6532</v>
      </c>
      <c r="C5801" s="337" t="s">
        <v>178</v>
      </c>
      <c r="D5801" s="339">
        <v>304.72000000000003</v>
      </c>
    </row>
    <row r="5802" spans="1:4" ht="27">
      <c r="A5802" s="337">
        <v>88631</v>
      </c>
      <c r="B5802" s="338" t="s">
        <v>6533</v>
      </c>
      <c r="C5802" s="337" t="s">
        <v>178</v>
      </c>
      <c r="D5802" s="339">
        <v>381.17</v>
      </c>
    </row>
    <row r="5803" spans="1:4" ht="67.5">
      <c r="A5803" s="337">
        <v>88715</v>
      </c>
      <c r="B5803" s="338" t="s">
        <v>6534</v>
      </c>
      <c r="C5803" s="337" t="s">
        <v>178</v>
      </c>
      <c r="D5803" s="339">
        <v>332.01</v>
      </c>
    </row>
    <row r="5804" spans="1:4" ht="54">
      <c r="A5804" s="337">
        <v>95563</v>
      </c>
      <c r="B5804" s="338" t="s">
        <v>6535</v>
      </c>
      <c r="C5804" s="337" t="s">
        <v>178</v>
      </c>
      <c r="D5804" s="339">
        <v>545.01</v>
      </c>
    </row>
    <row r="5805" spans="1:4" ht="40.5">
      <c r="A5805" s="337">
        <v>96920</v>
      </c>
      <c r="B5805" s="338" t="s">
        <v>6536</v>
      </c>
      <c r="C5805" s="337" t="s">
        <v>178</v>
      </c>
      <c r="D5805" s="339">
        <v>428.72</v>
      </c>
    </row>
    <row r="5806" spans="1:4" ht="27">
      <c r="A5806" s="337">
        <v>88036</v>
      </c>
      <c r="B5806" s="338" t="s">
        <v>6537</v>
      </c>
      <c r="C5806" s="337" t="s">
        <v>178</v>
      </c>
      <c r="D5806" s="339">
        <v>24.82</v>
      </c>
    </row>
    <row r="5807" spans="1:4" ht="27">
      <c r="A5807" s="337">
        <v>88037</v>
      </c>
      <c r="B5807" s="338" t="s">
        <v>6538</v>
      </c>
      <c r="C5807" s="337" t="s">
        <v>178</v>
      </c>
      <c r="D5807" s="339">
        <v>34.770000000000003</v>
      </c>
    </row>
    <row r="5808" spans="1:4" ht="27">
      <c r="A5808" s="337">
        <v>88038</v>
      </c>
      <c r="B5808" s="338" t="s">
        <v>6539</v>
      </c>
      <c r="C5808" s="337" t="s">
        <v>178</v>
      </c>
      <c r="D5808" s="339">
        <v>47.21</v>
      </c>
    </row>
    <row r="5809" spans="1:4" ht="27">
      <c r="A5809" s="337">
        <v>88039</v>
      </c>
      <c r="B5809" s="338" t="s">
        <v>6540</v>
      </c>
      <c r="C5809" s="337" t="s">
        <v>178</v>
      </c>
      <c r="D5809" s="339">
        <v>59.65</v>
      </c>
    </row>
    <row r="5810" spans="1:4" ht="27">
      <c r="A5810" s="337">
        <v>88040</v>
      </c>
      <c r="B5810" s="338" t="s">
        <v>6541</v>
      </c>
      <c r="C5810" s="337" t="s">
        <v>178</v>
      </c>
      <c r="D5810" s="339">
        <v>7.87</v>
      </c>
    </row>
    <row r="5811" spans="1:4" ht="27">
      <c r="A5811" s="337">
        <v>88041</v>
      </c>
      <c r="B5811" s="338" t="s">
        <v>6542</v>
      </c>
      <c r="C5811" s="337" t="s">
        <v>178</v>
      </c>
      <c r="D5811" s="339">
        <v>12.19</v>
      </c>
    </row>
    <row r="5812" spans="1:4" ht="27">
      <c r="A5812" s="337">
        <v>88042</v>
      </c>
      <c r="B5812" s="338" t="s">
        <v>6543</v>
      </c>
      <c r="C5812" s="337" t="s">
        <v>178</v>
      </c>
      <c r="D5812" s="339">
        <v>17.61</v>
      </c>
    </row>
    <row r="5813" spans="1:4" ht="27">
      <c r="A5813" s="337">
        <v>88043</v>
      </c>
      <c r="B5813" s="338" t="s">
        <v>6544</v>
      </c>
      <c r="C5813" s="337" t="s">
        <v>178</v>
      </c>
      <c r="D5813" s="339">
        <v>23.02</v>
      </c>
    </row>
    <row r="5814" spans="1:4" ht="40.5">
      <c r="A5814" s="337">
        <v>88044</v>
      </c>
      <c r="B5814" s="338" t="s">
        <v>6545</v>
      </c>
      <c r="C5814" s="337" t="s">
        <v>474</v>
      </c>
      <c r="D5814" s="339">
        <v>0.51</v>
      </c>
    </row>
    <row r="5815" spans="1:4" ht="40.5">
      <c r="A5815" s="337">
        <v>88045</v>
      </c>
      <c r="B5815" s="338" t="s">
        <v>6546</v>
      </c>
      <c r="C5815" s="337" t="s">
        <v>474</v>
      </c>
      <c r="D5815" s="339">
        <v>0.25</v>
      </c>
    </row>
    <row r="5816" spans="1:4" ht="40.5">
      <c r="A5816" s="337">
        <v>88046</v>
      </c>
      <c r="B5816" s="338" t="s">
        <v>6547</v>
      </c>
      <c r="C5816" s="337" t="s">
        <v>474</v>
      </c>
      <c r="D5816" s="339">
        <v>0.22</v>
      </c>
    </row>
    <row r="5817" spans="1:4" ht="40.5">
      <c r="A5817" s="337">
        <v>88047</v>
      </c>
      <c r="B5817" s="338" t="s">
        <v>6548</v>
      </c>
      <c r="C5817" s="337" t="s">
        <v>474</v>
      </c>
      <c r="D5817" s="339">
        <v>0.08</v>
      </c>
    </row>
    <row r="5818" spans="1:4" ht="40.5">
      <c r="A5818" s="337">
        <v>88048</v>
      </c>
      <c r="B5818" s="338" t="s">
        <v>6549</v>
      </c>
      <c r="C5818" s="337" t="s">
        <v>474</v>
      </c>
      <c r="D5818" s="339">
        <v>0.28999999999999998</v>
      </c>
    </row>
    <row r="5819" spans="1:4" ht="40.5">
      <c r="A5819" s="337">
        <v>88049</v>
      </c>
      <c r="B5819" s="338" t="s">
        <v>6550</v>
      </c>
      <c r="C5819" s="337" t="s">
        <v>474</v>
      </c>
      <c r="D5819" s="339">
        <v>0.1</v>
      </c>
    </row>
    <row r="5820" spans="1:4" ht="40.5">
      <c r="A5820" s="337">
        <v>88050</v>
      </c>
      <c r="B5820" s="338" t="s">
        <v>6551</v>
      </c>
      <c r="C5820" s="337" t="s">
        <v>474</v>
      </c>
      <c r="D5820" s="339">
        <v>0.38</v>
      </c>
    </row>
    <row r="5821" spans="1:4" ht="40.5">
      <c r="A5821" s="337">
        <v>88051</v>
      </c>
      <c r="B5821" s="338" t="s">
        <v>6552</v>
      </c>
      <c r="C5821" s="337" t="s">
        <v>474</v>
      </c>
      <c r="D5821" s="339">
        <v>0.12</v>
      </c>
    </row>
    <row r="5822" spans="1:4" ht="40.5">
      <c r="A5822" s="337">
        <v>88052</v>
      </c>
      <c r="B5822" s="338" t="s">
        <v>6553</v>
      </c>
      <c r="C5822" s="337" t="s">
        <v>474</v>
      </c>
      <c r="D5822" s="339">
        <v>0.47</v>
      </c>
    </row>
    <row r="5823" spans="1:4" ht="40.5">
      <c r="A5823" s="337">
        <v>88053</v>
      </c>
      <c r="B5823" s="338" t="s">
        <v>6554</v>
      </c>
      <c r="C5823" s="337" t="s">
        <v>474</v>
      </c>
      <c r="D5823" s="339">
        <v>0.14000000000000001</v>
      </c>
    </row>
    <row r="5824" spans="1:4" ht="54">
      <c r="A5824" s="337">
        <v>88054</v>
      </c>
      <c r="B5824" s="338" t="s">
        <v>6555</v>
      </c>
      <c r="C5824" s="337" t="s">
        <v>474</v>
      </c>
      <c r="D5824" s="339">
        <v>0.09</v>
      </c>
    </row>
    <row r="5825" spans="1:4" ht="54">
      <c r="A5825" s="337">
        <v>88055</v>
      </c>
      <c r="B5825" s="338" t="s">
        <v>6556</v>
      </c>
      <c r="C5825" s="337" t="s">
        <v>474</v>
      </c>
      <c r="D5825" s="339">
        <v>0.02</v>
      </c>
    </row>
    <row r="5826" spans="1:4" ht="54">
      <c r="A5826" s="337">
        <v>88056</v>
      </c>
      <c r="B5826" s="338" t="s">
        <v>6557</v>
      </c>
      <c r="C5826" s="337" t="s">
        <v>474</v>
      </c>
      <c r="D5826" s="339">
        <v>0.15</v>
      </c>
    </row>
    <row r="5827" spans="1:4" ht="54">
      <c r="A5827" s="337">
        <v>88057</v>
      </c>
      <c r="B5827" s="338" t="s">
        <v>6558</v>
      </c>
      <c r="C5827" s="337" t="s">
        <v>474</v>
      </c>
      <c r="D5827" s="339">
        <v>0.03</v>
      </c>
    </row>
    <row r="5828" spans="1:4" ht="54">
      <c r="A5828" s="337">
        <v>88058</v>
      </c>
      <c r="B5828" s="338" t="s">
        <v>6559</v>
      </c>
      <c r="C5828" s="337" t="s">
        <v>474</v>
      </c>
      <c r="D5828" s="339">
        <v>0.22</v>
      </c>
    </row>
    <row r="5829" spans="1:4" ht="54">
      <c r="A5829" s="337">
        <v>88059</v>
      </c>
      <c r="B5829" s="338" t="s">
        <v>6560</v>
      </c>
      <c r="C5829" s="337" t="s">
        <v>474</v>
      </c>
      <c r="D5829" s="339">
        <v>0.05</v>
      </c>
    </row>
    <row r="5830" spans="1:4" ht="54">
      <c r="A5830" s="337">
        <v>88060</v>
      </c>
      <c r="B5830" s="338" t="s">
        <v>6561</v>
      </c>
      <c r="C5830" s="337" t="s">
        <v>474</v>
      </c>
      <c r="D5830" s="339">
        <v>0.28999999999999998</v>
      </c>
    </row>
    <row r="5831" spans="1:4" ht="54">
      <c r="A5831" s="337">
        <v>88061</v>
      </c>
      <c r="B5831" s="338" t="s">
        <v>6562</v>
      </c>
      <c r="C5831" s="337" t="s">
        <v>474</v>
      </c>
      <c r="D5831" s="339">
        <v>7.0000000000000007E-2</v>
      </c>
    </row>
    <row r="5832" spans="1:4" ht="27">
      <c r="A5832" s="337">
        <v>88074</v>
      </c>
      <c r="B5832" s="338" t="s">
        <v>6563</v>
      </c>
      <c r="C5832" s="337" t="s">
        <v>145</v>
      </c>
      <c r="D5832" s="339">
        <v>0.73</v>
      </c>
    </row>
    <row r="5833" spans="1:4" ht="40.5">
      <c r="A5833" s="337">
        <v>88075</v>
      </c>
      <c r="B5833" s="338" t="s">
        <v>6564</v>
      </c>
      <c r="C5833" s="337" t="s">
        <v>145</v>
      </c>
      <c r="D5833" s="339">
        <v>0.5</v>
      </c>
    </row>
    <row r="5834" spans="1:4" ht="40.5">
      <c r="A5834" s="337">
        <v>88076</v>
      </c>
      <c r="B5834" s="338" t="s">
        <v>6565</v>
      </c>
      <c r="C5834" s="337" t="s">
        <v>145</v>
      </c>
      <c r="D5834" s="339">
        <v>0.56999999999999995</v>
      </c>
    </row>
    <row r="5835" spans="1:4" ht="40.5">
      <c r="A5835" s="337">
        <v>88077</v>
      </c>
      <c r="B5835" s="338" t="s">
        <v>6566</v>
      </c>
      <c r="C5835" s="337" t="s">
        <v>145</v>
      </c>
      <c r="D5835" s="339">
        <v>0.66</v>
      </c>
    </row>
    <row r="5836" spans="1:4" ht="40.5">
      <c r="A5836" s="337">
        <v>88078</v>
      </c>
      <c r="B5836" s="338" t="s">
        <v>6567</v>
      </c>
      <c r="C5836" s="337" t="s">
        <v>145</v>
      </c>
      <c r="D5836" s="339">
        <v>0.76</v>
      </c>
    </row>
    <row r="5837" spans="1:4" ht="40.5">
      <c r="A5837" s="337">
        <v>88079</v>
      </c>
      <c r="B5837" s="338" t="s">
        <v>6568</v>
      </c>
      <c r="C5837" s="337" t="s">
        <v>145</v>
      </c>
      <c r="D5837" s="339">
        <v>0.13</v>
      </c>
    </row>
    <row r="5838" spans="1:4" ht="40.5">
      <c r="A5838" s="337">
        <v>88080</v>
      </c>
      <c r="B5838" s="338" t="s">
        <v>6569</v>
      </c>
      <c r="C5838" s="337" t="s">
        <v>145</v>
      </c>
      <c r="D5838" s="339">
        <v>0.21</v>
      </c>
    </row>
    <row r="5839" spans="1:4" ht="40.5">
      <c r="A5839" s="337">
        <v>88081</v>
      </c>
      <c r="B5839" s="338" t="s">
        <v>6570</v>
      </c>
      <c r="C5839" s="337" t="s">
        <v>145</v>
      </c>
      <c r="D5839" s="339">
        <v>0.32</v>
      </c>
    </row>
    <row r="5840" spans="1:4" ht="40.5">
      <c r="A5840" s="337">
        <v>88082</v>
      </c>
      <c r="B5840" s="338" t="s">
        <v>6571</v>
      </c>
      <c r="C5840" s="337" t="s">
        <v>145</v>
      </c>
      <c r="D5840" s="339">
        <v>0.42</v>
      </c>
    </row>
    <row r="5841" spans="1:4" ht="40.5">
      <c r="A5841" s="337">
        <v>88083</v>
      </c>
      <c r="B5841" s="338" t="s">
        <v>6572</v>
      </c>
      <c r="C5841" s="337" t="s">
        <v>145</v>
      </c>
      <c r="D5841" s="339">
        <v>0.06</v>
      </c>
    </row>
    <row r="5842" spans="1:4" ht="40.5">
      <c r="A5842" s="337">
        <v>88084</v>
      </c>
      <c r="B5842" s="338" t="s">
        <v>6573</v>
      </c>
      <c r="C5842" s="337" t="s">
        <v>145</v>
      </c>
      <c r="D5842" s="339">
        <v>0.09</v>
      </c>
    </row>
    <row r="5843" spans="1:4" ht="40.5">
      <c r="A5843" s="337">
        <v>88085</v>
      </c>
      <c r="B5843" s="338" t="s">
        <v>6574</v>
      </c>
      <c r="C5843" s="337" t="s">
        <v>145</v>
      </c>
      <c r="D5843" s="339">
        <v>0.13</v>
      </c>
    </row>
    <row r="5844" spans="1:4" ht="40.5">
      <c r="A5844" s="337">
        <v>88086</v>
      </c>
      <c r="B5844" s="338" t="s">
        <v>6575</v>
      </c>
      <c r="C5844" s="337" t="s">
        <v>145</v>
      </c>
      <c r="D5844" s="339">
        <v>0.19</v>
      </c>
    </row>
    <row r="5845" spans="1:4" ht="27">
      <c r="A5845" s="337">
        <v>88087</v>
      </c>
      <c r="B5845" s="338" t="s">
        <v>6576</v>
      </c>
      <c r="C5845" s="337" t="s">
        <v>6577</v>
      </c>
      <c r="D5845" s="339">
        <v>0.05</v>
      </c>
    </row>
    <row r="5846" spans="1:4" ht="40.5">
      <c r="A5846" s="337">
        <v>88099</v>
      </c>
      <c r="B5846" s="338" t="s">
        <v>6578</v>
      </c>
      <c r="C5846" s="337" t="s">
        <v>474</v>
      </c>
      <c r="D5846" s="339">
        <v>0.21</v>
      </c>
    </row>
    <row r="5847" spans="1:4" ht="40.5">
      <c r="A5847" s="337">
        <v>88100</v>
      </c>
      <c r="B5847" s="338" t="s">
        <v>6579</v>
      </c>
      <c r="C5847" s="337" t="s">
        <v>474</v>
      </c>
      <c r="D5847" s="339">
        <v>0.1</v>
      </c>
    </row>
    <row r="5848" spans="1:4" ht="27">
      <c r="A5848" s="337">
        <v>88101</v>
      </c>
      <c r="B5848" s="338" t="s">
        <v>6580</v>
      </c>
      <c r="C5848" s="337" t="s">
        <v>145</v>
      </c>
      <c r="D5848" s="339">
        <v>0.32</v>
      </c>
    </row>
    <row r="5849" spans="1:4" ht="27">
      <c r="A5849" s="337">
        <v>88102</v>
      </c>
      <c r="B5849" s="338" t="s">
        <v>6581</v>
      </c>
      <c r="C5849" s="337" t="s">
        <v>6577</v>
      </c>
      <c r="D5849" s="339">
        <v>0.02</v>
      </c>
    </row>
    <row r="5850" spans="1:4" ht="27">
      <c r="A5850" s="337">
        <v>88103</v>
      </c>
      <c r="B5850" s="338" t="s">
        <v>6582</v>
      </c>
      <c r="C5850" s="337" t="s">
        <v>6577</v>
      </c>
      <c r="D5850" s="339">
        <v>0.04</v>
      </c>
    </row>
    <row r="5851" spans="1:4" ht="27">
      <c r="A5851" s="337">
        <v>89176</v>
      </c>
      <c r="B5851" s="338" t="s">
        <v>6583</v>
      </c>
      <c r="C5851" s="337" t="s">
        <v>5529</v>
      </c>
      <c r="D5851" s="339">
        <v>7.15</v>
      </c>
    </row>
    <row r="5852" spans="1:4" ht="27">
      <c r="A5852" s="337">
        <v>89177</v>
      </c>
      <c r="B5852" s="338" t="s">
        <v>6584</v>
      </c>
      <c r="C5852" s="337" t="s">
        <v>5529</v>
      </c>
      <c r="D5852" s="339">
        <v>10.01</v>
      </c>
    </row>
    <row r="5853" spans="1:4" ht="27">
      <c r="A5853" s="337">
        <v>89178</v>
      </c>
      <c r="B5853" s="338" t="s">
        <v>6585</v>
      </c>
      <c r="C5853" s="337" t="s">
        <v>5529</v>
      </c>
      <c r="D5853" s="339">
        <v>11.44</v>
      </c>
    </row>
    <row r="5854" spans="1:4" ht="27">
      <c r="A5854" s="337">
        <v>89179</v>
      </c>
      <c r="B5854" s="338" t="s">
        <v>6586</v>
      </c>
      <c r="C5854" s="337" t="s">
        <v>5529</v>
      </c>
      <c r="D5854" s="339">
        <v>11.44</v>
      </c>
    </row>
    <row r="5855" spans="1:4" ht="27">
      <c r="A5855" s="337">
        <v>89180</v>
      </c>
      <c r="B5855" s="338" t="s">
        <v>6587</v>
      </c>
      <c r="C5855" s="337" t="s">
        <v>5529</v>
      </c>
      <c r="D5855" s="339">
        <v>12.87</v>
      </c>
    </row>
    <row r="5856" spans="1:4" ht="27">
      <c r="A5856" s="337">
        <v>89181</v>
      </c>
      <c r="B5856" s="338" t="s">
        <v>6588</v>
      </c>
      <c r="C5856" s="337" t="s">
        <v>5529</v>
      </c>
      <c r="D5856" s="339">
        <v>15.74</v>
      </c>
    </row>
    <row r="5857" spans="1:4" ht="27">
      <c r="A5857" s="337">
        <v>89182</v>
      </c>
      <c r="B5857" s="338" t="s">
        <v>6589</v>
      </c>
      <c r="C5857" s="337" t="s">
        <v>5529</v>
      </c>
      <c r="D5857" s="339">
        <v>15.74</v>
      </c>
    </row>
    <row r="5858" spans="1:4" ht="27">
      <c r="A5858" s="337">
        <v>89183</v>
      </c>
      <c r="B5858" s="338" t="s">
        <v>6590</v>
      </c>
      <c r="C5858" s="337" t="s">
        <v>5529</v>
      </c>
      <c r="D5858" s="339">
        <v>17.170000000000002</v>
      </c>
    </row>
    <row r="5859" spans="1:4" ht="27">
      <c r="A5859" s="337">
        <v>89184</v>
      </c>
      <c r="B5859" s="338" t="s">
        <v>6591</v>
      </c>
      <c r="C5859" s="337" t="s">
        <v>5529</v>
      </c>
      <c r="D5859" s="339">
        <v>20.03</v>
      </c>
    </row>
    <row r="5860" spans="1:4" ht="27">
      <c r="A5860" s="337">
        <v>89185</v>
      </c>
      <c r="B5860" s="338" t="s">
        <v>6592</v>
      </c>
      <c r="C5860" s="337" t="s">
        <v>5529</v>
      </c>
      <c r="D5860" s="339">
        <v>20.03</v>
      </c>
    </row>
    <row r="5861" spans="1:4" ht="27">
      <c r="A5861" s="337">
        <v>89186</v>
      </c>
      <c r="B5861" s="338" t="s">
        <v>6593</v>
      </c>
      <c r="C5861" s="337" t="s">
        <v>5529</v>
      </c>
      <c r="D5861" s="339">
        <v>21.46</v>
      </c>
    </row>
    <row r="5862" spans="1:4" ht="27">
      <c r="A5862" s="337">
        <v>89187</v>
      </c>
      <c r="B5862" s="338" t="s">
        <v>6594</v>
      </c>
      <c r="C5862" s="337" t="s">
        <v>5529</v>
      </c>
      <c r="D5862" s="339">
        <v>24.32</v>
      </c>
    </row>
    <row r="5863" spans="1:4" ht="27">
      <c r="A5863" s="337">
        <v>89188</v>
      </c>
      <c r="B5863" s="338" t="s">
        <v>6595</v>
      </c>
      <c r="C5863" s="337" t="s">
        <v>6596</v>
      </c>
      <c r="D5863" s="339">
        <v>0.36</v>
      </c>
    </row>
    <row r="5864" spans="1:4" ht="27">
      <c r="A5864" s="337">
        <v>89189</v>
      </c>
      <c r="B5864" s="338" t="s">
        <v>6597</v>
      </c>
      <c r="C5864" s="337" t="s">
        <v>6596</v>
      </c>
      <c r="D5864" s="339">
        <v>0.46</v>
      </c>
    </row>
    <row r="5865" spans="1:4" ht="27">
      <c r="A5865" s="337">
        <v>89190</v>
      </c>
      <c r="B5865" s="338" t="s">
        <v>6598</v>
      </c>
      <c r="C5865" s="337" t="s">
        <v>6596</v>
      </c>
      <c r="D5865" s="339">
        <v>0.61</v>
      </c>
    </row>
    <row r="5866" spans="1:4" ht="27">
      <c r="A5866" s="337">
        <v>89191</v>
      </c>
      <c r="B5866" s="338" t="s">
        <v>6599</v>
      </c>
      <c r="C5866" s="337" t="s">
        <v>6596</v>
      </c>
      <c r="D5866" s="339">
        <v>0.74</v>
      </c>
    </row>
    <row r="5867" spans="1:4" ht="27">
      <c r="A5867" s="337">
        <v>89192</v>
      </c>
      <c r="B5867" s="338" t="s">
        <v>6600</v>
      </c>
      <c r="C5867" s="337" t="s">
        <v>5529</v>
      </c>
      <c r="D5867" s="339">
        <v>21.46</v>
      </c>
    </row>
    <row r="5868" spans="1:4" ht="27">
      <c r="A5868" s="337">
        <v>89193</v>
      </c>
      <c r="B5868" s="338" t="s">
        <v>6601</v>
      </c>
      <c r="C5868" s="337" t="s">
        <v>5529</v>
      </c>
      <c r="D5868" s="339">
        <v>35.770000000000003</v>
      </c>
    </row>
    <row r="5869" spans="1:4" ht="27">
      <c r="A5869" s="337">
        <v>89194</v>
      </c>
      <c r="B5869" s="338" t="s">
        <v>6602</v>
      </c>
      <c r="C5869" s="337" t="s">
        <v>5529</v>
      </c>
      <c r="D5869" s="339">
        <v>52.94</v>
      </c>
    </row>
    <row r="5870" spans="1:4" ht="27">
      <c r="A5870" s="337">
        <v>89195</v>
      </c>
      <c r="B5870" s="338" t="s">
        <v>6603</v>
      </c>
      <c r="C5870" s="337" t="s">
        <v>5529</v>
      </c>
      <c r="D5870" s="339">
        <v>8.58</v>
      </c>
    </row>
    <row r="5871" spans="1:4" ht="27">
      <c r="A5871" s="337">
        <v>89196</v>
      </c>
      <c r="B5871" s="338" t="s">
        <v>6604</v>
      </c>
      <c r="C5871" s="337" t="s">
        <v>5529</v>
      </c>
      <c r="D5871" s="339">
        <v>14.31</v>
      </c>
    </row>
    <row r="5872" spans="1:4" ht="27">
      <c r="A5872" s="337">
        <v>89197</v>
      </c>
      <c r="B5872" s="338" t="s">
        <v>6605</v>
      </c>
      <c r="C5872" s="337" t="s">
        <v>5529</v>
      </c>
      <c r="D5872" s="339">
        <v>21.46</v>
      </c>
    </row>
    <row r="5873" spans="1:4" ht="40.5">
      <c r="A5873" s="337">
        <v>91104</v>
      </c>
      <c r="B5873" s="338" t="s">
        <v>6606</v>
      </c>
      <c r="C5873" s="337" t="s">
        <v>172</v>
      </c>
      <c r="D5873" s="339">
        <v>0.05</v>
      </c>
    </row>
    <row r="5874" spans="1:4" ht="54">
      <c r="A5874" s="337">
        <v>91105</v>
      </c>
      <c r="B5874" s="338" t="s">
        <v>6607</v>
      </c>
      <c r="C5874" s="337" t="s">
        <v>172</v>
      </c>
      <c r="D5874" s="339">
        <v>0.13</v>
      </c>
    </row>
    <row r="5875" spans="1:4" ht="67.5">
      <c r="A5875" s="337">
        <v>91106</v>
      </c>
      <c r="B5875" s="338" t="s">
        <v>6608</v>
      </c>
      <c r="C5875" s="337" t="s">
        <v>172</v>
      </c>
      <c r="D5875" s="339">
        <v>0.05</v>
      </c>
    </row>
    <row r="5876" spans="1:4" ht="81">
      <c r="A5876" s="337">
        <v>91107</v>
      </c>
      <c r="B5876" s="338" t="s">
        <v>6609</v>
      </c>
      <c r="C5876" s="337" t="s">
        <v>172</v>
      </c>
      <c r="D5876" s="339">
        <v>7.0000000000000007E-2</v>
      </c>
    </row>
    <row r="5877" spans="1:4" ht="81">
      <c r="A5877" s="337">
        <v>91108</v>
      </c>
      <c r="B5877" s="338" t="s">
        <v>6610</v>
      </c>
      <c r="C5877" s="337" t="s">
        <v>172</v>
      </c>
      <c r="D5877" s="339">
        <v>0.13</v>
      </c>
    </row>
    <row r="5878" spans="1:4" ht="40.5">
      <c r="A5878" s="337">
        <v>91109</v>
      </c>
      <c r="B5878" s="338" t="s">
        <v>6611</v>
      </c>
      <c r="C5878" s="337" t="s">
        <v>172</v>
      </c>
      <c r="D5878" s="339">
        <v>0.11</v>
      </c>
    </row>
    <row r="5879" spans="1:4" ht="40.5">
      <c r="A5879" s="337">
        <v>91110</v>
      </c>
      <c r="B5879" s="338" t="s">
        <v>6612</v>
      </c>
      <c r="C5879" s="337" t="s">
        <v>172</v>
      </c>
      <c r="D5879" s="339">
        <v>0.13</v>
      </c>
    </row>
    <row r="5880" spans="1:4" ht="40.5">
      <c r="A5880" s="337">
        <v>91111</v>
      </c>
      <c r="B5880" s="338" t="s">
        <v>6613</v>
      </c>
      <c r="C5880" s="337" t="s">
        <v>172</v>
      </c>
      <c r="D5880" s="339">
        <v>0.18</v>
      </c>
    </row>
    <row r="5881" spans="1:4" ht="40.5">
      <c r="A5881" s="337">
        <v>91112</v>
      </c>
      <c r="B5881" s="338" t="s">
        <v>6614</v>
      </c>
      <c r="C5881" s="337" t="s">
        <v>172</v>
      </c>
      <c r="D5881" s="339">
        <v>0.1</v>
      </c>
    </row>
    <row r="5882" spans="1:4" ht="54">
      <c r="A5882" s="337">
        <v>91113</v>
      </c>
      <c r="B5882" s="338" t="s">
        <v>6615</v>
      </c>
      <c r="C5882" s="337" t="s">
        <v>172</v>
      </c>
      <c r="D5882" s="339">
        <v>0.2</v>
      </c>
    </row>
    <row r="5883" spans="1:4" ht="54">
      <c r="A5883" s="337">
        <v>91114</v>
      </c>
      <c r="B5883" s="338" t="s">
        <v>6616</v>
      </c>
      <c r="C5883" s="337" t="s">
        <v>172</v>
      </c>
      <c r="D5883" s="339">
        <v>0.39</v>
      </c>
    </row>
    <row r="5884" spans="1:4" ht="40.5">
      <c r="A5884" s="337">
        <v>91115</v>
      </c>
      <c r="B5884" s="338" t="s">
        <v>6617</v>
      </c>
      <c r="C5884" s="337" t="s">
        <v>172</v>
      </c>
      <c r="D5884" s="339">
        <v>0.06</v>
      </c>
    </row>
    <row r="5885" spans="1:4" ht="54">
      <c r="A5885" s="337">
        <v>91116</v>
      </c>
      <c r="B5885" s="338" t="s">
        <v>6618</v>
      </c>
      <c r="C5885" s="337" t="s">
        <v>172</v>
      </c>
      <c r="D5885" s="339">
        <v>0.11</v>
      </c>
    </row>
    <row r="5886" spans="1:4" ht="54">
      <c r="A5886" s="337">
        <v>91117</v>
      </c>
      <c r="B5886" s="338" t="s">
        <v>6619</v>
      </c>
      <c r="C5886" s="337" t="s">
        <v>172</v>
      </c>
      <c r="D5886" s="339">
        <v>0.16</v>
      </c>
    </row>
    <row r="5887" spans="1:4" ht="54">
      <c r="A5887" s="337">
        <v>91118</v>
      </c>
      <c r="B5887" s="338" t="s">
        <v>6620</v>
      </c>
      <c r="C5887" s="337" t="s">
        <v>172</v>
      </c>
      <c r="D5887" s="339">
        <v>0.13</v>
      </c>
    </row>
    <row r="5888" spans="1:4" ht="67.5">
      <c r="A5888" s="337">
        <v>91119</v>
      </c>
      <c r="B5888" s="338" t="s">
        <v>6621</v>
      </c>
      <c r="C5888" s="337" t="s">
        <v>172</v>
      </c>
      <c r="D5888" s="339">
        <v>0.26</v>
      </c>
    </row>
    <row r="5889" spans="1:4" ht="67.5">
      <c r="A5889" s="337">
        <v>91120</v>
      </c>
      <c r="B5889" s="338" t="s">
        <v>6622</v>
      </c>
      <c r="C5889" s="337" t="s">
        <v>172</v>
      </c>
      <c r="D5889" s="339">
        <v>0.39</v>
      </c>
    </row>
    <row r="5890" spans="1:4" ht="67.5">
      <c r="A5890" s="337">
        <v>91121</v>
      </c>
      <c r="B5890" s="338" t="s">
        <v>6623</v>
      </c>
      <c r="C5890" s="337" t="s">
        <v>172</v>
      </c>
      <c r="D5890" s="339">
        <v>0.65</v>
      </c>
    </row>
    <row r="5891" spans="1:4" ht="67.5">
      <c r="A5891" s="337">
        <v>91122</v>
      </c>
      <c r="B5891" s="338" t="s">
        <v>6624</v>
      </c>
      <c r="C5891" s="337" t="s">
        <v>172</v>
      </c>
      <c r="D5891" s="339">
        <v>0.92</v>
      </c>
    </row>
    <row r="5892" spans="1:4" ht="67.5">
      <c r="A5892" s="337">
        <v>91123</v>
      </c>
      <c r="B5892" s="338" t="s">
        <v>6625</v>
      </c>
      <c r="C5892" s="337" t="s">
        <v>172</v>
      </c>
      <c r="D5892" s="339">
        <v>1.18</v>
      </c>
    </row>
    <row r="5893" spans="1:4" ht="27">
      <c r="A5893" s="337">
        <v>91124</v>
      </c>
      <c r="B5893" s="338" t="s">
        <v>6626</v>
      </c>
      <c r="C5893" s="337" t="s">
        <v>178</v>
      </c>
      <c r="D5893" s="339">
        <v>60.81</v>
      </c>
    </row>
    <row r="5894" spans="1:4" ht="27">
      <c r="A5894" s="337">
        <v>91125</v>
      </c>
      <c r="B5894" s="338" t="s">
        <v>6627</v>
      </c>
      <c r="C5894" s="337" t="s">
        <v>283</v>
      </c>
      <c r="D5894" s="339">
        <v>7.0000000000000007E-2</v>
      </c>
    </row>
    <row r="5895" spans="1:4" ht="40.5">
      <c r="A5895" s="337">
        <v>91128</v>
      </c>
      <c r="B5895" s="338" t="s">
        <v>6628</v>
      </c>
      <c r="C5895" s="337" t="s">
        <v>6596</v>
      </c>
      <c r="D5895" s="339">
        <v>0.11</v>
      </c>
    </row>
    <row r="5896" spans="1:4" ht="40.5">
      <c r="A5896" s="337">
        <v>91129</v>
      </c>
      <c r="B5896" s="338" t="s">
        <v>6629</v>
      </c>
      <c r="C5896" s="337" t="s">
        <v>6596</v>
      </c>
      <c r="D5896" s="339">
        <v>0.18</v>
      </c>
    </row>
    <row r="5897" spans="1:4" ht="40.5">
      <c r="A5897" s="337">
        <v>91130</v>
      </c>
      <c r="B5897" s="338" t="s">
        <v>6630</v>
      </c>
      <c r="C5897" s="337" t="s">
        <v>6596</v>
      </c>
      <c r="D5897" s="339">
        <v>0.25</v>
      </c>
    </row>
    <row r="5898" spans="1:4" ht="40.5">
      <c r="A5898" s="337">
        <v>91132</v>
      </c>
      <c r="B5898" s="338" t="s">
        <v>6631</v>
      </c>
      <c r="C5898" s="337" t="s">
        <v>6596</v>
      </c>
      <c r="D5898" s="339">
        <v>0.34</v>
      </c>
    </row>
    <row r="5899" spans="1:4" ht="40.5">
      <c r="A5899" s="337">
        <v>91134</v>
      </c>
      <c r="B5899" s="338" t="s">
        <v>6632</v>
      </c>
      <c r="C5899" s="337" t="s">
        <v>5529</v>
      </c>
      <c r="D5899" s="339">
        <v>2.11</v>
      </c>
    </row>
    <row r="5900" spans="1:4" ht="40.5">
      <c r="A5900" s="337">
        <v>91135</v>
      </c>
      <c r="B5900" s="338" t="s">
        <v>6633</v>
      </c>
      <c r="C5900" s="337" t="s">
        <v>5529</v>
      </c>
      <c r="D5900" s="339">
        <v>3.8</v>
      </c>
    </row>
    <row r="5901" spans="1:4" ht="40.5">
      <c r="A5901" s="337">
        <v>91136</v>
      </c>
      <c r="B5901" s="338" t="s">
        <v>6634</v>
      </c>
      <c r="C5901" s="337" t="s">
        <v>5529</v>
      </c>
      <c r="D5901" s="339">
        <v>5.48</v>
      </c>
    </row>
    <row r="5902" spans="1:4" ht="40.5">
      <c r="A5902" s="337">
        <v>91137</v>
      </c>
      <c r="B5902" s="338" t="s">
        <v>6635</v>
      </c>
      <c r="C5902" s="337" t="s">
        <v>5529</v>
      </c>
      <c r="D5902" s="339">
        <v>7.18</v>
      </c>
    </row>
    <row r="5903" spans="1:4" ht="40.5">
      <c r="A5903" s="337">
        <v>91138</v>
      </c>
      <c r="B5903" s="338" t="s">
        <v>6636</v>
      </c>
      <c r="C5903" s="337" t="s">
        <v>6637</v>
      </c>
      <c r="D5903" s="339">
        <v>71.88</v>
      </c>
    </row>
    <row r="5904" spans="1:4" ht="54">
      <c r="A5904" s="337">
        <v>91139</v>
      </c>
      <c r="B5904" s="338" t="s">
        <v>6638</v>
      </c>
      <c r="C5904" s="337" t="s">
        <v>6637</v>
      </c>
      <c r="D5904" s="339">
        <v>38.1</v>
      </c>
    </row>
    <row r="5905" spans="1:4" ht="54">
      <c r="A5905" s="337">
        <v>91140</v>
      </c>
      <c r="B5905" s="338" t="s">
        <v>6639</v>
      </c>
      <c r="C5905" s="337" t="s">
        <v>6637</v>
      </c>
      <c r="D5905" s="339">
        <v>16.87</v>
      </c>
    </row>
    <row r="5906" spans="1:4" ht="40.5">
      <c r="A5906" s="337">
        <v>91141</v>
      </c>
      <c r="B5906" s="338" t="s">
        <v>6640</v>
      </c>
      <c r="C5906" s="337" t="s">
        <v>6637</v>
      </c>
      <c r="D5906" s="339">
        <v>109.99</v>
      </c>
    </row>
    <row r="5907" spans="1:4" ht="54">
      <c r="A5907" s="337">
        <v>91142</v>
      </c>
      <c r="B5907" s="338" t="s">
        <v>6641</v>
      </c>
      <c r="C5907" s="337" t="s">
        <v>6637</v>
      </c>
      <c r="D5907" s="339">
        <v>71.88</v>
      </c>
    </row>
    <row r="5908" spans="1:4" ht="54">
      <c r="A5908" s="337">
        <v>91143</v>
      </c>
      <c r="B5908" s="338" t="s">
        <v>6642</v>
      </c>
      <c r="C5908" s="337" t="s">
        <v>6637</v>
      </c>
      <c r="D5908" s="339">
        <v>16.87</v>
      </c>
    </row>
    <row r="5909" spans="1:4" ht="40.5">
      <c r="A5909" s="337">
        <v>91144</v>
      </c>
      <c r="B5909" s="338" t="s">
        <v>6643</v>
      </c>
      <c r="C5909" s="337" t="s">
        <v>6637</v>
      </c>
      <c r="D5909" s="339">
        <v>148.11000000000001</v>
      </c>
    </row>
    <row r="5910" spans="1:4" ht="54">
      <c r="A5910" s="337">
        <v>91145</v>
      </c>
      <c r="B5910" s="338" t="s">
        <v>6644</v>
      </c>
      <c r="C5910" s="337" t="s">
        <v>6637</v>
      </c>
      <c r="D5910" s="339">
        <v>109.99</v>
      </c>
    </row>
    <row r="5911" spans="1:4" ht="54">
      <c r="A5911" s="337">
        <v>91146</v>
      </c>
      <c r="B5911" s="338" t="s">
        <v>6645</v>
      </c>
      <c r="C5911" s="337" t="s">
        <v>6637</v>
      </c>
      <c r="D5911" s="339">
        <v>21.22</v>
      </c>
    </row>
    <row r="5912" spans="1:4" ht="40.5">
      <c r="A5912" s="337">
        <v>91147</v>
      </c>
      <c r="B5912" s="338" t="s">
        <v>6646</v>
      </c>
      <c r="C5912" s="337" t="s">
        <v>6637</v>
      </c>
      <c r="D5912" s="339">
        <v>203.12</v>
      </c>
    </row>
    <row r="5913" spans="1:4" ht="54">
      <c r="A5913" s="337">
        <v>91148</v>
      </c>
      <c r="B5913" s="338" t="s">
        <v>6647</v>
      </c>
      <c r="C5913" s="337" t="s">
        <v>6637</v>
      </c>
      <c r="D5913" s="339">
        <v>131.22999999999999</v>
      </c>
    </row>
    <row r="5914" spans="1:4" ht="54">
      <c r="A5914" s="337">
        <v>91149</v>
      </c>
      <c r="B5914" s="338" t="s">
        <v>6648</v>
      </c>
      <c r="C5914" s="337" t="s">
        <v>6637</v>
      </c>
      <c r="D5914" s="339">
        <v>33.76</v>
      </c>
    </row>
    <row r="5915" spans="1:4" ht="27">
      <c r="A5915" s="337">
        <v>92121</v>
      </c>
      <c r="B5915" s="338" t="s">
        <v>6649</v>
      </c>
      <c r="C5915" s="337" t="s">
        <v>178</v>
      </c>
      <c r="D5915" s="339">
        <v>20.38</v>
      </c>
    </row>
    <row r="5916" spans="1:4" ht="27">
      <c r="A5916" s="337">
        <v>92122</v>
      </c>
      <c r="B5916" s="338" t="s">
        <v>6650</v>
      </c>
      <c r="C5916" s="337" t="s">
        <v>178</v>
      </c>
      <c r="D5916" s="339">
        <v>34.31</v>
      </c>
    </row>
    <row r="5917" spans="1:4" ht="13.5">
      <c r="A5917" s="337">
        <v>92123</v>
      </c>
      <c r="B5917" s="338" t="s">
        <v>6651</v>
      </c>
      <c r="C5917" s="337" t="s">
        <v>178</v>
      </c>
      <c r="D5917" s="339">
        <v>33.31</v>
      </c>
    </row>
    <row r="5918" spans="1:4" ht="27">
      <c r="A5918" s="337">
        <v>94926</v>
      </c>
      <c r="B5918" s="338" t="s">
        <v>6652</v>
      </c>
      <c r="C5918" s="337" t="s">
        <v>145</v>
      </c>
      <c r="D5918" s="339">
        <v>1.03</v>
      </c>
    </row>
    <row r="5919" spans="1:4" ht="27">
      <c r="A5919" s="337">
        <v>94927</v>
      </c>
      <c r="B5919" s="338" t="s">
        <v>6653</v>
      </c>
      <c r="C5919" s="337" t="s">
        <v>145</v>
      </c>
      <c r="D5919" s="339">
        <v>0.53</v>
      </c>
    </row>
    <row r="5920" spans="1:4" ht="54">
      <c r="A5920" s="337">
        <v>94928</v>
      </c>
      <c r="B5920" s="338" t="s">
        <v>6654</v>
      </c>
      <c r="C5920" s="337" t="s">
        <v>474</v>
      </c>
      <c r="D5920" s="339">
        <v>1.63</v>
      </c>
    </row>
    <row r="5921" spans="1:4" ht="54">
      <c r="A5921" s="337">
        <v>94929</v>
      </c>
      <c r="B5921" s="338" t="s">
        <v>6655</v>
      </c>
      <c r="C5921" s="337" t="s">
        <v>474</v>
      </c>
      <c r="D5921" s="339">
        <v>2.88</v>
      </c>
    </row>
    <row r="5922" spans="1:4" ht="54">
      <c r="A5922" s="337">
        <v>94930</v>
      </c>
      <c r="B5922" s="338" t="s">
        <v>6656</v>
      </c>
      <c r="C5922" s="337" t="s">
        <v>474</v>
      </c>
      <c r="D5922" s="339">
        <v>0.85</v>
      </c>
    </row>
    <row r="5923" spans="1:4" ht="54">
      <c r="A5923" s="337">
        <v>94931</v>
      </c>
      <c r="B5923" s="338" t="s">
        <v>6657</v>
      </c>
      <c r="C5923" s="337" t="s">
        <v>474</v>
      </c>
      <c r="D5923" s="339">
        <v>1.49</v>
      </c>
    </row>
    <row r="5924" spans="1:4" ht="54">
      <c r="A5924" s="337">
        <v>94932</v>
      </c>
      <c r="B5924" s="338" t="s">
        <v>6658</v>
      </c>
      <c r="C5924" s="337" t="s">
        <v>474</v>
      </c>
      <c r="D5924" s="339">
        <v>3.05</v>
      </c>
    </row>
    <row r="5925" spans="1:4" ht="67.5">
      <c r="A5925" s="337">
        <v>94934</v>
      </c>
      <c r="B5925" s="338" t="s">
        <v>6659</v>
      </c>
      <c r="C5925" s="337" t="s">
        <v>474</v>
      </c>
      <c r="D5925" s="339">
        <v>1.05</v>
      </c>
    </row>
    <row r="5926" spans="1:4" ht="67.5">
      <c r="A5926" s="337">
        <v>94935</v>
      </c>
      <c r="B5926" s="338" t="s">
        <v>6660</v>
      </c>
      <c r="C5926" s="337" t="s">
        <v>474</v>
      </c>
      <c r="D5926" s="339">
        <v>1.65</v>
      </c>
    </row>
    <row r="5927" spans="1:4" ht="67.5">
      <c r="A5927" s="337">
        <v>94936</v>
      </c>
      <c r="B5927" s="338" t="s">
        <v>6661</v>
      </c>
      <c r="C5927" s="337" t="s">
        <v>474</v>
      </c>
      <c r="D5927" s="339">
        <v>2.65</v>
      </c>
    </row>
    <row r="5928" spans="1:4" ht="67.5">
      <c r="A5928" s="337">
        <v>94937</v>
      </c>
      <c r="B5928" s="338" t="s">
        <v>6662</v>
      </c>
      <c r="C5928" s="337" t="s">
        <v>474</v>
      </c>
      <c r="D5928" s="339">
        <v>3.9</v>
      </c>
    </row>
    <row r="5929" spans="1:4" ht="67.5">
      <c r="A5929" s="337">
        <v>94938</v>
      </c>
      <c r="B5929" s="338" t="s">
        <v>6663</v>
      </c>
      <c r="C5929" s="337" t="s">
        <v>474</v>
      </c>
      <c r="D5929" s="339">
        <v>5.16</v>
      </c>
    </row>
    <row r="5930" spans="1:4" ht="27">
      <c r="A5930" s="337">
        <v>94939</v>
      </c>
      <c r="B5930" s="338" t="s">
        <v>6664</v>
      </c>
      <c r="C5930" s="337" t="s">
        <v>145</v>
      </c>
      <c r="D5930" s="339">
        <v>1.61</v>
      </c>
    </row>
    <row r="5931" spans="1:4" ht="27">
      <c r="A5931" s="337">
        <v>94940</v>
      </c>
      <c r="B5931" s="338" t="s">
        <v>6665</v>
      </c>
      <c r="C5931" s="337" t="s">
        <v>145</v>
      </c>
      <c r="D5931" s="339">
        <v>0.83</v>
      </c>
    </row>
    <row r="5932" spans="1:4" ht="27">
      <c r="A5932" s="337">
        <v>94941</v>
      </c>
      <c r="B5932" s="338" t="s">
        <v>6666</v>
      </c>
      <c r="C5932" s="337" t="s">
        <v>283</v>
      </c>
      <c r="D5932" s="339">
        <v>0.05</v>
      </c>
    </row>
    <row r="5933" spans="1:4" ht="27">
      <c r="A5933" s="337">
        <v>94942</v>
      </c>
      <c r="B5933" s="338" t="s">
        <v>6667</v>
      </c>
      <c r="C5933" s="337" t="s">
        <v>145</v>
      </c>
      <c r="D5933" s="339">
        <v>0.65</v>
      </c>
    </row>
    <row r="5934" spans="1:4" ht="40.5">
      <c r="A5934" s="337">
        <v>94943</v>
      </c>
      <c r="B5934" s="338" t="s">
        <v>6668</v>
      </c>
      <c r="C5934" s="337" t="s">
        <v>145</v>
      </c>
      <c r="D5934" s="339">
        <v>0.35</v>
      </c>
    </row>
    <row r="5935" spans="1:4" ht="54">
      <c r="A5935" s="337">
        <v>94944</v>
      </c>
      <c r="B5935" s="338" t="s">
        <v>6669</v>
      </c>
      <c r="C5935" s="337" t="s">
        <v>145</v>
      </c>
      <c r="D5935" s="339">
        <v>0.9</v>
      </c>
    </row>
    <row r="5936" spans="1:4" ht="67.5">
      <c r="A5936" s="337">
        <v>94945</v>
      </c>
      <c r="B5936" s="338" t="s">
        <v>6670</v>
      </c>
      <c r="C5936" s="337" t="s">
        <v>145</v>
      </c>
      <c r="D5936" s="339">
        <v>0.19</v>
      </c>
    </row>
    <row r="5937" spans="1:4" ht="40.5">
      <c r="A5937" s="337">
        <v>94946</v>
      </c>
      <c r="B5937" s="338" t="s">
        <v>6671</v>
      </c>
      <c r="C5937" s="337" t="s">
        <v>474</v>
      </c>
      <c r="D5937" s="339">
        <v>0.91</v>
      </c>
    </row>
    <row r="5938" spans="1:4" ht="40.5">
      <c r="A5938" s="337">
        <v>94947</v>
      </c>
      <c r="B5938" s="338" t="s">
        <v>6672</v>
      </c>
      <c r="C5938" s="337" t="s">
        <v>474</v>
      </c>
      <c r="D5938" s="339">
        <v>0.68</v>
      </c>
    </row>
    <row r="5939" spans="1:4" ht="54">
      <c r="A5939" s="337">
        <v>94948</v>
      </c>
      <c r="B5939" s="338" t="s">
        <v>6673</v>
      </c>
      <c r="C5939" s="337" t="s">
        <v>474</v>
      </c>
      <c r="D5939" s="339">
        <v>0.48</v>
      </c>
    </row>
    <row r="5940" spans="1:4" ht="54">
      <c r="A5940" s="337">
        <v>94949</v>
      </c>
      <c r="B5940" s="338" t="s">
        <v>6674</v>
      </c>
      <c r="C5940" s="337" t="s">
        <v>474</v>
      </c>
      <c r="D5940" s="339">
        <v>0.73</v>
      </c>
    </row>
    <row r="5941" spans="1:4" ht="54">
      <c r="A5941" s="337">
        <v>94950</v>
      </c>
      <c r="B5941" s="338" t="s">
        <v>6675</v>
      </c>
      <c r="C5941" s="337" t="s">
        <v>474</v>
      </c>
      <c r="D5941" s="339">
        <v>1.05</v>
      </c>
    </row>
    <row r="5942" spans="1:4" ht="54">
      <c r="A5942" s="337">
        <v>94951</v>
      </c>
      <c r="B5942" s="338" t="s">
        <v>6676</v>
      </c>
      <c r="C5942" s="337" t="s">
        <v>474</v>
      </c>
      <c r="D5942" s="339">
        <v>1.36</v>
      </c>
    </row>
    <row r="5943" spans="1:4" ht="54">
      <c r="A5943" s="337">
        <v>94952</v>
      </c>
      <c r="B5943" s="338" t="s">
        <v>6677</v>
      </c>
      <c r="C5943" s="337" t="s">
        <v>474</v>
      </c>
      <c r="D5943" s="339">
        <v>0.25</v>
      </c>
    </row>
    <row r="5944" spans="1:4" ht="40.5">
      <c r="A5944" s="337">
        <v>94953</v>
      </c>
      <c r="B5944" s="338" t="s">
        <v>6678</v>
      </c>
      <c r="C5944" s="337" t="s">
        <v>145</v>
      </c>
      <c r="D5944" s="339">
        <v>4.1500000000000004</v>
      </c>
    </row>
    <row r="5945" spans="1:4" ht="40.5">
      <c r="A5945" s="337">
        <v>94954</v>
      </c>
      <c r="B5945" s="338" t="s">
        <v>6679</v>
      </c>
      <c r="C5945" s="337" t="s">
        <v>145</v>
      </c>
      <c r="D5945" s="339">
        <v>0.67</v>
      </c>
    </row>
    <row r="5946" spans="1:4" ht="40.5">
      <c r="A5946" s="337">
        <v>94955</v>
      </c>
      <c r="B5946" s="338" t="s">
        <v>6680</v>
      </c>
      <c r="C5946" s="337" t="s">
        <v>145</v>
      </c>
      <c r="D5946" s="339">
        <v>1</v>
      </c>
    </row>
    <row r="5947" spans="1:4" ht="40.5">
      <c r="A5947" s="337">
        <v>94956</v>
      </c>
      <c r="B5947" s="338" t="s">
        <v>6681</v>
      </c>
      <c r="C5947" s="337" t="s">
        <v>145</v>
      </c>
      <c r="D5947" s="339">
        <v>1.42</v>
      </c>
    </row>
    <row r="5948" spans="1:4" ht="40.5">
      <c r="A5948" s="337">
        <v>94957</v>
      </c>
      <c r="B5948" s="338" t="s">
        <v>6682</v>
      </c>
      <c r="C5948" s="337" t="s">
        <v>145</v>
      </c>
      <c r="D5948" s="339">
        <v>1.84</v>
      </c>
    </row>
    <row r="5949" spans="1:4" ht="40.5">
      <c r="A5949" s="337">
        <v>94958</v>
      </c>
      <c r="B5949" s="338" t="s">
        <v>6683</v>
      </c>
      <c r="C5949" s="337" t="s">
        <v>145</v>
      </c>
      <c r="D5949" s="339">
        <v>0.45</v>
      </c>
    </row>
    <row r="5950" spans="1:4" ht="27">
      <c r="A5950" s="337">
        <v>94959</v>
      </c>
      <c r="B5950" s="338" t="s">
        <v>6684</v>
      </c>
      <c r="C5950" s="337" t="s">
        <v>172</v>
      </c>
      <c r="D5950" s="339">
        <v>1.1399999999999999</v>
      </c>
    </row>
    <row r="5951" spans="1:4" ht="40.5">
      <c r="A5951" s="337">
        <v>94960</v>
      </c>
      <c r="B5951" s="338" t="s">
        <v>6685</v>
      </c>
      <c r="C5951" s="337" t="s">
        <v>172</v>
      </c>
      <c r="D5951" s="339">
        <v>0.94</v>
      </c>
    </row>
    <row r="5952" spans="1:4" ht="27">
      <c r="A5952" s="337">
        <v>94961</v>
      </c>
      <c r="B5952" s="338" t="s">
        <v>6686</v>
      </c>
      <c r="C5952" s="337" t="s">
        <v>172</v>
      </c>
      <c r="D5952" s="339">
        <v>0.42</v>
      </c>
    </row>
    <row r="5953" spans="1:4" ht="13.5">
      <c r="A5953" s="337">
        <v>9537</v>
      </c>
      <c r="B5953" s="338" t="s">
        <v>6687</v>
      </c>
      <c r="C5953" s="337" t="s">
        <v>145</v>
      </c>
      <c r="D5953" s="339">
        <v>2.77</v>
      </c>
    </row>
    <row r="5954" spans="1:4" ht="27">
      <c r="A5954" s="337" t="s">
        <v>6688</v>
      </c>
      <c r="B5954" s="338" t="s">
        <v>6689</v>
      </c>
      <c r="C5954" s="337" t="s">
        <v>145</v>
      </c>
      <c r="D5954" s="339">
        <v>1.51</v>
      </c>
    </row>
    <row r="5955" spans="1:4" ht="27">
      <c r="A5955" s="337" t="s">
        <v>6690</v>
      </c>
      <c r="B5955" s="338" t="s">
        <v>6691</v>
      </c>
      <c r="C5955" s="337" t="s">
        <v>145</v>
      </c>
      <c r="D5955" s="339">
        <v>7.51</v>
      </c>
    </row>
    <row r="5956" spans="1:4" ht="13.5">
      <c r="A5956" s="337" t="s">
        <v>6692</v>
      </c>
      <c r="B5956" s="338" t="s">
        <v>6693</v>
      </c>
      <c r="C5956" s="337" t="s">
        <v>145</v>
      </c>
      <c r="D5956" s="339">
        <v>5.32</v>
      </c>
    </row>
    <row r="5957" spans="1:4" ht="13.5">
      <c r="A5957" s="337" t="s">
        <v>6694</v>
      </c>
      <c r="B5957" s="338" t="s">
        <v>6695</v>
      </c>
      <c r="C5957" s="337" t="s">
        <v>145</v>
      </c>
      <c r="D5957" s="339">
        <v>10.35</v>
      </c>
    </row>
    <row r="5958" spans="1:4" ht="13.5">
      <c r="A5958" s="337" t="s">
        <v>6696</v>
      </c>
      <c r="B5958" s="338" t="s">
        <v>6697</v>
      </c>
      <c r="C5958" s="337" t="s">
        <v>145</v>
      </c>
      <c r="D5958" s="339">
        <v>21.82</v>
      </c>
    </row>
    <row r="5959" spans="1:4" ht="13.5">
      <c r="A5959" s="337" t="s">
        <v>6698</v>
      </c>
      <c r="B5959" s="338" t="s">
        <v>6699</v>
      </c>
      <c r="C5959" s="337" t="s">
        <v>145</v>
      </c>
      <c r="D5959" s="339">
        <v>19.77</v>
      </c>
    </row>
    <row r="5960" spans="1:4" ht="13.5">
      <c r="A5960" s="337" t="s">
        <v>6700</v>
      </c>
      <c r="B5960" s="338" t="s">
        <v>6701</v>
      </c>
      <c r="C5960" s="337" t="s">
        <v>145</v>
      </c>
      <c r="D5960" s="339">
        <v>12.94</v>
      </c>
    </row>
    <row r="5961" spans="1:4" ht="27">
      <c r="A5961" s="337" t="s">
        <v>6702</v>
      </c>
      <c r="B5961" s="338" t="s">
        <v>6703</v>
      </c>
      <c r="C5961" s="337" t="s">
        <v>145</v>
      </c>
      <c r="D5961" s="339">
        <v>3.57</v>
      </c>
    </row>
    <row r="5962" spans="1:4" ht="13.5">
      <c r="A5962" s="337" t="s">
        <v>6704</v>
      </c>
      <c r="B5962" s="338" t="s">
        <v>6705</v>
      </c>
      <c r="C5962" s="337" t="s">
        <v>474</v>
      </c>
      <c r="D5962" s="339">
        <v>22.9</v>
      </c>
    </row>
    <row r="5963" spans="1:4" ht="27">
      <c r="A5963" s="337">
        <v>84117</v>
      </c>
      <c r="B5963" s="338" t="s">
        <v>6706</v>
      </c>
      <c r="C5963" s="337" t="s">
        <v>145</v>
      </c>
      <c r="D5963" s="339">
        <v>18.510000000000002</v>
      </c>
    </row>
    <row r="5964" spans="1:4" ht="27">
      <c r="A5964" s="337">
        <v>84120</v>
      </c>
      <c r="B5964" s="338" t="s">
        <v>6707</v>
      </c>
      <c r="C5964" s="337" t="s">
        <v>145</v>
      </c>
      <c r="D5964" s="339">
        <v>13.15</v>
      </c>
    </row>
    <row r="5965" spans="1:4" ht="27">
      <c r="A5965" s="337">
        <v>84123</v>
      </c>
      <c r="B5965" s="338" t="s">
        <v>6708</v>
      </c>
      <c r="C5965" s="337" t="s">
        <v>145</v>
      </c>
      <c r="D5965" s="339">
        <v>5.08</v>
      </c>
    </row>
    <row r="5966" spans="1:4" ht="27">
      <c r="A5966" s="337">
        <v>84125</v>
      </c>
      <c r="B5966" s="338" t="s">
        <v>6709</v>
      </c>
      <c r="C5966" s="337" t="s">
        <v>145</v>
      </c>
      <c r="D5966" s="339">
        <v>10.02</v>
      </c>
    </row>
    <row r="5967" spans="1:4" ht="27">
      <c r="A5967" s="337" t="s">
        <v>6710</v>
      </c>
      <c r="B5967" s="338" t="s">
        <v>6711</v>
      </c>
      <c r="C5967" s="337" t="s">
        <v>172</v>
      </c>
      <c r="D5967" s="339">
        <v>37.729999999999997</v>
      </c>
    </row>
    <row r="5968" spans="1:4" ht="27">
      <c r="A5968" s="337" t="s">
        <v>6712</v>
      </c>
      <c r="B5968" s="338" t="s">
        <v>6713</v>
      </c>
      <c r="C5968" s="337" t="s">
        <v>172</v>
      </c>
      <c r="D5968" s="339">
        <v>62.16</v>
      </c>
    </row>
    <row r="5969" spans="1:4" ht="27">
      <c r="A5969" s="337">
        <v>84127</v>
      </c>
      <c r="B5969" s="338" t="s">
        <v>6714</v>
      </c>
      <c r="C5969" s="337" t="s">
        <v>172</v>
      </c>
      <c r="D5969" s="339">
        <v>278.12</v>
      </c>
    </row>
    <row r="5970" spans="1:4" ht="13.5">
      <c r="A5970" s="337">
        <v>40841</v>
      </c>
      <c r="B5970" s="338" t="s">
        <v>6715</v>
      </c>
      <c r="C5970" s="337" t="s">
        <v>474</v>
      </c>
      <c r="D5970" s="339">
        <v>99.48</v>
      </c>
    </row>
    <row r="5971" spans="1:4" ht="40.5">
      <c r="A5971" s="337">
        <v>6391</v>
      </c>
      <c r="B5971" s="338" t="s">
        <v>6716</v>
      </c>
      <c r="C5971" s="337" t="s">
        <v>172</v>
      </c>
      <c r="D5971" s="339">
        <v>118.63</v>
      </c>
    </row>
    <row r="5972" spans="1:4" ht="54">
      <c r="A5972" s="337">
        <v>84132</v>
      </c>
      <c r="B5972" s="338" t="s">
        <v>6717</v>
      </c>
      <c r="C5972" s="337" t="s">
        <v>172</v>
      </c>
      <c r="D5972" s="339">
        <v>176.52</v>
      </c>
    </row>
    <row r="5973" spans="1:4" ht="54">
      <c r="A5973" s="337">
        <v>84133</v>
      </c>
      <c r="B5973" s="338" t="s">
        <v>6718</v>
      </c>
      <c r="C5973" s="337" t="s">
        <v>172</v>
      </c>
      <c r="D5973" s="339">
        <v>267.29000000000002</v>
      </c>
    </row>
    <row r="5974" spans="1:4" ht="54">
      <c r="A5974" s="337">
        <v>71516</v>
      </c>
      <c r="B5974" s="338" t="s">
        <v>6719</v>
      </c>
      <c r="C5974" s="337" t="s">
        <v>474</v>
      </c>
      <c r="D5974" s="339">
        <v>551.64</v>
      </c>
    </row>
    <row r="5975" spans="1:4" ht="27">
      <c r="A5975" s="337">
        <v>73361</v>
      </c>
      <c r="B5975" s="338" t="s">
        <v>6720</v>
      </c>
      <c r="C5975" s="337" t="s">
        <v>178</v>
      </c>
      <c r="D5975" s="339">
        <v>352.37</v>
      </c>
    </row>
    <row r="5976" spans="1:4" ht="81">
      <c r="A5976" s="337">
        <v>73714</v>
      </c>
      <c r="B5976" s="338" t="s">
        <v>6721</v>
      </c>
      <c r="C5976" s="337" t="s">
        <v>474</v>
      </c>
      <c r="D5976" s="340">
        <v>1317.41</v>
      </c>
    </row>
    <row r="5977" spans="1:4" ht="40.5">
      <c r="A5977" s="337">
        <v>86957</v>
      </c>
      <c r="B5977" s="338" t="s">
        <v>6722</v>
      </c>
      <c r="C5977" s="337" t="s">
        <v>474</v>
      </c>
      <c r="D5977" s="339">
        <v>31.96</v>
      </c>
    </row>
    <row r="5978" spans="1:4" ht="40.5">
      <c r="A5978" s="337">
        <v>86958</v>
      </c>
      <c r="B5978" s="338" t="s">
        <v>6723</v>
      </c>
      <c r="C5978" s="337" t="s">
        <v>474</v>
      </c>
      <c r="D5978" s="339">
        <v>27.42</v>
      </c>
    </row>
    <row r="5979" spans="1:4" ht="67.5">
      <c r="A5979" s="337">
        <v>97010</v>
      </c>
      <c r="B5979" s="338" t="s">
        <v>6724</v>
      </c>
      <c r="C5979" s="337" t="s">
        <v>172</v>
      </c>
      <c r="D5979" s="339">
        <v>30.95</v>
      </c>
    </row>
    <row r="5980" spans="1:4" ht="67.5">
      <c r="A5980" s="337">
        <v>97011</v>
      </c>
      <c r="B5980" s="338" t="s">
        <v>6725</v>
      </c>
      <c r="C5980" s="337" t="s">
        <v>172</v>
      </c>
      <c r="D5980" s="339">
        <v>24.83</v>
      </c>
    </row>
    <row r="5981" spans="1:4" ht="67.5">
      <c r="A5981" s="337">
        <v>97012</v>
      </c>
      <c r="B5981" s="338" t="s">
        <v>6726</v>
      </c>
      <c r="C5981" s="337" t="s">
        <v>172</v>
      </c>
      <c r="D5981" s="339">
        <v>21.76</v>
      </c>
    </row>
    <row r="5982" spans="1:4" ht="67.5">
      <c r="A5982" s="337">
        <v>97013</v>
      </c>
      <c r="B5982" s="338" t="s">
        <v>6727</v>
      </c>
      <c r="C5982" s="337" t="s">
        <v>172</v>
      </c>
      <c r="D5982" s="339">
        <v>42.88</v>
      </c>
    </row>
    <row r="5983" spans="1:4" ht="67.5">
      <c r="A5983" s="337">
        <v>97014</v>
      </c>
      <c r="B5983" s="338" t="s">
        <v>6728</v>
      </c>
      <c r="C5983" s="337" t="s">
        <v>172</v>
      </c>
      <c r="D5983" s="339">
        <v>32.950000000000003</v>
      </c>
    </row>
    <row r="5984" spans="1:4" ht="67.5">
      <c r="A5984" s="337">
        <v>97015</v>
      </c>
      <c r="B5984" s="338" t="s">
        <v>6729</v>
      </c>
      <c r="C5984" s="337" t="s">
        <v>172</v>
      </c>
      <c r="D5984" s="339">
        <v>27.93</v>
      </c>
    </row>
    <row r="5985" spans="1:4" ht="67.5">
      <c r="A5985" s="337">
        <v>97016</v>
      </c>
      <c r="B5985" s="338" t="s">
        <v>6730</v>
      </c>
      <c r="C5985" s="337" t="s">
        <v>172</v>
      </c>
      <c r="D5985" s="339">
        <v>26.24</v>
      </c>
    </row>
    <row r="5986" spans="1:4" ht="67.5">
      <c r="A5986" s="337">
        <v>97017</v>
      </c>
      <c r="B5986" s="338" t="s">
        <v>6731</v>
      </c>
      <c r="C5986" s="337" t="s">
        <v>172</v>
      </c>
      <c r="D5986" s="339">
        <v>20.420000000000002</v>
      </c>
    </row>
    <row r="5987" spans="1:4" ht="67.5">
      <c r="A5987" s="337">
        <v>97018</v>
      </c>
      <c r="B5987" s="338" t="s">
        <v>6732</v>
      </c>
      <c r="C5987" s="337" t="s">
        <v>172</v>
      </c>
      <c r="D5987" s="339">
        <v>17.39</v>
      </c>
    </row>
    <row r="5988" spans="1:4" ht="108">
      <c r="A5988" s="337">
        <v>97031</v>
      </c>
      <c r="B5988" s="338" t="s">
        <v>6733</v>
      </c>
      <c r="C5988" s="337" t="s">
        <v>172</v>
      </c>
      <c r="D5988" s="339">
        <v>46.78</v>
      </c>
    </row>
    <row r="5989" spans="1:4" ht="94.5">
      <c r="A5989" s="337">
        <v>97032</v>
      </c>
      <c r="B5989" s="338" t="s">
        <v>6734</v>
      </c>
      <c r="C5989" s="337" t="s">
        <v>172</v>
      </c>
      <c r="D5989" s="339">
        <v>30.08</v>
      </c>
    </row>
    <row r="5990" spans="1:4" ht="94.5">
      <c r="A5990" s="337">
        <v>97033</v>
      </c>
      <c r="B5990" s="338" t="s">
        <v>6735</v>
      </c>
      <c r="C5990" s="337" t="s">
        <v>172</v>
      </c>
      <c r="D5990" s="339">
        <v>55.17</v>
      </c>
    </row>
    <row r="5991" spans="1:4" ht="94.5">
      <c r="A5991" s="337">
        <v>97034</v>
      </c>
      <c r="B5991" s="338" t="s">
        <v>6736</v>
      </c>
      <c r="C5991" s="337" t="s">
        <v>172</v>
      </c>
      <c r="D5991" s="339">
        <v>33.65</v>
      </c>
    </row>
    <row r="5992" spans="1:4" ht="40.5">
      <c r="A5992" s="337">
        <v>97039</v>
      </c>
      <c r="B5992" s="338" t="s">
        <v>6737</v>
      </c>
      <c r="C5992" s="337" t="s">
        <v>145</v>
      </c>
      <c r="D5992" s="339">
        <v>25.88</v>
      </c>
    </row>
    <row r="5993" spans="1:4" ht="40.5">
      <c r="A5993" s="337">
        <v>97040</v>
      </c>
      <c r="B5993" s="338" t="s">
        <v>6738</v>
      </c>
      <c r="C5993" s="337" t="s">
        <v>145</v>
      </c>
      <c r="D5993" s="339">
        <v>9.32</v>
      </c>
    </row>
    <row r="5994" spans="1:4" ht="40.5">
      <c r="A5994" s="337">
        <v>97041</v>
      </c>
      <c r="B5994" s="338" t="s">
        <v>6739</v>
      </c>
      <c r="C5994" s="337" t="s">
        <v>145</v>
      </c>
      <c r="D5994" s="339">
        <v>72.58</v>
      </c>
    </row>
    <row r="5995" spans="1:4" ht="27">
      <c r="A5995" s="337">
        <v>97046</v>
      </c>
      <c r="B5995" s="338" t="s">
        <v>6740</v>
      </c>
      <c r="C5995" s="337" t="s">
        <v>145</v>
      </c>
      <c r="D5995" s="339">
        <v>0.21</v>
      </c>
    </row>
    <row r="5996" spans="1:4" ht="40.5">
      <c r="A5996" s="337">
        <v>97047</v>
      </c>
      <c r="B5996" s="338" t="s">
        <v>6741</v>
      </c>
      <c r="C5996" s="337" t="s">
        <v>145</v>
      </c>
      <c r="D5996" s="339">
        <v>0.08</v>
      </c>
    </row>
    <row r="5997" spans="1:4" ht="40.5">
      <c r="A5997" s="337">
        <v>97048</v>
      </c>
      <c r="B5997" s="338" t="s">
        <v>6742</v>
      </c>
      <c r="C5997" s="337" t="s">
        <v>145</v>
      </c>
      <c r="D5997" s="339">
        <v>0.05</v>
      </c>
    </row>
    <row r="5998" spans="1:4" ht="27">
      <c r="A5998" s="337">
        <v>97051</v>
      </c>
      <c r="B5998" s="338" t="s">
        <v>6743</v>
      </c>
      <c r="C5998" s="337" t="s">
        <v>172</v>
      </c>
      <c r="D5998" s="339">
        <v>0.46</v>
      </c>
    </row>
    <row r="5999" spans="1:4" ht="27">
      <c r="A5999" s="337">
        <v>97053</v>
      </c>
      <c r="B5999" s="338" t="s">
        <v>6744</v>
      </c>
      <c r="C5999" s="337" t="s">
        <v>172</v>
      </c>
      <c r="D5999" s="339">
        <v>19.010000000000002</v>
      </c>
    </row>
    <row r="6000" spans="1:4" ht="27">
      <c r="A6000" s="337">
        <v>97062</v>
      </c>
      <c r="B6000" s="338" t="s">
        <v>6745</v>
      </c>
      <c r="C6000" s="337" t="s">
        <v>145</v>
      </c>
      <c r="D6000" s="339">
        <v>4.76</v>
      </c>
    </row>
    <row r="6001" spans="1:4" ht="67.5">
      <c r="A6001" s="337">
        <v>97063</v>
      </c>
      <c r="B6001" s="338" t="s">
        <v>6746</v>
      </c>
      <c r="C6001" s="337" t="s">
        <v>145</v>
      </c>
      <c r="D6001" s="339">
        <v>7.07</v>
      </c>
    </row>
    <row r="6002" spans="1:4" ht="40.5">
      <c r="A6002" s="337">
        <v>97064</v>
      </c>
      <c r="B6002" s="338" t="s">
        <v>6747</v>
      </c>
      <c r="C6002" s="337" t="s">
        <v>172</v>
      </c>
      <c r="D6002" s="339">
        <v>13.53</v>
      </c>
    </row>
    <row r="6003" spans="1:4" ht="40.5">
      <c r="A6003" s="337">
        <v>97065</v>
      </c>
      <c r="B6003" s="338" t="s">
        <v>6748</v>
      </c>
      <c r="C6003" s="337" t="s">
        <v>178</v>
      </c>
      <c r="D6003" s="339">
        <v>5.14</v>
      </c>
    </row>
    <row r="6004" spans="1:4" ht="40.5">
      <c r="A6004" s="337">
        <v>97066</v>
      </c>
      <c r="B6004" s="338" t="s">
        <v>6749</v>
      </c>
      <c r="C6004" s="337" t="s">
        <v>145</v>
      </c>
      <c r="D6004" s="339">
        <v>49.37</v>
      </c>
    </row>
    <row r="6005" spans="1:4" ht="54">
      <c r="A6005" s="337">
        <v>97067</v>
      </c>
      <c r="B6005" s="338" t="s">
        <v>6750</v>
      </c>
      <c r="C6005" s="337" t="s">
        <v>172</v>
      </c>
      <c r="D6005" s="339">
        <v>380.8</v>
      </c>
    </row>
    <row r="6006" spans="1:4" ht="27">
      <c r="A6006" s="337" t="s">
        <v>6751</v>
      </c>
      <c r="B6006" s="338" t="s">
        <v>6752</v>
      </c>
      <c r="C6006" s="337" t="s">
        <v>474</v>
      </c>
      <c r="D6006" s="339">
        <v>171.52</v>
      </c>
    </row>
    <row r="6007" spans="1:4" ht="40.5">
      <c r="A6007" s="337">
        <v>73672</v>
      </c>
      <c r="B6007" s="338" t="s">
        <v>6753</v>
      </c>
      <c r="C6007" s="337" t="s">
        <v>145</v>
      </c>
      <c r="D6007" s="339">
        <v>0.33</v>
      </c>
    </row>
    <row r="6008" spans="1:4" ht="40.5">
      <c r="A6008" s="337" t="s">
        <v>6754</v>
      </c>
      <c r="B6008" s="338" t="s">
        <v>6755</v>
      </c>
      <c r="C6008" s="337" t="s">
        <v>145</v>
      </c>
      <c r="D6008" s="339">
        <v>0.47</v>
      </c>
    </row>
    <row r="6009" spans="1:4" ht="40.5">
      <c r="A6009" s="337" t="s">
        <v>6756</v>
      </c>
      <c r="B6009" s="338" t="s">
        <v>6757</v>
      </c>
      <c r="C6009" s="337" t="s">
        <v>145</v>
      </c>
      <c r="D6009" s="339">
        <v>0.12</v>
      </c>
    </row>
    <row r="6010" spans="1:4" ht="13.5">
      <c r="A6010" s="337" t="s">
        <v>253</v>
      </c>
      <c r="B6010" s="338" t="s">
        <v>6758</v>
      </c>
      <c r="C6010" s="337" t="s">
        <v>145</v>
      </c>
      <c r="D6010" s="339">
        <v>1.1399999999999999</v>
      </c>
    </row>
    <row r="6011" spans="1:4" ht="13.5">
      <c r="A6011" s="337">
        <v>85331</v>
      </c>
      <c r="B6011" s="338" t="s">
        <v>6759</v>
      </c>
      <c r="C6011" s="337" t="s">
        <v>145</v>
      </c>
      <c r="D6011" s="339">
        <v>1.1000000000000001</v>
      </c>
    </row>
    <row r="6012" spans="1:4" ht="27">
      <c r="A6012" s="337">
        <v>85422</v>
      </c>
      <c r="B6012" s="338" t="s">
        <v>6760</v>
      </c>
      <c r="C6012" s="337" t="s">
        <v>145</v>
      </c>
      <c r="D6012" s="339">
        <v>5.72</v>
      </c>
    </row>
    <row r="6013" spans="1:4" ht="40.5">
      <c r="A6013" s="337" t="s">
        <v>40</v>
      </c>
      <c r="B6013" s="338" t="s">
        <v>6761</v>
      </c>
      <c r="C6013" s="337" t="s">
        <v>145</v>
      </c>
      <c r="D6013" s="339">
        <v>47.11</v>
      </c>
    </row>
    <row r="6014" spans="1:4" ht="13.5">
      <c r="A6014" s="337" t="s">
        <v>6762</v>
      </c>
      <c r="B6014" s="338" t="s">
        <v>6763</v>
      </c>
      <c r="C6014" s="337" t="s">
        <v>172</v>
      </c>
      <c r="D6014" s="339">
        <v>2.29</v>
      </c>
    </row>
    <row r="6015" spans="1:4" ht="27">
      <c r="A6015" s="337" t="s">
        <v>6764</v>
      </c>
      <c r="B6015" s="338" t="s">
        <v>6765</v>
      </c>
      <c r="C6015" s="337" t="s">
        <v>145</v>
      </c>
      <c r="D6015" s="339">
        <v>45.03</v>
      </c>
    </row>
    <row r="6016" spans="1:4" ht="27">
      <c r="A6016" s="337" t="s">
        <v>6766</v>
      </c>
      <c r="B6016" s="338" t="s">
        <v>6767</v>
      </c>
      <c r="C6016" s="337" t="s">
        <v>145</v>
      </c>
      <c r="D6016" s="339">
        <v>41.42</v>
      </c>
    </row>
    <row r="6017" spans="1:4" ht="40.5">
      <c r="A6017" s="337">
        <v>84126</v>
      </c>
      <c r="B6017" s="338" t="s">
        <v>6768</v>
      </c>
      <c r="C6017" s="337" t="s">
        <v>145</v>
      </c>
      <c r="D6017" s="339">
        <v>33.18</v>
      </c>
    </row>
    <row r="6018" spans="1:4" ht="13.5">
      <c r="A6018" s="337">
        <v>85421</v>
      </c>
      <c r="B6018" s="338" t="s">
        <v>6769</v>
      </c>
      <c r="C6018" s="337" t="s">
        <v>145</v>
      </c>
      <c r="D6018" s="339">
        <v>11.35</v>
      </c>
    </row>
    <row r="6019" spans="1:4" ht="40.5">
      <c r="A6019" s="337">
        <v>97621</v>
      </c>
      <c r="B6019" s="338" t="s">
        <v>6770</v>
      </c>
      <c r="C6019" s="337" t="s">
        <v>178</v>
      </c>
      <c r="D6019" s="339">
        <v>76.37</v>
      </c>
    </row>
    <row r="6020" spans="1:4" ht="40.5">
      <c r="A6020" s="337">
        <v>97622</v>
      </c>
      <c r="B6020" s="338" t="s">
        <v>6771</v>
      </c>
      <c r="C6020" s="337" t="s">
        <v>178</v>
      </c>
      <c r="D6020" s="339">
        <v>37.22</v>
      </c>
    </row>
    <row r="6021" spans="1:4" ht="40.5">
      <c r="A6021" s="337">
        <v>97623</v>
      </c>
      <c r="B6021" s="338" t="s">
        <v>6772</v>
      </c>
      <c r="C6021" s="337" t="s">
        <v>178</v>
      </c>
      <c r="D6021" s="339">
        <v>114.02</v>
      </c>
    </row>
    <row r="6022" spans="1:4" ht="40.5">
      <c r="A6022" s="337">
        <v>97624</v>
      </c>
      <c r="B6022" s="338" t="s">
        <v>6773</v>
      </c>
      <c r="C6022" s="337" t="s">
        <v>178</v>
      </c>
      <c r="D6022" s="339">
        <v>69.98</v>
      </c>
    </row>
    <row r="6023" spans="1:4" ht="40.5">
      <c r="A6023" s="337">
        <v>97625</v>
      </c>
      <c r="B6023" s="338" t="s">
        <v>6774</v>
      </c>
      <c r="C6023" s="337" t="s">
        <v>178</v>
      </c>
      <c r="D6023" s="339">
        <v>32.17</v>
      </c>
    </row>
    <row r="6024" spans="1:4" ht="40.5">
      <c r="A6024" s="337">
        <v>97626</v>
      </c>
      <c r="B6024" s="338" t="s">
        <v>6775</v>
      </c>
      <c r="C6024" s="337" t="s">
        <v>178</v>
      </c>
      <c r="D6024" s="339">
        <v>386.7</v>
      </c>
    </row>
    <row r="6025" spans="1:4" ht="54">
      <c r="A6025" s="337">
        <v>97627</v>
      </c>
      <c r="B6025" s="338" t="s">
        <v>6776</v>
      </c>
      <c r="C6025" s="337" t="s">
        <v>178</v>
      </c>
      <c r="D6025" s="339">
        <v>169.01</v>
      </c>
    </row>
    <row r="6026" spans="1:4" ht="27">
      <c r="A6026" s="337">
        <v>97628</v>
      </c>
      <c r="B6026" s="338" t="s">
        <v>6777</v>
      </c>
      <c r="C6026" s="337" t="s">
        <v>178</v>
      </c>
      <c r="D6026" s="339">
        <v>183.95</v>
      </c>
    </row>
    <row r="6027" spans="1:4" ht="40.5">
      <c r="A6027" s="337">
        <v>97629</v>
      </c>
      <c r="B6027" s="338" t="s">
        <v>6778</v>
      </c>
      <c r="C6027" s="337" t="s">
        <v>178</v>
      </c>
      <c r="D6027" s="339">
        <v>79.61</v>
      </c>
    </row>
    <row r="6028" spans="1:4" ht="40.5">
      <c r="A6028" s="337">
        <v>97631</v>
      </c>
      <c r="B6028" s="338" t="s">
        <v>6779</v>
      </c>
      <c r="C6028" s="337" t="s">
        <v>145</v>
      </c>
      <c r="D6028" s="339">
        <v>2.15</v>
      </c>
    </row>
    <row r="6029" spans="1:4" ht="40.5">
      <c r="A6029" s="337">
        <v>97632</v>
      </c>
      <c r="B6029" s="338" t="s">
        <v>6780</v>
      </c>
      <c r="C6029" s="337" t="s">
        <v>172</v>
      </c>
      <c r="D6029" s="339">
        <v>1.69</v>
      </c>
    </row>
    <row r="6030" spans="1:4" ht="40.5">
      <c r="A6030" s="337">
        <v>97633</v>
      </c>
      <c r="B6030" s="338" t="s">
        <v>6781</v>
      </c>
      <c r="C6030" s="337" t="s">
        <v>145</v>
      </c>
      <c r="D6030" s="339">
        <v>14.76</v>
      </c>
    </row>
    <row r="6031" spans="1:4" ht="40.5">
      <c r="A6031" s="337">
        <v>97634</v>
      </c>
      <c r="B6031" s="338" t="s">
        <v>6782</v>
      </c>
      <c r="C6031" s="337" t="s">
        <v>145</v>
      </c>
      <c r="D6031" s="339">
        <v>7.78</v>
      </c>
    </row>
    <row r="6032" spans="1:4" ht="40.5">
      <c r="A6032" s="337">
        <v>97635</v>
      </c>
      <c r="B6032" s="338" t="s">
        <v>6783</v>
      </c>
      <c r="C6032" s="337" t="s">
        <v>145</v>
      </c>
      <c r="D6032" s="339">
        <v>10.220000000000001</v>
      </c>
    </row>
    <row r="6033" spans="1:4" ht="40.5">
      <c r="A6033" s="337">
        <v>97636</v>
      </c>
      <c r="B6033" s="338" t="s">
        <v>6784</v>
      </c>
      <c r="C6033" s="337" t="s">
        <v>145</v>
      </c>
      <c r="D6033" s="339">
        <v>9.19</v>
      </c>
    </row>
    <row r="6034" spans="1:4" ht="40.5">
      <c r="A6034" s="337">
        <v>97637</v>
      </c>
      <c r="B6034" s="338" t="s">
        <v>6785</v>
      </c>
      <c r="C6034" s="337" t="s">
        <v>145</v>
      </c>
      <c r="D6034" s="339">
        <v>1.7</v>
      </c>
    </row>
    <row r="6035" spans="1:4" ht="40.5">
      <c r="A6035" s="337">
        <v>97638</v>
      </c>
      <c r="B6035" s="338" t="s">
        <v>6786</v>
      </c>
      <c r="C6035" s="337" t="s">
        <v>145</v>
      </c>
      <c r="D6035" s="339">
        <v>4.96</v>
      </c>
    </row>
    <row r="6036" spans="1:4" ht="40.5">
      <c r="A6036" s="337">
        <v>97639</v>
      </c>
      <c r="B6036" s="338" t="s">
        <v>6787</v>
      </c>
      <c r="C6036" s="337" t="s">
        <v>145</v>
      </c>
      <c r="D6036" s="339">
        <v>12.99</v>
      </c>
    </row>
    <row r="6037" spans="1:4" ht="40.5">
      <c r="A6037" s="337">
        <v>97640</v>
      </c>
      <c r="B6037" s="338" t="s">
        <v>6788</v>
      </c>
      <c r="C6037" s="337" t="s">
        <v>145</v>
      </c>
      <c r="D6037" s="339">
        <v>1.07</v>
      </c>
    </row>
    <row r="6038" spans="1:4" ht="40.5">
      <c r="A6038" s="337">
        <v>97641</v>
      </c>
      <c r="B6038" s="338" t="s">
        <v>6789</v>
      </c>
      <c r="C6038" s="337" t="s">
        <v>145</v>
      </c>
      <c r="D6038" s="339">
        <v>3.24</v>
      </c>
    </row>
    <row r="6039" spans="1:4" ht="40.5">
      <c r="A6039" s="337">
        <v>97642</v>
      </c>
      <c r="B6039" s="338" t="s">
        <v>6790</v>
      </c>
      <c r="C6039" s="337" t="s">
        <v>145</v>
      </c>
      <c r="D6039" s="339">
        <v>1.92</v>
      </c>
    </row>
    <row r="6040" spans="1:4" ht="40.5">
      <c r="A6040" s="337">
        <v>97643</v>
      </c>
      <c r="B6040" s="338" t="s">
        <v>6791</v>
      </c>
      <c r="C6040" s="337" t="s">
        <v>145</v>
      </c>
      <c r="D6040" s="339">
        <v>15.97</v>
      </c>
    </row>
    <row r="6041" spans="1:4" ht="27">
      <c r="A6041" s="337">
        <v>97644</v>
      </c>
      <c r="B6041" s="338" t="s">
        <v>6792</v>
      </c>
      <c r="C6041" s="337" t="s">
        <v>145</v>
      </c>
      <c r="D6041" s="339">
        <v>6</v>
      </c>
    </row>
    <row r="6042" spans="1:4" ht="27">
      <c r="A6042" s="337">
        <v>97645</v>
      </c>
      <c r="B6042" s="338" t="s">
        <v>6793</v>
      </c>
      <c r="C6042" s="337" t="s">
        <v>145</v>
      </c>
      <c r="D6042" s="339">
        <v>17.64</v>
      </c>
    </row>
    <row r="6043" spans="1:4" ht="40.5">
      <c r="A6043" s="337">
        <v>97647</v>
      </c>
      <c r="B6043" s="338" t="s">
        <v>6794</v>
      </c>
      <c r="C6043" s="337" t="s">
        <v>145</v>
      </c>
      <c r="D6043" s="339">
        <v>2.2999999999999998</v>
      </c>
    </row>
    <row r="6044" spans="1:4" ht="40.5">
      <c r="A6044" s="337">
        <v>97648</v>
      </c>
      <c r="B6044" s="338" t="s">
        <v>6795</v>
      </c>
      <c r="C6044" s="337" t="s">
        <v>145</v>
      </c>
      <c r="D6044" s="339">
        <v>1.32</v>
      </c>
    </row>
    <row r="6045" spans="1:4" ht="54">
      <c r="A6045" s="337">
        <v>97649</v>
      </c>
      <c r="B6045" s="338" t="s">
        <v>6796</v>
      </c>
      <c r="C6045" s="337" t="s">
        <v>145</v>
      </c>
      <c r="D6045" s="339">
        <v>2.83</v>
      </c>
    </row>
    <row r="6046" spans="1:4" ht="40.5">
      <c r="A6046" s="337">
        <v>97650</v>
      </c>
      <c r="B6046" s="338" t="s">
        <v>6797</v>
      </c>
      <c r="C6046" s="337" t="s">
        <v>145</v>
      </c>
      <c r="D6046" s="339">
        <v>4.96</v>
      </c>
    </row>
    <row r="6047" spans="1:4" ht="40.5">
      <c r="A6047" s="337">
        <v>97651</v>
      </c>
      <c r="B6047" s="338" t="s">
        <v>6798</v>
      </c>
      <c r="C6047" s="337" t="s">
        <v>474</v>
      </c>
      <c r="D6047" s="339">
        <v>54.92</v>
      </c>
    </row>
    <row r="6048" spans="1:4" ht="40.5">
      <c r="A6048" s="337">
        <v>97652</v>
      </c>
      <c r="B6048" s="338" t="s">
        <v>6799</v>
      </c>
      <c r="C6048" s="337" t="s">
        <v>474</v>
      </c>
      <c r="D6048" s="339">
        <v>124.51</v>
      </c>
    </row>
    <row r="6049" spans="1:4" ht="40.5">
      <c r="A6049" s="337">
        <v>97653</v>
      </c>
      <c r="B6049" s="338" t="s">
        <v>6800</v>
      </c>
      <c r="C6049" s="337" t="s">
        <v>474</v>
      </c>
      <c r="D6049" s="339">
        <v>75.3</v>
      </c>
    </row>
    <row r="6050" spans="1:4" ht="54">
      <c r="A6050" s="337">
        <v>97654</v>
      </c>
      <c r="B6050" s="338" t="s">
        <v>6801</v>
      </c>
      <c r="C6050" s="337" t="s">
        <v>474</v>
      </c>
      <c r="D6050" s="339">
        <v>94.35</v>
      </c>
    </row>
    <row r="6051" spans="1:4" ht="40.5">
      <c r="A6051" s="337">
        <v>97655</v>
      </c>
      <c r="B6051" s="338" t="s">
        <v>6802</v>
      </c>
      <c r="C6051" s="337" t="s">
        <v>145</v>
      </c>
      <c r="D6051" s="339">
        <v>15.36</v>
      </c>
    </row>
    <row r="6052" spans="1:4" ht="40.5">
      <c r="A6052" s="337">
        <v>97656</v>
      </c>
      <c r="B6052" s="338" t="s">
        <v>6803</v>
      </c>
      <c r="C6052" s="337" t="s">
        <v>474</v>
      </c>
      <c r="D6052" s="339">
        <v>151.71</v>
      </c>
    </row>
    <row r="6053" spans="1:4" ht="40.5">
      <c r="A6053" s="337">
        <v>97657</v>
      </c>
      <c r="B6053" s="338" t="s">
        <v>6804</v>
      </c>
      <c r="C6053" s="337" t="s">
        <v>474</v>
      </c>
      <c r="D6053" s="339">
        <v>300.70999999999998</v>
      </c>
    </row>
    <row r="6054" spans="1:4" ht="40.5">
      <c r="A6054" s="337">
        <v>97658</v>
      </c>
      <c r="B6054" s="338" t="s">
        <v>6805</v>
      </c>
      <c r="C6054" s="337" t="s">
        <v>474</v>
      </c>
      <c r="D6054" s="339">
        <v>112.18</v>
      </c>
    </row>
    <row r="6055" spans="1:4" ht="54">
      <c r="A6055" s="337">
        <v>97659</v>
      </c>
      <c r="B6055" s="338" t="s">
        <v>6806</v>
      </c>
      <c r="C6055" s="337" t="s">
        <v>474</v>
      </c>
      <c r="D6055" s="339">
        <v>154.32</v>
      </c>
    </row>
    <row r="6056" spans="1:4" ht="40.5">
      <c r="A6056" s="337">
        <v>97660</v>
      </c>
      <c r="B6056" s="338" t="s">
        <v>6807</v>
      </c>
      <c r="C6056" s="337" t="s">
        <v>474</v>
      </c>
      <c r="D6056" s="339">
        <v>0.43</v>
      </c>
    </row>
    <row r="6057" spans="1:4" ht="40.5">
      <c r="A6057" s="337">
        <v>97661</v>
      </c>
      <c r="B6057" s="338" t="s">
        <v>6808</v>
      </c>
      <c r="C6057" s="337" t="s">
        <v>172</v>
      </c>
      <c r="D6057" s="339">
        <v>0.43</v>
      </c>
    </row>
    <row r="6058" spans="1:4" ht="54">
      <c r="A6058" s="337">
        <v>97662</v>
      </c>
      <c r="B6058" s="338" t="s">
        <v>6809</v>
      </c>
      <c r="C6058" s="337" t="s">
        <v>172</v>
      </c>
      <c r="D6058" s="339">
        <v>0.32</v>
      </c>
    </row>
    <row r="6059" spans="1:4" ht="27">
      <c r="A6059" s="337">
        <v>97663</v>
      </c>
      <c r="B6059" s="338" t="s">
        <v>6810</v>
      </c>
      <c r="C6059" s="337" t="s">
        <v>474</v>
      </c>
      <c r="D6059" s="339">
        <v>8.09</v>
      </c>
    </row>
    <row r="6060" spans="1:4" ht="27">
      <c r="A6060" s="337">
        <v>97664</v>
      </c>
      <c r="B6060" s="338" t="s">
        <v>6811</v>
      </c>
      <c r="C6060" s="337" t="s">
        <v>474</v>
      </c>
      <c r="D6060" s="339">
        <v>1</v>
      </c>
    </row>
    <row r="6061" spans="1:4" ht="27">
      <c r="A6061" s="337">
        <v>97665</v>
      </c>
      <c r="B6061" s="338" t="s">
        <v>6812</v>
      </c>
      <c r="C6061" s="337" t="s">
        <v>474</v>
      </c>
      <c r="D6061" s="339">
        <v>0.84</v>
      </c>
    </row>
    <row r="6062" spans="1:4" ht="40.5">
      <c r="A6062" s="337">
        <v>97666</v>
      </c>
      <c r="B6062" s="338" t="s">
        <v>6813</v>
      </c>
      <c r="C6062" s="337" t="s">
        <v>474</v>
      </c>
      <c r="D6062" s="339">
        <v>5.89</v>
      </c>
    </row>
    <row r="6063" spans="1:4" ht="27">
      <c r="A6063" s="337">
        <v>85423</v>
      </c>
      <c r="B6063" s="338" t="s">
        <v>6814</v>
      </c>
      <c r="C6063" s="337" t="s">
        <v>145</v>
      </c>
      <c r="D6063" s="339">
        <v>6.47</v>
      </c>
    </row>
    <row r="6064" spans="1:4" ht="40.5">
      <c r="A6064" s="337">
        <v>85424</v>
      </c>
      <c r="B6064" s="338" t="s">
        <v>6815</v>
      </c>
      <c r="C6064" s="337" t="s">
        <v>145</v>
      </c>
      <c r="D6064" s="339">
        <v>18.46</v>
      </c>
    </row>
    <row r="6065" spans="1:4" ht="27">
      <c r="A6065" s="337">
        <v>72742</v>
      </c>
      <c r="B6065" s="338" t="s">
        <v>6816</v>
      </c>
      <c r="C6065" s="337" t="s">
        <v>474</v>
      </c>
      <c r="D6065" s="339">
        <v>540.16</v>
      </c>
    </row>
    <row r="6066" spans="1:4" ht="27">
      <c r="A6066" s="337">
        <v>72743</v>
      </c>
      <c r="B6066" s="338" t="s">
        <v>6817</v>
      </c>
      <c r="C6066" s="337" t="s">
        <v>474</v>
      </c>
      <c r="D6066" s="339">
        <v>270.08</v>
      </c>
    </row>
    <row r="6067" spans="1:4" ht="13.5">
      <c r="A6067" s="337" t="s">
        <v>6818</v>
      </c>
      <c r="B6067" s="338" t="s">
        <v>6819</v>
      </c>
      <c r="C6067" s="337" t="s">
        <v>5529</v>
      </c>
      <c r="D6067" s="339">
        <v>30.42</v>
      </c>
    </row>
    <row r="6068" spans="1:4" ht="13.5">
      <c r="A6068" s="337" t="s">
        <v>6820</v>
      </c>
      <c r="B6068" s="338" t="s">
        <v>6821</v>
      </c>
      <c r="C6068" s="337" t="s">
        <v>5529</v>
      </c>
      <c r="D6068" s="339">
        <v>42.3</v>
      </c>
    </row>
    <row r="6069" spans="1:4" ht="13.5">
      <c r="A6069" s="337" t="s">
        <v>6822</v>
      </c>
      <c r="B6069" s="338" t="s">
        <v>6823</v>
      </c>
      <c r="C6069" s="337" t="s">
        <v>178</v>
      </c>
      <c r="D6069" s="339">
        <v>20.04</v>
      </c>
    </row>
    <row r="6070" spans="1:4" ht="27">
      <c r="A6070" s="337" t="s">
        <v>6824</v>
      </c>
      <c r="B6070" s="338" t="s">
        <v>6825</v>
      </c>
      <c r="C6070" s="337" t="s">
        <v>178</v>
      </c>
      <c r="D6070" s="339">
        <v>18.440000000000001</v>
      </c>
    </row>
    <row r="6071" spans="1:4" ht="27">
      <c r="A6071" s="337" t="s">
        <v>6826</v>
      </c>
      <c r="B6071" s="338" t="s">
        <v>6827</v>
      </c>
      <c r="C6071" s="337" t="s">
        <v>178</v>
      </c>
      <c r="D6071" s="339">
        <v>1.59</v>
      </c>
    </row>
    <row r="6072" spans="1:4" ht="13.5">
      <c r="A6072" s="337" t="s">
        <v>6828</v>
      </c>
      <c r="B6072" s="338" t="s">
        <v>6829</v>
      </c>
      <c r="C6072" s="337" t="s">
        <v>145</v>
      </c>
      <c r="D6072" s="339">
        <v>0.73</v>
      </c>
    </row>
    <row r="6073" spans="1:4" ht="13.5">
      <c r="A6073" s="337" t="s">
        <v>6830</v>
      </c>
      <c r="B6073" s="338" t="s">
        <v>6831</v>
      </c>
      <c r="C6073" s="337" t="s">
        <v>178</v>
      </c>
      <c r="D6073" s="339">
        <v>1.33</v>
      </c>
    </row>
    <row r="6074" spans="1:4" ht="27">
      <c r="A6074" s="337" t="s">
        <v>6832</v>
      </c>
      <c r="B6074" s="338" t="s">
        <v>6833</v>
      </c>
      <c r="C6074" s="337" t="s">
        <v>178</v>
      </c>
      <c r="D6074" s="339">
        <v>1.33</v>
      </c>
    </row>
    <row r="6075" spans="1:4" ht="27">
      <c r="A6075" s="337" t="s">
        <v>6834</v>
      </c>
      <c r="B6075" s="338" t="s">
        <v>6835</v>
      </c>
      <c r="C6075" s="337" t="s">
        <v>178</v>
      </c>
      <c r="D6075" s="339">
        <v>1.43</v>
      </c>
    </row>
    <row r="6076" spans="1:4" ht="27">
      <c r="A6076" s="337" t="s">
        <v>6836</v>
      </c>
      <c r="B6076" s="338" t="s">
        <v>6837</v>
      </c>
      <c r="C6076" s="337" t="s">
        <v>178</v>
      </c>
      <c r="D6076" s="339">
        <v>1.33</v>
      </c>
    </row>
    <row r="6077" spans="1:4" ht="13.5">
      <c r="A6077" s="337" t="s">
        <v>6838</v>
      </c>
      <c r="B6077" s="338" t="s">
        <v>6839</v>
      </c>
      <c r="C6077" s="337" t="s">
        <v>178</v>
      </c>
      <c r="D6077" s="339">
        <v>1.46</v>
      </c>
    </row>
    <row r="6078" spans="1:4" ht="27">
      <c r="A6078" s="337" t="s">
        <v>6840</v>
      </c>
      <c r="B6078" s="338" t="s">
        <v>6841</v>
      </c>
      <c r="C6078" s="337" t="s">
        <v>474</v>
      </c>
      <c r="D6078" s="339">
        <v>114.77</v>
      </c>
    </row>
    <row r="6079" spans="1:4" ht="27">
      <c r="A6079" s="337" t="s">
        <v>6842</v>
      </c>
      <c r="B6079" s="338" t="s">
        <v>6843</v>
      </c>
      <c r="C6079" s="337" t="s">
        <v>474</v>
      </c>
      <c r="D6079" s="339">
        <v>148.53</v>
      </c>
    </row>
    <row r="6080" spans="1:4" ht="27">
      <c r="A6080" s="337" t="s">
        <v>6844</v>
      </c>
      <c r="B6080" s="338" t="s">
        <v>6845</v>
      </c>
      <c r="C6080" s="337" t="s">
        <v>474</v>
      </c>
      <c r="D6080" s="339">
        <v>135.04</v>
      </c>
    </row>
    <row r="6081" spans="1:4" ht="27">
      <c r="A6081" s="337" t="s">
        <v>6846</v>
      </c>
      <c r="B6081" s="338" t="s">
        <v>6847</v>
      </c>
      <c r="C6081" s="337" t="s">
        <v>474</v>
      </c>
      <c r="D6081" s="339">
        <v>148.53</v>
      </c>
    </row>
    <row r="6082" spans="1:4" ht="27">
      <c r="A6082" s="337" t="s">
        <v>6848</v>
      </c>
      <c r="B6082" s="338" t="s">
        <v>6849</v>
      </c>
      <c r="C6082" s="337" t="s">
        <v>474</v>
      </c>
      <c r="D6082" s="339">
        <v>118.16</v>
      </c>
    </row>
    <row r="6083" spans="1:4" ht="27">
      <c r="A6083" s="337" t="s">
        <v>6850</v>
      </c>
      <c r="B6083" s="338" t="s">
        <v>6851</v>
      </c>
      <c r="C6083" s="337" t="s">
        <v>474</v>
      </c>
      <c r="D6083" s="339">
        <v>108.02</v>
      </c>
    </row>
    <row r="6084" spans="1:4" ht="27">
      <c r="A6084" s="337" t="s">
        <v>6852</v>
      </c>
      <c r="B6084" s="338" t="s">
        <v>6853</v>
      </c>
      <c r="C6084" s="337" t="s">
        <v>474</v>
      </c>
      <c r="D6084" s="339">
        <v>128.28</v>
      </c>
    </row>
    <row r="6085" spans="1:4" ht="13.5">
      <c r="A6085" s="337" t="s">
        <v>6854</v>
      </c>
      <c r="B6085" s="338" t="s">
        <v>6855</v>
      </c>
      <c r="C6085" s="337" t="s">
        <v>474</v>
      </c>
      <c r="D6085" s="339">
        <v>67.52</v>
      </c>
    </row>
    <row r="6086" spans="1:4" ht="27">
      <c r="A6086" s="337" t="s">
        <v>6856</v>
      </c>
      <c r="B6086" s="338" t="s">
        <v>6857</v>
      </c>
      <c r="C6086" s="337" t="s">
        <v>474</v>
      </c>
      <c r="D6086" s="339">
        <v>60.76</v>
      </c>
    </row>
    <row r="6087" spans="1:4" ht="27">
      <c r="A6087" s="337" t="s">
        <v>6858</v>
      </c>
      <c r="B6087" s="338" t="s">
        <v>6859</v>
      </c>
      <c r="C6087" s="337" t="s">
        <v>474</v>
      </c>
      <c r="D6087" s="339">
        <v>128.28</v>
      </c>
    </row>
    <row r="6088" spans="1:4" ht="40.5">
      <c r="A6088" s="337" t="s">
        <v>6860</v>
      </c>
      <c r="B6088" s="338" t="s">
        <v>6861</v>
      </c>
      <c r="C6088" s="337" t="s">
        <v>474</v>
      </c>
      <c r="D6088" s="339">
        <v>195.8</v>
      </c>
    </row>
    <row r="6089" spans="1:4" ht="40.5">
      <c r="A6089" s="337" t="s">
        <v>6862</v>
      </c>
      <c r="B6089" s="338" t="s">
        <v>6863</v>
      </c>
      <c r="C6089" s="337" t="s">
        <v>474</v>
      </c>
      <c r="D6089" s="339">
        <v>256.57</v>
      </c>
    </row>
    <row r="6090" spans="1:4" ht="27">
      <c r="A6090" s="337" t="s">
        <v>6864</v>
      </c>
      <c r="B6090" s="338" t="s">
        <v>6865</v>
      </c>
      <c r="C6090" s="337" t="s">
        <v>474</v>
      </c>
      <c r="D6090" s="339">
        <v>135.04</v>
      </c>
    </row>
    <row r="6091" spans="1:4" ht="27">
      <c r="A6091" s="337" t="s">
        <v>6866</v>
      </c>
      <c r="B6091" s="338" t="s">
        <v>6867</v>
      </c>
      <c r="C6091" s="337" t="s">
        <v>474</v>
      </c>
      <c r="D6091" s="339">
        <v>47.25</v>
      </c>
    </row>
    <row r="6092" spans="1:4" ht="27">
      <c r="A6092" s="337" t="s">
        <v>6868</v>
      </c>
      <c r="B6092" s="338" t="s">
        <v>6869</v>
      </c>
      <c r="C6092" s="337" t="s">
        <v>474</v>
      </c>
      <c r="D6092" s="339">
        <v>54.01</v>
      </c>
    </row>
    <row r="6093" spans="1:4" ht="13.5">
      <c r="A6093" s="337" t="s">
        <v>6870</v>
      </c>
      <c r="B6093" s="338" t="s">
        <v>6871</v>
      </c>
      <c r="C6093" s="337" t="s">
        <v>474</v>
      </c>
      <c r="D6093" s="339">
        <v>60.76</v>
      </c>
    </row>
    <row r="6094" spans="1:4" ht="27">
      <c r="A6094" s="337" t="s">
        <v>6872</v>
      </c>
      <c r="B6094" s="338" t="s">
        <v>6873</v>
      </c>
      <c r="C6094" s="337" t="s">
        <v>474</v>
      </c>
      <c r="D6094" s="339">
        <v>283.57</v>
      </c>
    </row>
    <row r="6095" spans="1:4" ht="27">
      <c r="A6095" s="337" t="s">
        <v>6874</v>
      </c>
      <c r="B6095" s="338" t="s">
        <v>6875</v>
      </c>
      <c r="C6095" s="337" t="s">
        <v>474</v>
      </c>
      <c r="D6095" s="339">
        <v>74.260000000000005</v>
      </c>
    </row>
    <row r="6096" spans="1:4" ht="40.5">
      <c r="A6096" s="337" t="s">
        <v>6876</v>
      </c>
      <c r="B6096" s="338" t="s">
        <v>6877</v>
      </c>
      <c r="C6096" s="337" t="s">
        <v>474</v>
      </c>
      <c r="D6096" s="339">
        <v>155.29</v>
      </c>
    </row>
    <row r="6097" spans="1:4" ht="40.5">
      <c r="A6097" s="337" t="s">
        <v>6878</v>
      </c>
      <c r="B6097" s="338" t="s">
        <v>6879</v>
      </c>
      <c r="C6097" s="337" t="s">
        <v>474</v>
      </c>
      <c r="D6097" s="339">
        <v>175.54</v>
      </c>
    </row>
    <row r="6098" spans="1:4" ht="40.5">
      <c r="A6098" s="337" t="s">
        <v>6880</v>
      </c>
      <c r="B6098" s="338" t="s">
        <v>6881</v>
      </c>
      <c r="C6098" s="337" t="s">
        <v>474</v>
      </c>
      <c r="D6098" s="339">
        <v>189.05</v>
      </c>
    </row>
    <row r="6099" spans="1:4" ht="27">
      <c r="A6099" s="337" t="s">
        <v>6882</v>
      </c>
      <c r="B6099" s="338" t="s">
        <v>6883</v>
      </c>
      <c r="C6099" s="337" t="s">
        <v>474</v>
      </c>
      <c r="D6099" s="339">
        <v>40.5</v>
      </c>
    </row>
    <row r="6100" spans="1:4" ht="27">
      <c r="A6100" s="337" t="s">
        <v>6884</v>
      </c>
      <c r="B6100" s="338" t="s">
        <v>6885</v>
      </c>
      <c r="C6100" s="337" t="s">
        <v>474</v>
      </c>
      <c r="D6100" s="339">
        <v>40.5</v>
      </c>
    </row>
    <row r="6101" spans="1:4" ht="27">
      <c r="A6101" s="337" t="s">
        <v>6886</v>
      </c>
      <c r="B6101" s="338" t="s">
        <v>6887</v>
      </c>
      <c r="C6101" s="337" t="s">
        <v>474</v>
      </c>
      <c r="D6101" s="339">
        <v>54.01</v>
      </c>
    </row>
    <row r="6102" spans="1:4" ht="27">
      <c r="A6102" s="337" t="s">
        <v>6888</v>
      </c>
      <c r="B6102" s="338" t="s">
        <v>6889</v>
      </c>
      <c r="C6102" s="337" t="s">
        <v>474</v>
      </c>
      <c r="D6102" s="339">
        <v>108.02</v>
      </c>
    </row>
    <row r="6103" spans="1:4" ht="13.5">
      <c r="A6103" s="337" t="s">
        <v>6890</v>
      </c>
      <c r="B6103" s="338" t="s">
        <v>6891</v>
      </c>
      <c r="C6103" s="337" t="s">
        <v>474</v>
      </c>
      <c r="D6103" s="339">
        <v>175.54</v>
      </c>
    </row>
    <row r="6104" spans="1:4" ht="27">
      <c r="A6104" s="337" t="s">
        <v>6892</v>
      </c>
      <c r="B6104" s="338" t="s">
        <v>6893</v>
      </c>
      <c r="C6104" s="337" t="s">
        <v>474</v>
      </c>
      <c r="D6104" s="339">
        <v>47.25</v>
      </c>
    </row>
    <row r="6105" spans="1:4" ht="27">
      <c r="A6105" s="337" t="s">
        <v>6894</v>
      </c>
      <c r="B6105" s="338" t="s">
        <v>6895</v>
      </c>
      <c r="C6105" s="337" t="s">
        <v>474</v>
      </c>
      <c r="D6105" s="339">
        <v>168.8</v>
      </c>
    </row>
    <row r="6106" spans="1:4" ht="13.5">
      <c r="A6106" s="337" t="s">
        <v>6896</v>
      </c>
      <c r="B6106" s="338" t="s">
        <v>6897</v>
      </c>
      <c r="C6106" s="337" t="s">
        <v>474</v>
      </c>
      <c r="D6106" s="339">
        <v>121.53</v>
      </c>
    </row>
    <row r="6107" spans="1:4" ht="27">
      <c r="A6107" s="337" t="s">
        <v>6898</v>
      </c>
      <c r="B6107" s="338" t="s">
        <v>6899</v>
      </c>
      <c r="C6107" s="337" t="s">
        <v>474</v>
      </c>
      <c r="D6107" s="339">
        <v>121.53</v>
      </c>
    </row>
    <row r="6108" spans="1:4" ht="27">
      <c r="A6108" s="337" t="s">
        <v>6900</v>
      </c>
      <c r="B6108" s="338" t="s">
        <v>6901</v>
      </c>
      <c r="C6108" s="337" t="s">
        <v>474</v>
      </c>
      <c r="D6108" s="339">
        <v>121.53</v>
      </c>
    </row>
    <row r="6109" spans="1:4" ht="27">
      <c r="A6109" s="337" t="s">
        <v>6902</v>
      </c>
      <c r="B6109" s="338" t="s">
        <v>6903</v>
      </c>
      <c r="C6109" s="337" t="s">
        <v>474</v>
      </c>
      <c r="D6109" s="339">
        <v>135.04</v>
      </c>
    </row>
    <row r="6110" spans="1:4" ht="13.5">
      <c r="A6110" s="337" t="s">
        <v>6904</v>
      </c>
      <c r="B6110" s="338" t="s">
        <v>6905</v>
      </c>
      <c r="C6110" s="337" t="s">
        <v>474</v>
      </c>
      <c r="D6110" s="339">
        <v>871</v>
      </c>
    </row>
    <row r="6111" spans="1:4" ht="27">
      <c r="A6111" s="337" t="s">
        <v>6906</v>
      </c>
      <c r="B6111" s="338" t="s">
        <v>6907</v>
      </c>
      <c r="C6111" s="337" t="s">
        <v>474</v>
      </c>
      <c r="D6111" s="339">
        <v>182.29</v>
      </c>
    </row>
    <row r="6112" spans="1:4" ht="27">
      <c r="A6112" s="337" t="s">
        <v>6908</v>
      </c>
      <c r="B6112" s="338" t="s">
        <v>6909</v>
      </c>
      <c r="C6112" s="337" t="s">
        <v>474</v>
      </c>
      <c r="D6112" s="339">
        <v>101.28</v>
      </c>
    </row>
    <row r="6113" spans="1:4" ht="27">
      <c r="A6113" s="337" t="s">
        <v>6910</v>
      </c>
      <c r="B6113" s="338" t="s">
        <v>6911</v>
      </c>
      <c r="C6113" s="337" t="s">
        <v>474</v>
      </c>
      <c r="D6113" s="339">
        <v>81.010000000000005</v>
      </c>
    </row>
    <row r="6114" spans="1:4" ht="27">
      <c r="A6114" s="337" t="s">
        <v>6912</v>
      </c>
      <c r="B6114" s="338" t="s">
        <v>6913</v>
      </c>
      <c r="C6114" s="337" t="s">
        <v>474</v>
      </c>
      <c r="D6114" s="339">
        <v>67.52</v>
      </c>
    </row>
    <row r="6115" spans="1:4" ht="13.5">
      <c r="A6115" s="337" t="s">
        <v>6914</v>
      </c>
      <c r="B6115" s="338" t="s">
        <v>6915</v>
      </c>
      <c r="C6115" s="337" t="s">
        <v>474</v>
      </c>
      <c r="D6115" s="339">
        <v>97.89</v>
      </c>
    </row>
    <row r="6116" spans="1:4" ht="27">
      <c r="A6116" s="337" t="s">
        <v>6916</v>
      </c>
      <c r="B6116" s="338" t="s">
        <v>6917</v>
      </c>
      <c r="C6116" s="337" t="s">
        <v>474</v>
      </c>
      <c r="D6116" s="339">
        <v>74.260000000000005</v>
      </c>
    </row>
    <row r="6117" spans="1:4" ht="27">
      <c r="A6117" s="337" t="s">
        <v>6918</v>
      </c>
      <c r="B6117" s="338" t="s">
        <v>6919</v>
      </c>
      <c r="C6117" s="337" t="s">
        <v>474</v>
      </c>
      <c r="D6117" s="339">
        <v>236.32</v>
      </c>
    </row>
    <row r="6118" spans="1:4" ht="27">
      <c r="A6118" s="337" t="s">
        <v>6920</v>
      </c>
      <c r="B6118" s="338" t="s">
        <v>6921</v>
      </c>
      <c r="C6118" s="337" t="s">
        <v>474</v>
      </c>
      <c r="D6118" s="339">
        <v>67.52</v>
      </c>
    </row>
    <row r="6119" spans="1:4" ht="13.5">
      <c r="A6119" s="337" t="s">
        <v>6922</v>
      </c>
      <c r="B6119" s="338" t="s">
        <v>6923</v>
      </c>
      <c r="C6119" s="337" t="s">
        <v>474</v>
      </c>
      <c r="D6119" s="339">
        <v>60.76</v>
      </c>
    </row>
    <row r="6120" spans="1:4" ht="27">
      <c r="A6120" s="337" t="s">
        <v>6924</v>
      </c>
      <c r="B6120" s="338" t="s">
        <v>6925</v>
      </c>
      <c r="C6120" s="337" t="s">
        <v>474</v>
      </c>
      <c r="D6120" s="339">
        <v>67.52</v>
      </c>
    </row>
    <row r="6121" spans="1:4" ht="27">
      <c r="A6121" s="337" t="s">
        <v>6926</v>
      </c>
      <c r="B6121" s="338" t="s">
        <v>6927</v>
      </c>
      <c r="C6121" s="337" t="s">
        <v>474</v>
      </c>
      <c r="D6121" s="339">
        <v>54.01</v>
      </c>
    </row>
    <row r="6122" spans="1:4" ht="27">
      <c r="A6122" s="337" t="s">
        <v>6928</v>
      </c>
      <c r="B6122" s="338" t="s">
        <v>6929</v>
      </c>
      <c r="C6122" s="337" t="s">
        <v>474</v>
      </c>
      <c r="D6122" s="339">
        <v>135.04</v>
      </c>
    </row>
    <row r="6123" spans="1:4" ht="27">
      <c r="A6123" s="337" t="s">
        <v>6930</v>
      </c>
      <c r="B6123" s="338" t="s">
        <v>6931</v>
      </c>
      <c r="C6123" s="337" t="s">
        <v>474</v>
      </c>
      <c r="D6123" s="339">
        <v>67.52</v>
      </c>
    </row>
    <row r="6124" spans="1:4" ht="27">
      <c r="A6124" s="337" t="s">
        <v>6932</v>
      </c>
      <c r="B6124" s="338" t="s">
        <v>6933</v>
      </c>
      <c r="C6124" s="337" t="s">
        <v>474</v>
      </c>
      <c r="D6124" s="339">
        <v>50.64</v>
      </c>
    </row>
    <row r="6125" spans="1:4" ht="27">
      <c r="A6125" s="337" t="s">
        <v>6934</v>
      </c>
      <c r="B6125" s="338" t="s">
        <v>6935</v>
      </c>
      <c r="C6125" s="337" t="s">
        <v>474</v>
      </c>
      <c r="D6125" s="339">
        <v>135.04</v>
      </c>
    </row>
    <row r="6126" spans="1:4" ht="27">
      <c r="A6126" s="337" t="s">
        <v>6936</v>
      </c>
      <c r="B6126" s="338" t="s">
        <v>6937</v>
      </c>
      <c r="C6126" s="337" t="s">
        <v>474</v>
      </c>
      <c r="D6126" s="339">
        <v>33.76</v>
      </c>
    </row>
    <row r="6127" spans="1:4" ht="27">
      <c r="A6127" s="337" t="s">
        <v>6938</v>
      </c>
      <c r="B6127" s="338" t="s">
        <v>6939</v>
      </c>
      <c r="C6127" s="337" t="s">
        <v>474</v>
      </c>
      <c r="D6127" s="339">
        <v>74.260000000000005</v>
      </c>
    </row>
    <row r="6128" spans="1:4" ht="13.5">
      <c r="A6128" s="337" t="s">
        <v>6940</v>
      </c>
      <c r="B6128" s="338" t="s">
        <v>6941</v>
      </c>
      <c r="C6128" s="337" t="s">
        <v>474</v>
      </c>
      <c r="D6128" s="339">
        <v>67.52</v>
      </c>
    </row>
    <row r="6129" spans="1:4" ht="27">
      <c r="A6129" s="337" t="s">
        <v>6942</v>
      </c>
      <c r="B6129" s="338" t="s">
        <v>6943</v>
      </c>
      <c r="C6129" s="337" t="s">
        <v>474</v>
      </c>
      <c r="D6129" s="339">
        <v>60.76</v>
      </c>
    </row>
    <row r="6130" spans="1:4" ht="13.5">
      <c r="A6130" s="337" t="s">
        <v>6944</v>
      </c>
      <c r="B6130" s="338" t="s">
        <v>6945</v>
      </c>
      <c r="C6130" s="337" t="s">
        <v>474</v>
      </c>
      <c r="D6130" s="339">
        <v>60.76</v>
      </c>
    </row>
    <row r="6131" spans="1:4" ht="27">
      <c r="A6131" s="337" t="s">
        <v>6946</v>
      </c>
      <c r="B6131" s="338" t="s">
        <v>6947</v>
      </c>
      <c r="C6131" s="337" t="s">
        <v>474</v>
      </c>
      <c r="D6131" s="339">
        <v>168.8</v>
      </c>
    </row>
    <row r="6132" spans="1:4" ht="27">
      <c r="A6132" s="337" t="s">
        <v>6948</v>
      </c>
      <c r="B6132" s="338" t="s">
        <v>6949</v>
      </c>
      <c r="C6132" s="337" t="s">
        <v>474</v>
      </c>
      <c r="D6132" s="339">
        <v>45.3</v>
      </c>
    </row>
    <row r="6133" spans="1:4" ht="27">
      <c r="A6133" s="337" t="s">
        <v>6950</v>
      </c>
      <c r="B6133" s="338" t="s">
        <v>6951</v>
      </c>
      <c r="C6133" s="337" t="s">
        <v>474</v>
      </c>
      <c r="D6133" s="339">
        <v>45.3</v>
      </c>
    </row>
    <row r="6134" spans="1:4" ht="13.5">
      <c r="A6134" s="337" t="s">
        <v>6952</v>
      </c>
      <c r="B6134" s="338" t="s">
        <v>6953</v>
      </c>
      <c r="C6134" s="337" t="s">
        <v>474</v>
      </c>
      <c r="D6134" s="339">
        <v>45.3</v>
      </c>
    </row>
    <row r="6135" spans="1:4" ht="40.5">
      <c r="A6135" s="337">
        <v>95967</v>
      </c>
      <c r="B6135" s="338" t="s">
        <v>6954</v>
      </c>
      <c r="C6135" s="337" t="s">
        <v>9</v>
      </c>
      <c r="D6135" s="339">
        <v>112.33</v>
      </c>
    </row>
    <row r="6136" spans="1:4" ht="40.5">
      <c r="A6136" s="337">
        <v>72733</v>
      </c>
      <c r="B6136" s="338" t="s">
        <v>6955</v>
      </c>
      <c r="C6136" s="337" t="s">
        <v>474</v>
      </c>
      <c r="D6136" s="339">
        <v>641.44000000000005</v>
      </c>
    </row>
    <row r="6137" spans="1:4" ht="40.5">
      <c r="A6137" s="337">
        <v>72871</v>
      </c>
      <c r="B6137" s="338" t="s">
        <v>6956</v>
      </c>
      <c r="C6137" s="337" t="s">
        <v>474</v>
      </c>
      <c r="D6137" s="339">
        <v>280.88</v>
      </c>
    </row>
    <row r="6138" spans="1:4" ht="40.5">
      <c r="A6138" s="337">
        <v>72872</v>
      </c>
      <c r="B6138" s="338" t="s">
        <v>6957</v>
      </c>
      <c r="C6138" s="337" t="s">
        <v>474</v>
      </c>
      <c r="D6138" s="339">
        <v>461.16</v>
      </c>
    </row>
    <row r="6139" spans="1:4" ht="13.5">
      <c r="A6139" s="337">
        <v>73610</v>
      </c>
      <c r="B6139" s="338" t="s">
        <v>6958</v>
      </c>
      <c r="C6139" s="337" t="s">
        <v>172</v>
      </c>
      <c r="D6139" s="339">
        <v>0.82</v>
      </c>
    </row>
    <row r="6140" spans="1:4" ht="27">
      <c r="A6140" s="337">
        <v>73679</v>
      </c>
      <c r="B6140" s="338" t="s">
        <v>6959</v>
      </c>
      <c r="C6140" s="337" t="s">
        <v>172</v>
      </c>
      <c r="D6140" s="339">
        <v>1.9</v>
      </c>
    </row>
    <row r="6141" spans="1:4" ht="40.5">
      <c r="A6141" s="337">
        <v>73686</v>
      </c>
      <c r="B6141" s="338" t="s">
        <v>6960</v>
      </c>
      <c r="C6141" s="337" t="s">
        <v>145</v>
      </c>
      <c r="D6141" s="339">
        <v>14.08</v>
      </c>
    </row>
    <row r="6142" spans="1:4" ht="54">
      <c r="A6142" s="337" t="s">
        <v>24</v>
      </c>
      <c r="B6142" s="338" t="s">
        <v>6961</v>
      </c>
      <c r="C6142" s="337" t="s">
        <v>145</v>
      </c>
      <c r="D6142" s="339">
        <v>7.48</v>
      </c>
    </row>
    <row r="6143" spans="1:4" ht="54">
      <c r="A6143" s="337" t="s">
        <v>6962</v>
      </c>
      <c r="B6143" s="338" t="s">
        <v>6963</v>
      </c>
      <c r="C6143" s="337" t="s">
        <v>145</v>
      </c>
      <c r="D6143" s="339">
        <v>3.73</v>
      </c>
    </row>
    <row r="6144" spans="1:4" ht="54">
      <c r="A6144" s="337" t="s">
        <v>6964</v>
      </c>
      <c r="B6144" s="338" t="s">
        <v>6965</v>
      </c>
      <c r="C6144" s="337" t="s">
        <v>145</v>
      </c>
      <c r="D6144" s="339">
        <v>4.41</v>
      </c>
    </row>
    <row r="6145" spans="1:4" ht="40.5">
      <c r="A6145" s="337">
        <v>85323</v>
      </c>
      <c r="B6145" s="338" t="s">
        <v>6966</v>
      </c>
      <c r="C6145" s="337" t="s">
        <v>172</v>
      </c>
      <c r="D6145" s="339">
        <v>1.18</v>
      </c>
    </row>
    <row r="6146" spans="1:4" ht="81">
      <c r="A6146" s="337" t="s">
        <v>6967</v>
      </c>
      <c r="B6146" s="338" t="s">
        <v>6968</v>
      </c>
      <c r="C6146" s="337" t="s">
        <v>172</v>
      </c>
      <c r="D6146" s="339">
        <v>1.27</v>
      </c>
    </row>
    <row r="6147" spans="1:4" ht="40.5">
      <c r="A6147" s="337">
        <v>78472</v>
      </c>
      <c r="B6147" s="338" t="s">
        <v>6969</v>
      </c>
      <c r="C6147" s="337" t="s">
        <v>145</v>
      </c>
      <c r="D6147" s="339">
        <v>0.27</v>
      </c>
    </row>
    <row r="6148" spans="1:4" ht="40.5">
      <c r="A6148" s="337">
        <v>93588</v>
      </c>
      <c r="B6148" s="338" t="s">
        <v>6970</v>
      </c>
      <c r="C6148" s="337" t="s">
        <v>193</v>
      </c>
      <c r="D6148" s="339">
        <v>1.52</v>
      </c>
    </row>
    <row r="6149" spans="1:4" ht="40.5">
      <c r="A6149" s="337">
        <v>93589</v>
      </c>
      <c r="B6149" s="338" t="s">
        <v>6971</v>
      </c>
      <c r="C6149" s="337" t="s">
        <v>193</v>
      </c>
      <c r="D6149" s="339">
        <v>1.17</v>
      </c>
    </row>
    <row r="6150" spans="1:4" ht="54">
      <c r="A6150" s="337">
        <v>93590</v>
      </c>
      <c r="B6150" s="338" t="s">
        <v>6972</v>
      </c>
      <c r="C6150" s="337" t="s">
        <v>193</v>
      </c>
      <c r="D6150" s="339">
        <v>0.77</v>
      </c>
    </row>
    <row r="6151" spans="1:4" ht="40.5">
      <c r="A6151" s="337">
        <v>93591</v>
      </c>
      <c r="B6151" s="338" t="s">
        <v>6973</v>
      </c>
      <c r="C6151" s="337" t="s">
        <v>193</v>
      </c>
      <c r="D6151" s="339">
        <v>1.38</v>
      </c>
    </row>
    <row r="6152" spans="1:4" ht="40.5">
      <c r="A6152" s="337">
        <v>93592</v>
      </c>
      <c r="B6152" s="338" t="s">
        <v>6974</v>
      </c>
      <c r="C6152" s="337" t="s">
        <v>193</v>
      </c>
      <c r="D6152" s="339">
        <v>1.05</v>
      </c>
    </row>
    <row r="6153" spans="1:4" ht="54">
      <c r="A6153" s="337">
        <v>93593</v>
      </c>
      <c r="B6153" s="338" t="s">
        <v>6975</v>
      </c>
      <c r="C6153" s="337" t="s">
        <v>193</v>
      </c>
      <c r="D6153" s="339">
        <v>0.7</v>
      </c>
    </row>
    <row r="6154" spans="1:4" ht="40.5">
      <c r="A6154" s="337">
        <v>93594</v>
      </c>
      <c r="B6154" s="338" t="s">
        <v>6976</v>
      </c>
      <c r="C6154" s="337" t="s">
        <v>5525</v>
      </c>
      <c r="D6154" s="339">
        <v>1.01</v>
      </c>
    </row>
    <row r="6155" spans="1:4" ht="40.5">
      <c r="A6155" s="337">
        <v>93595</v>
      </c>
      <c r="B6155" s="338" t="s">
        <v>6977</v>
      </c>
      <c r="C6155" s="337" t="s">
        <v>5525</v>
      </c>
      <c r="D6155" s="339">
        <v>0.77</v>
      </c>
    </row>
    <row r="6156" spans="1:4" ht="54">
      <c r="A6156" s="337">
        <v>93596</v>
      </c>
      <c r="B6156" s="338" t="s">
        <v>6978</v>
      </c>
      <c r="C6156" s="337" t="s">
        <v>5525</v>
      </c>
      <c r="D6156" s="339">
        <v>0.51</v>
      </c>
    </row>
    <row r="6157" spans="1:4" ht="40.5">
      <c r="A6157" s="337">
        <v>93597</v>
      </c>
      <c r="B6157" s="338" t="s">
        <v>6979</v>
      </c>
      <c r="C6157" s="337" t="s">
        <v>5525</v>
      </c>
      <c r="D6157" s="339">
        <v>0.92</v>
      </c>
    </row>
    <row r="6158" spans="1:4" ht="40.5">
      <c r="A6158" s="337">
        <v>93598</v>
      </c>
      <c r="B6158" s="338" t="s">
        <v>6980</v>
      </c>
      <c r="C6158" s="337" t="s">
        <v>5525</v>
      </c>
      <c r="D6158" s="339">
        <v>0.7</v>
      </c>
    </row>
    <row r="6159" spans="1:4" ht="54">
      <c r="A6159" s="337">
        <v>93599</v>
      </c>
      <c r="B6159" s="338" t="s">
        <v>6981</v>
      </c>
      <c r="C6159" s="337" t="s">
        <v>5525</v>
      </c>
      <c r="D6159" s="339">
        <v>0.47</v>
      </c>
    </row>
    <row r="6160" spans="1:4" ht="40.5">
      <c r="A6160" s="337">
        <v>95425</v>
      </c>
      <c r="B6160" s="338" t="s">
        <v>6982</v>
      </c>
      <c r="C6160" s="337" t="s">
        <v>193</v>
      </c>
      <c r="D6160" s="339">
        <v>1.18</v>
      </c>
    </row>
    <row r="6161" spans="1:4" ht="40.5">
      <c r="A6161" s="337">
        <v>95426</v>
      </c>
      <c r="B6161" s="338" t="s">
        <v>6983</v>
      </c>
      <c r="C6161" s="337" t="s">
        <v>193</v>
      </c>
      <c r="D6161" s="339">
        <v>0.91</v>
      </c>
    </row>
    <row r="6162" spans="1:4" ht="54">
      <c r="A6162" s="337">
        <v>95427</v>
      </c>
      <c r="B6162" s="338" t="s">
        <v>6984</v>
      </c>
      <c r="C6162" s="337" t="s">
        <v>193</v>
      </c>
      <c r="D6162" s="339">
        <v>0.6</v>
      </c>
    </row>
    <row r="6163" spans="1:4" ht="40.5">
      <c r="A6163" s="337">
        <v>95428</v>
      </c>
      <c r="B6163" s="338" t="s">
        <v>6985</v>
      </c>
      <c r="C6163" s="337" t="s">
        <v>5525</v>
      </c>
      <c r="D6163" s="339">
        <v>0.79</v>
      </c>
    </row>
    <row r="6164" spans="1:4" ht="40.5">
      <c r="A6164" s="337">
        <v>95429</v>
      </c>
      <c r="B6164" s="338" t="s">
        <v>6986</v>
      </c>
      <c r="C6164" s="337" t="s">
        <v>5525</v>
      </c>
      <c r="D6164" s="339">
        <v>0.6</v>
      </c>
    </row>
    <row r="6165" spans="1:4" ht="54">
      <c r="A6165" s="337">
        <v>95430</v>
      </c>
      <c r="B6165" s="338" t="s">
        <v>6987</v>
      </c>
      <c r="C6165" s="337" t="s">
        <v>5525</v>
      </c>
      <c r="D6165" s="339">
        <v>0.4</v>
      </c>
    </row>
    <row r="6166" spans="1:4" ht="40.5">
      <c r="A6166" s="337">
        <v>95875</v>
      </c>
      <c r="B6166" s="338" t="s">
        <v>6988</v>
      </c>
      <c r="C6166" s="337" t="s">
        <v>193</v>
      </c>
      <c r="D6166" s="339">
        <v>1.0900000000000001</v>
      </c>
    </row>
    <row r="6167" spans="1:4" ht="40.5">
      <c r="A6167" s="337">
        <v>95876</v>
      </c>
      <c r="B6167" s="338" t="s">
        <v>6989</v>
      </c>
      <c r="C6167" s="337" t="s">
        <v>193</v>
      </c>
      <c r="D6167" s="339">
        <v>0.99</v>
      </c>
    </row>
    <row r="6168" spans="1:4" ht="40.5">
      <c r="A6168" s="337">
        <v>95877</v>
      </c>
      <c r="B6168" s="338" t="s">
        <v>6990</v>
      </c>
      <c r="C6168" s="337" t="s">
        <v>193</v>
      </c>
      <c r="D6168" s="339">
        <v>0.85</v>
      </c>
    </row>
    <row r="6169" spans="1:4" ht="40.5">
      <c r="A6169" s="337">
        <v>95878</v>
      </c>
      <c r="B6169" s="338" t="s">
        <v>6991</v>
      </c>
      <c r="C6169" s="337" t="s">
        <v>5525</v>
      </c>
      <c r="D6169" s="339">
        <v>0.73</v>
      </c>
    </row>
    <row r="6170" spans="1:4" ht="40.5">
      <c r="A6170" s="337">
        <v>95879</v>
      </c>
      <c r="B6170" s="338" t="s">
        <v>6992</v>
      </c>
      <c r="C6170" s="337" t="s">
        <v>5525</v>
      </c>
      <c r="D6170" s="339">
        <v>0.65</v>
      </c>
    </row>
    <row r="6171" spans="1:4" ht="40.5">
      <c r="A6171" s="337">
        <v>95880</v>
      </c>
      <c r="B6171" s="338" t="s">
        <v>6993</v>
      </c>
      <c r="C6171" s="337" t="s">
        <v>5525</v>
      </c>
      <c r="D6171" s="339">
        <v>0.56000000000000005</v>
      </c>
    </row>
    <row r="6172" spans="1:4" ht="67.5">
      <c r="A6172" s="337">
        <v>93176</v>
      </c>
      <c r="B6172" s="338" t="s">
        <v>6994</v>
      </c>
      <c r="C6172" s="337" t="s">
        <v>5525</v>
      </c>
      <c r="D6172" s="339">
        <v>0.45</v>
      </c>
    </row>
    <row r="6173" spans="1:4" ht="67.5">
      <c r="A6173" s="337">
        <v>93177</v>
      </c>
      <c r="B6173" s="338" t="s">
        <v>6995</v>
      </c>
      <c r="C6173" s="337" t="s">
        <v>5525</v>
      </c>
      <c r="D6173" s="339">
        <v>1.61</v>
      </c>
    </row>
    <row r="6174" spans="1:4" ht="67.5">
      <c r="A6174" s="337">
        <v>93178</v>
      </c>
      <c r="B6174" s="338" t="s">
        <v>6996</v>
      </c>
      <c r="C6174" s="337" t="s">
        <v>5525</v>
      </c>
      <c r="D6174" s="339">
        <v>0.53</v>
      </c>
    </row>
    <row r="6175" spans="1:4" ht="67.5">
      <c r="A6175" s="337">
        <v>93179</v>
      </c>
      <c r="B6175" s="338" t="s">
        <v>6997</v>
      </c>
      <c r="C6175" s="337" t="s">
        <v>5525</v>
      </c>
      <c r="D6175" s="339">
        <v>1.79</v>
      </c>
    </row>
    <row r="6176" spans="1:4" ht="54">
      <c r="A6176" s="337" t="s">
        <v>6998</v>
      </c>
      <c r="B6176" s="338" t="s">
        <v>6999</v>
      </c>
      <c r="C6176" s="337" t="s">
        <v>172</v>
      </c>
      <c r="D6176" s="339">
        <v>25.98</v>
      </c>
    </row>
    <row r="6177" spans="1:4" ht="67.5">
      <c r="A6177" s="337" t="s">
        <v>7000</v>
      </c>
      <c r="B6177" s="338" t="s">
        <v>7001</v>
      </c>
      <c r="C6177" s="337" t="s">
        <v>172</v>
      </c>
      <c r="D6177" s="339">
        <v>25.98</v>
      </c>
    </row>
    <row r="6178" spans="1:4" ht="40.5">
      <c r="A6178" s="337" t="s">
        <v>7002</v>
      </c>
      <c r="B6178" s="338" t="s">
        <v>7003</v>
      </c>
      <c r="C6178" s="337" t="s">
        <v>172</v>
      </c>
      <c r="D6178" s="339">
        <v>43.88</v>
      </c>
    </row>
    <row r="6179" spans="1:4" ht="54">
      <c r="A6179" s="337" t="s">
        <v>7004</v>
      </c>
      <c r="B6179" s="338" t="s">
        <v>7005</v>
      </c>
      <c r="C6179" s="337" t="s">
        <v>172</v>
      </c>
      <c r="D6179" s="339">
        <v>17.010000000000002</v>
      </c>
    </row>
    <row r="6180" spans="1:4" ht="54">
      <c r="A6180" s="337" t="s">
        <v>7006</v>
      </c>
      <c r="B6180" s="338" t="s">
        <v>7007</v>
      </c>
      <c r="C6180" s="337" t="s">
        <v>172</v>
      </c>
      <c r="D6180" s="339">
        <v>27.85</v>
      </c>
    </row>
    <row r="6181" spans="1:4" ht="54">
      <c r="A6181" s="337" t="s">
        <v>7008</v>
      </c>
      <c r="B6181" s="338" t="s">
        <v>7009</v>
      </c>
      <c r="C6181" s="337" t="s">
        <v>172</v>
      </c>
      <c r="D6181" s="339">
        <v>55.26</v>
      </c>
    </row>
    <row r="6182" spans="1:4" ht="67.5">
      <c r="A6182" s="337" t="s">
        <v>7010</v>
      </c>
      <c r="B6182" s="338" t="s">
        <v>7011</v>
      </c>
      <c r="C6182" s="337" t="s">
        <v>172</v>
      </c>
      <c r="D6182" s="339">
        <v>53.75</v>
      </c>
    </row>
    <row r="6183" spans="1:4" ht="67.5">
      <c r="A6183" s="337" t="s">
        <v>7012</v>
      </c>
      <c r="B6183" s="338" t="s">
        <v>7013</v>
      </c>
      <c r="C6183" s="337" t="s">
        <v>172</v>
      </c>
      <c r="D6183" s="339">
        <v>51.38</v>
      </c>
    </row>
    <row r="6184" spans="1:4" ht="40.5">
      <c r="A6184" s="337">
        <v>85171</v>
      </c>
      <c r="B6184" s="338" t="s">
        <v>7014</v>
      </c>
      <c r="C6184" s="337" t="s">
        <v>172</v>
      </c>
      <c r="D6184" s="339">
        <v>3.66</v>
      </c>
    </row>
    <row r="6185" spans="1:4" ht="81">
      <c r="A6185" s="337" t="s">
        <v>7015</v>
      </c>
      <c r="B6185" s="338" t="s">
        <v>7016</v>
      </c>
      <c r="C6185" s="337" t="s">
        <v>145</v>
      </c>
      <c r="D6185" s="339">
        <v>181.47</v>
      </c>
    </row>
    <row r="6186" spans="1:4" ht="81">
      <c r="A6186" s="337" t="s">
        <v>7017</v>
      </c>
      <c r="B6186" s="338" t="s">
        <v>7018</v>
      </c>
      <c r="C6186" s="337" t="s">
        <v>145</v>
      </c>
      <c r="D6186" s="339">
        <v>110.35</v>
      </c>
    </row>
    <row r="6187" spans="1:4" ht="27">
      <c r="A6187" s="337" t="s">
        <v>7019</v>
      </c>
      <c r="B6187" s="338" t="s">
        <v>7020</v>
      </c>
      <c r="C6187" s="337" t="s">
        <v>474</v>
      </c>
      <c r="D6187" s="339">
        <v>92.98</v>
      </c>
    </row>
    <row r="6188" spans="1:4" ht="27">
      <c r="A6188" s="337">
        <v>98509</v>
      </c>
      <c r="B6188" s="338" t="s">
        <v>7021</v>
      </c>
      <c r="C6188" s="337" t="s">
        <v>474</v>
      </c>
      <c r="D6188" s="339">
        <v>46.42</v>
      </c>
    </row>
    <row r="6189" spans="1:4" ht="40.5">
      <c r="A6189" s="337">
        <v>98510</v>
      </c>
      <c r="B6189" s="338" t="s">
        <v>7022</v>
      </c>
      <c r="C6189" s="337" t="s">
        <v>474</v>
      </c>
      <c r="D6189" s="339">
        <v>66.650000000000006</v>
      </c>
    </row>
    <row r="6190" spans="1:4" ht="40.5">
      <c r="A6190" s="337">
        <v>98511</v>
      </c>
      <c r="B6190" s="338" t="s">
        <v>7023</v>
      </c>
      <c r="C6190" s="337" t="s">
        <v>474</v>
      </c>
      <c r="D6190" s="339">
        <v>128.49</v>
      </c>
    </row>
    <row r="6191" spans="1:4" ht="27">
      <c r="A6191" s="337">
        <v>98516</v>
      </c>
      <c r="B6191" s="338" t="s">
        <v>7024</v>
      </c>
      <c r="C6191" s="337" t="s">
        <v>474</v>
      </c>
      <c r="D6191" s="339">
        <v>259.06</v>
      </c>
    </row>
    <row r="6192" spans="1:4" ht="27">
      <c r="A6192" s="337">
        <v>98519</v>
      </c>
      <c r="B6192" s="338" t="s">
        <v>7025</v>
      </c>
      <c r="C6192" s="337" t="s">
        <v>145</v>
      </c>
      <c r="D6192" s="339">
        <v>1.4</v>
      </c>
    </row>
    <row r="6193" spans="1:4" ht="13.5">
      <c r="A6193" s="337">
        <v>98520</v>
      </c>
      <c r="B6193" s="338" t="s">
        <v>7026</v>
      </c>
      <c r="C6193" s="337" t="s">
        <v>145</v>
      </c>
      <c r="D6193" s="339">
        <v>2.96</v>
      </c>
    </row>
    <row r="6194" spans="1:4" ht="27">
      <c r="A6194" s="337">
        <v>98521</v>
      </c>
      <c r="B6194" s="338" t="s">
        <v>7027</v>
      </c>
      <c r="C6194" s="337" t="s">
        <v>145</v>
      </c>
      <c r="D6194" s="339">
        <v>0.25</v>
      </c>
    </row>
    <row r="6195" spans="1:4" ht="40.5">
      <c r="A6195" s="337">
        <v>98522</v>
      </c>
      <c r="B6195" s="338" t="s">
        <v>7028</v>
      </c>
      <c r="C6195" s="337" t="s">
        <v>172</v>
      </c>
      <c r="D6195" s="339">
        <v>118.28</v>
      </c>
    </row>
    <row r="6196" spans="1:4" ht="27">
      <c r="A6196" s="337">
        <v>98524</v>
      </c>
      <c r="B6196" s="338" t="s">
        <v>7029</v>
      </c>
      <c r="C6196" s="337" t="s">
        <v>145</v>
      </c>
      <c r="D6196" s="339">
        <v>2.2400000000000002</v>
      </c>
    </row>
    <row r="6197" spans="1:4" ht="13.5">
      <c r="A6197" s="337">
        <v>85179</v>
      </c>
      <c r="B6197" s="338" t="s">
        <v>7030</v>
      </c>
      <c r="C6197" s="337" t="s">
        <v>145</v>
      </c>
      <c r="D6197" s="339">
        <v>12.28</v>
      </c>
    </row>
    <row r="6198" spans="1:4" ht="13.5">
      <c r="A6198" s="337">
        <v>85180</v>
      </c>
      <c r="B6198" s="338" t="s">
        <v>7031</v>
      </c>
      <c r="C6198" s="337" t="s">
        <v>145</v>
      </c>
      <c r="D6198" s="339">
        <v>12.28</v>
      </c>
    </row>
    <row r="6199" spans="1:4" ht="27">
      <c r="A6199" s="337">
        <v>98503</v>
      </c>
      <c r="B6199" s="338" t="s">
        <v>7032</v>
      </c>
      <c r="C6199" s="337" t="s">
        <v>145</v>
      </c>
      <c r="D6199" s="339">
        <v>11.74</v>
      </c>
    </row>
    <row r="6200" spans="1:4" ht="13.5">
      <c r="A6200" s="337">
        <v>98504</v>
      </c>
      <c r="B6200" s="338" t="s">
        <v>7033</v>
      </c>
      <c r="C6200" s="337" t="s">
        <v>145</v>
      </c>
      <c r="D6200" s="339">
        <v>7.88</v>
      </c>
    </row>
    <row r="6201" spans="1:4" ht="13.5">
      <c r="A6201" s="337">
        <v>98505</v>
      </c>
      <c r="B6201" s="338" t="s">
        <v>7034</v>
      </c>
      <c r="C6201" s="337" t="s">
        <v>145</v>
      </c>
      <c r="D6201" s="339">
        <v>66.400000000000006</v>
      </c>
    </row>
    <row r="6202" spans="1:4" ht="13.5">
      <c r="A6202" s="337">
        <v>85184</v>
      </c>
      <c r="B6202" s="338" t="s">
        <v>7035</v>
      </c>
      <c r="C6202" s="337" t="s">
        <v>145</v>
      </c>
      <c r="D6202" s="339">
        <v>3.57</v>
      </c>
    </row>
    <row r="6203" spans="1:4" ht="27">
      <c r="A6203" s="337">
        <v>85185</v>
      </c>
      <c r="B6203" s="338" t="s">
        <v>7036</v>
      </c>
      <c r="C6203" s="337" t="s">
        <v>145</v>
      </c>
      <c r="D6203" s="339">
        <v>4.25</v>
      </c>
    </row>
    <row r="6204" spans="1:4" ht="54">
      <c r="A6204" s="337">
        <v>98525</v>
      </c>
      <c r="B6204" s="338" t="s">
        <v>7037</v>
      </c>
      <c r="C6204" s="337" t="s">
        <v>145</v>
      </c>
      <c r="D6204" s="339">
        <v>0.24</v>
      </c>
    </row>
    <row r="6205" spans="1:4" ht="54">
      <c r="A6205" s="337">
        <v>98526</v>
      </c>
      <c r="B6205" s="338" t="s">
        <v>7038</v>
      </c>
      <c r="C6205" s="337" t="s">
        <v>474</v>
      </c>
      <c r="D6205" s="339">
        <v>51.79</v>
      </c>
    </row>
    <row r="6206" spans="1:4" ht="54">
      <c r="A6206" s="337">
        <v>98527</v>
      </c>
      <c r="B6206" s="338" t="s">
        <v>7039</v>
      </c>
      <c r="C6206" s="337" t="s">
        <v>474</v>
      </c>
      <c r="D6206" s="339">
        <v>111.52</v>
      </c>
    </row>
    <row r="6207" spans="1:4" ht="40.5">
      <c r="A6207" s="337">
        <v>98528</v>
      </c>
      <c r="B6207" s="338" t="s">
        <v>7040</v>
      </c>
      <c r="C6207" s="337" t="s">
        <v>474</v>
      </c>
      <c r="D6207" s="339">
        <v>163.07</v>
      </c>
    </row>
    <row r="6208" spans="1:4" ht="40.5">
      <c r="A6208" s="337">
        <v>98529</v>
      </c>
      <c r="B6208" s="338" t="s">
        <v>7041</v>
      </c>
      <c r="C6208" s="337" t="s">
        <v>474</v>
      </c>
      <c r="D6208" s="339">
        <v>48.4</v>
      </c>
    </row>
    <row r="6209" spans="1:4" ht="40.5">
      <c r="A6209" s="337">
        <v>98530</v>
      </c>
      <c r="B6209" s="338" t="s">
        <v>7042</v>
      </c>
      <c r="C6209" s="337" t="s">
        <v>474</v>
      </c>
      <c r="D6209" s="339">
        <v>86.21</v>
      </c>
    </row>
    <row r="6210" spans="1:4" ht="40.5">
      <c r="A6210" s="337">
        <v>98531</v>
      </c>
      <c r="B6210" s="338" t="s">
        <v>7043</v>
      </c>
      <c r="C6210" s="337" t="s">
        <v>474</v>
      </c>
      <c r="D6210" s="339">
        <v>181.28</v>
      </c>
    </row>
    <row r="6211" spans="1:4" ht="27">
      <c r="A6211" s="337">
        <v>98532</v>
      </c>
      <c r="B6211" s="338" t="s">
        <v>7044</v>
      </c>
      <c r="C6211" s="337" t="s">
        <v>474</v>
      </c>
      <c r="D6211" s="339">
        <v>63.85</v>
      </c>
    </row>
    <row r="6212" spans="1:4" ht="40.5">
      <c r="A6212" s="337">
        <v>98533</v>
      </c>
      <c r="B6212" s="338" t="s">
        <v>7045</v>
      </c>
      <c r="C6212" s="337" t="s">
        <v>474</v>
      </c>
      <c r="D6212" s="339">
        <v>174.26</v>
      </c>
    </row>
    <row r="6213" spans="1:4" ht="40.5">
      <c r="A6213" s="337">
        <v>98534</v>
      </c>
      <c r="B6213" s="338" t="s">
        <v>7046</v>
      </c>
      <c r="C6213" s="337" t="s">
        <v>474</v>
      </c>
      <c r="D6213" s="339">
        <v>447.19</v>
      </c>
    </row>
    <row r="6214" spans="1:4" ht="40.5">
      <c r="A6214" s="337">
        <v>98535</v>
      </c>
      <c r="B6214" s="338" t="s">
        <v>7047</v>
      </c>
      <c r="C6214" s="337" t="s">
        <v>474</v>
      </c>
      <c r="D6214" s="339">
        <v>706.56</v>
      </c>
    </row>
    <row r="6215" spans="1:4" ht="27">
      <c r="A6215" s="337">
        <v>88236</v>
      </c>
      <c r="B6215" s="338" t="s">
        <v>7048</v>
      </c>
      <c r="C6215" s="337" t="s">
        <v>9</v>
      </c>
      <c r="D6215" s="339">
        <v>0.44</v>
      </c>
    </row>
    <row r="6216" spans="1:4" ht="13.5">
      <c r="A6216" s="337">
        <v>88237</v>
      </c>
      <c r="B6216" s="338" t="s">
        <v>7049</v>
      </c>
      <c r="C6216" s="337" t="s">
        <v>9</v>
      </c>
      <c r="D6216" s="339">
        <v>1.1299999999999999</v>
      </c>
    </row>
    <row r="6217" spans="1:4" ht="27">
      <c r="A6217" s="337">
        <v>88238</v>
      </c>
      <c r="B6217" s="338" t="s">
        <v>7050</v>
      </c>
      <c r="C6217" s="337" t="s">
        <v>9</v>
      </c>
      <c r="D6217" s="339">
        <v>13.62</v>
      </c>
    </row>
    <row r="6218" spans="1:4" ht="27">
      <c r="A6218" s="337">
        <v>88239</v>
      </c>
      <c r="B6218" s="338" t="s">
        <v>7051</v>
      </c>
      <c r="C6218" s="337" t="s">
        <v>9</v>
      </c>
      <c r="D6218" s="339">
        <v>14.8</v>
      </c>
    </row>
    <row r="6219" spans="1:4" ht="27">
      <c r="A6219" s="337">
        <v>88240</v>
      </c>
      <c r="B6219" s="338" t="s">
        <v>7052</v>
      </c>
      <c r="C6219" s="337" t="s">
        <v>9</v>
      </c>
      <c r="D6219" s="339">
        <v>11.54</v>
      </c>
    </row>
    <row r="6220" spans="1:4" ht="27">
      <c r="A6220" s="337">
        <v>88241</v>
      </c>
      <c r="B6220" s="338" t="s">
        <v>7053</v>
      </c>
      <c r="C6220" s="337" t="s">
        <v>9</v>
      </c>
      <c r="D6220" s="339">
        <v>13.94</v>
      </c>
    </row>
    <row r="6221" spans="1:4" ht="27">
      <c r="A6221" s="337">
        <v>88242</v>
      </c>
      <c r="B6221" s="338" t="s">
        <v>7054</v>
      </c>
      <c r="C6221" s="337" t="s">
        <v>9</v>
      </c>
      <c r="D6221" s="339">
        <v>14.24</v>
      </c>
    </row>
    <row r="6222" spans="1:4" ht="27">
      <c r="A6222" s="337">
        <v>88243</v>
      </c>
      <c r="B6222" s="338" t="s">
        <v>7055</v>
      </c>
      <c r="C6222" s="337" t="s">
        <v>9</v>
      </c>
      <c r="D6222" s="339">
        <v>17.05</v>
      </c>
    </row>
    <row r="6223" spans="1:4" ht="13.5">
      <c r="A6223" s="337">
        <v>88245</v>
      </c>
      <c r="B6223" s="338" t="s">
        <v>7056</v>
      </c>
      <c r="C6223" s="337" t="s">
        <v>9</v>
      </c>
      <c r="D6223" s="339">
        <v>17.5</v>
      </c>
    </row>
    <row r="6224" spans="1:4" ht="27">
      <c r="A6224" s="337">
        <v>88246</v>
      </c>
      <c r="B6224" s="338" t="s">
        <v>7057</v>
      </c>
      <c r="C6224" s="337" t="s">
        <v>9</v>
      </c>
      <c r="D6224" s="339">
        <v>15.84</v>
      </c>
    </row>
    <row r="6225" spans="1:4" ht="27">
      <c r="A6225" s="337">
        <v>88247</v>
      </c>
      <c r="B6225" s="338" t="s">
        <v>7058</v>
      </c>
      <c r="C6225" s="337" t="s">
        <v>9</v>
      </c>
      <c r="D6225" s="339">
        <v>14.19</v>
      </c>
    </row>
    <row r="6226" spans="1:4" ht="27">
      <c r="A6226" s="337">
        <v>88248</v>
      </c>
      <c r="B6226" s="338" t="s">
        <v>7059</v>
      </c>
      <c r="C6226" s="337" t="s">
        <v>9</v>
      </c>
      <c r="D6226" s="339">
        <v>14.12</v>
      </c>
    </row>
    <row r="6227" spans="1:4" ht="27">
      <c r="A6227" s="337">
        <v>88249</v>
      </c>
      <c r="B6227" s="338" t="s">
        <v>7060</v>
      </c>
      <c r="C6227" s="337" t="s">
        <v>9</v>
      </c>
      <c r="D6227" s="339">
        <v>22.22</v>
      </c>
    </row>
    <row r="6228" spans="1:4" ht="27">
      <c r="A6228" s="337">
        <v>88250</v>
      </c>
      <c r="B6228" s="338" t="s">
        <v>7061</v>
      </c>
      <c r="C6228" s="337" t="s">
        <v>9</v>
      </c>
      <c r="D6228" s="339">
        <v>12.99</v>
      </c>
    </row>
    <row r="6229" spans="1:4" ht="27">
      <c r="A6229" s="337">
        <v>88251</v>
      </c>
      <c r="B6229" s="338" t="s">
        <v>7062</v>
      </c>
      <c r="C6229" s="337" t="s">
        <v>9</v>
      </c>
      <c r="D6229" s="339">
        <v>14.26</v>
      </c>
    </row>
    <row r="6230" spans="1:4" ht="27">
      <c r="A6230" s="337">
        <v>88252</v>
      </c>
      <c r="B6230" s="338" t="s">
        <v>7063</v>
      </c>
      <c r="C6230" s="337" t="s">
        <v>9</v>
      </c>
      <c r="D6230" s="339">
        <v>14.95</v>
      </c>
    </row>
    <row r="6231" spans="1:4" ht="27">
      <c r="A6231" s="337">
        <v>88253</v>
      </c>
      <c r="B6231" s="338" t="s">
        <v>7064</v>
      </c>
      <c r="C6231" s="337" t="s">
        <v>9</v>
      </c>
      <c r="D6231" s="339">
        <v>9.91</v>
      </c>
    </row>
    <row r="6232" spans="1:4" ht="27">
      <c r="A6232" s="337">
        <v>88255</v>
      </c>
      <c r="B6232" s="338" t="s">
        <v>7065</v>
      </c>
      <c r="C6232" s="337" t="s">
        <v>9</v>
      </c>
      <c r="D6232" s="339">
        <v>25.34</v>
      </c>
    </row>
    <row r="6233" spans="1:4" ht="27">
      <c r="A6233" s="337">
        <v>88256</v>
      </c>
      <c r="B6233" s="338" t="s">
        <v>7066</v>
      </c>
      <c r="C6233" s="337" t="s">
        <v>9</v>
      </c>
      <c r="D6233" s="339">
        <v>17.54</v>
      </c>
    </row>
    <row r="6234" spans="1:4" ht="27">
      <c r="A6234" s="337">
        <v>88257</v>
      </c>
      <c r="B6234" s="338" t="s">
        <v>7067</v>
      </c>
      <c r="C6234" s="337" t="s">
        <v>9</v>
      </c>
      <c r="D6234" s="339">
        <v>13.86</v>
      </c>
    </row>
    <row r="6235" spans="1:4" ht="27">
      <c r="A6235" s="337">
        <v>88258</v>
      </c>
      <c r="B6235" s="338" t="s">
        <v>7068</v>
      </c>
      <c r="C6235" s="337" t="s">
        <v>9</v>
      </c>
      <c r="D6235" s="339">
        <v>12.7</v>
      </c>
    </row>
    <row r="6236" spans="1:4" ht="27">
      <c r="A6236" s="337">
        <v>88259</v>
      </c>
      <c r="B6236" s="338" t="s">
        <v>7069</v>
      </c>
      <c r="C6236" s="337" t="s">
        <v>9</v>
      </c>
      <c r="D6236" s="339">
        <v>20.329999999999998</v>
      </c>
    </row>
    <row r="6237" spans="1:4" ht="13.5">
      <c r="A6237" s="337">
        <v>88260</v>
      </c>
      <c r="B6237" s="338" t="s">
        <v>7070</v>
      </c>
      <c r="C6237" s="337" t="s">
        <v>9</v>
      </c>
      <c r="D6237" s="339">
        <v>17.350000000000001</v>
      </c>
    </row>
    <row r="6238" spans="1:4" ht="27">
      <c r="A6238" s="337">
        <v>88261</v>
      </c>
      <c r="B6238" s="338" t="s">
        <v>7071</v>
      </c>
      <c r="C6238" s="337" t="s">
        <v>9</v>
      </c>
      <c r="D6238" s="339">
        <v>18.7</v>
      </c>
    </row>
    <row r="6239" spans="1:4" ht="27">
      <c r="A6239" s="337">
        <v>88262</v>
      </c>
      <c r="B6239" s="338" t="s">
        <v>7072</v>
      </c>
      <c r="C6239" s="337" t="s">
        <v>9</v>
      </c>
      <c r="D6239" s="339">
        <v>17.5</v>
      </c>
    </row>
    <row r="6240" spans="1:4" ht="40.5">
      <c r="A6240" s="337">
        <v>88263</v>
      </c>
      <c r="B6240" s="338" t="s">
        <v>7073</v>
      </c>
      <c r="C6240" s="337" t="s">
        <v>9</v>
      </c>
      <c r="D6240" s="339">
        <v>12.57</v>
      </c>
    </row>
    <row r="6241" spans="1:4" ht="13.5">
      <c r="A6241" s="337">
        <v>88264</v>
      </c>
      <c r="B6241" s="338" t="s">
        <v>7074</v>
      </c>
      <c r="C6241" s="337" t="s">
        <v>9</v>
      </c>
      <c r="D6241" s="339">
        <v>18.22</v>
      </c>
    </row>
    <row r="6242" spans="1:4" ht="27">
      <c r="A6242" s="337">
        <v>88265</v>
      </c>
      <c r="B6242" s="338" t="s">
        <v>7075</v>
      </c>
      <c r="C6242" s="337" t="s">
        <v>9</v>
      </c>
      <c r="D6242" s="339">
        <v>18.22</v>
      </c>
    </row>
    <row r="6243" spans="1:4" ht="27">
      <c r="A6243" s="337">
        <v>88266</v>
      </c>
      <c r="B6243" s="338" t="s">
        <v>7076</v>
      </c>
      <c r="C6243" s="337" t="s">
        <v>9</v>
      </c>
      <c r="D6243" s="339">
        <v>18.28</v>
      </c>
    </row>
    <row r="6244" spans="1:4" ht="27">
      <c r="A6244" s="337">
        <v>88267</v>
      </c>
      <c r="B6244" s="338" t="s">
        <v>7077</v>
      </c>
      <c r="C6244" s="337" t="s">
        <v>9</v>
      </c>
      <c r="D6244" s="339">
        <v>18.02</v>
      </c>
    </row>
    <row r="6245" spans="1:4" ht="13.5">
      <c r="A6245" s="337">
        <v>88268</v>
      </c>
      <c r="B6245" s="338" t="s">
        <v>7078</v>
      </c>
      <c r="C6245" s="337" t="s">
        <v>9</v>
      </c>
      <c r="D6245" s="339">
        <v>18.14</v>
      </c>
    </row>
    <row r="6246" spans="1:4" ht="13.5">
      <c r="A6246" s="337">
        <v>88269</v>
      </c>
      <c r="B6246" s="338" t="s">
        <v>7079</v>
      </c>
      <c r="C6246" s="337" t="s">
        <v>9</v>
      </c>
      <c r="D6246" s="339">
        <v>17.5</v>
      </c>
    </row>
    <row r="6247" spans="1:4" ht="27">
      <c r="A6247" s="337">
        <v>88270</v>
      </c>
      <c r="B6247" s="338" t="s">
        <v>7080</v>
      </c>
      <c r="C6247" s="337" t="s">
        <v>9</v>
      </c>
      <c r="D6247" s="339">
        <v>18.37</v>
      </c>
    </row>
    <row r="6248" spans="1:4" ht="27">
      <c r="A6248" s="337">
        <v>88272</v>
      </c>
      <c r="B6248" s="338" t="s">
        <v>7081</v>
      </c>
      <c r="C6248" s="337" t="s">
        <v>9</v>
      </c>
      <c r="D6248" s="339">
        <v>17.72</v>
      </c>
    </row>
    <row r="6249" spans="1:4" ht="13.5">
      <c r="A6249" s="337">
        <v>88273</v>
      </c>
      <c r="B6249" s="338" t="s">
        <v>7082</v>
      </c>
      <c r="C6249" s="337" t="s">
        <v>9</v>
      </c>
      <c r="D6249" s="339">
        <v>17.809999999999999</v>
      </c>
    </row>
    <row r="6250" spans="1:4" ht="27">
      <c r="A6250" s="337">
        <v>88274</v>
      </c>
      <c r="B6250" s="338" t="s">
        <v>7083</v>
      </c>
      <c r="C6250" s="337" t="s">
        <v>9</v>
      </c>
      <c r="D6250" s="339">
        <v>17.829999999999998</v>
      </c>
    </row>
    <row r="6251" spans="1:4" ht="27">
      <c r="A6251" s="337">
        <v>88275</v>
      </c>
      <c r="B6251" s="338" t="s">
        <v>7084</v>
      </c>
      <c r="C6251" s="337" t="s">
        <v>9</v>
      </c>
      <c r="D6251" s="339">
        <v>19.16</v>
      </c>
    </row>
    <row r="6252" spans="1:4" ht="27">
      <c r="A6252" s="337">
        <v>88277</v>
      </c>
      <c r="B6252" s="338" t="s">
        <v>7085</v>
      </c>
      <c r="C6252" s="337" t="s">
        <v>9</v>
      </c>
      <c r="D6252" s="339">
        <v>14.56</v>
      </c>
    </row>
    <row r="6253" spans="1:4" ht="27">
      <c r="A6253" s="337">
        <v>88278</v>
      </c>
      <c r="B6253" s="338" t="s">
        <v>7086</v>
      </c>
      <c r="C6253" s="337" t="s">
        <v>9</v>
      </c>
      <c r="D6253" s="339">
        <v>13.77</v>
      </c>
    </row>
    <row r="6254" spans="1:4" ht="27">
      <c r="A6254" s="337">
        <v>88279</v>
      </c>
      <c r="B6254" s="338" t="s">
        <v>7087</v>
      </c>
      <c r="C6254" s="337" t="s">
        <v>9</v>
      </c>
      <c r="D6254" s="339">
        <v>19.329999999999998</v>
      </c>
    </row>
    <row r="6255" spans="1:4" ht="27">
      <c r="A6255" s="337">
        <v>88281</v>
      </c>
      <c r="B6255" s="338" t="s">
        <v>7088</v>
      </c>
      <c r="C6255" s="337" t="s">
        <v>9</v>
      </c>
      <c r="D6255" s="339">
        <v>13.01</v>
      </c>
    </row>
    <row r="6256" spans="1:4" ht="27">
      <c r="A6256" s="337">
        <v>88282</v>
      </c>
      <c r="B6256" s="338" t="s">
        <v>7089</v>
      </c>
      <c r="C6256" s="337" t="s">
        <v>9</v>
      </c>
      <c r="D6256" s="339">
        <v>13.6</v>
      </c>
    </row>
    <row r="6257" spans="1:4" ht="27">
      <c r="A6257" s="337">
        <v>88283</v>
      </c>
      <c r="B6257" s="338" t="s">
        <v>7090</v>
      </c>
      <c r="C6257" s="337" t="s">
        <v>9</v>
      </c>
      <c r="D6257" s="339">
        <v>17.12</v>
      </c>
    </row>
    <row r="6258" spans="1:4" ht="27">
      <c r="A6258" s="337">
        <v>88284</v>
      </c>
      <c r="B6258" s="338" t="s">
        <v>7091</v>
      </c>
      <c r="C6258" s="337" t="s">
        <v>9</v>
      </c>
      <c r="D6258" s="339">
        <v>12.83</v>
      </c>
    </row>
    <row r="6259" spans="1:4" ht="27">
      <c r="A6259" s="337">
        <v>88285</v>
      </c>
      <c r="B6259" s="338" t="s">
        <v>7092</v>
      </c>
      <c r="C6259" s="337" t="s">
        <v>9</v>
      </c>
      <c r="D6259" s="339">
        <v>14.56</v>
      </c>
    </row>
    <row r="6260" spans="1:4" ht="27">
      <c r="A6260" s="337">
        <v>88286</v>
      </c>
      <c r="B6260" s="338" t="s">
        <v>7093</v>
      </c>
      <c r="C6260" s="337" t="s">
        <v>9</v>
      </c>
      <c r="D6260" s="339">
        <v>15.51</v>
      </c>
    </row>
    <row r="6261" spans="1:4" ht="13.5">
      <c r="A6261" s="337">
        <v>88288</v>
      </c>
      <c r="B6261" s="338" t="s">
        <v>7094</v>
      </c>
      <c r="C6261" s="337" t="s">
        <v>9</v>
      </c>
      <c r="D6261" s="339">
        <v>11.26</v>
      </c>
    </row>
    <row r="6262" spans="1:4" ht="27">
      <c r="A6262" s="337">
        <v>88291</v>
      </c>
      <c r="B6262" s="338" t="s">
        <v>7095</v>
      </c>
      <c r="C6262" s="337" t="s">
        <v>9</v>
      </c>
      <c r="D6262" s="339">
        <v>13.73</v>
      </c>
    </row>
    <row r="6263" spans="1:4" ht="40.5">
      <c r="A6263" s="337">
        <v>88292</v>
      </c>
      <c r="B6263" s="338" t="s">
        <v>7096</v>
      </c>
      <c r="C6263" s="337" t="s">
        <v>9</v>
      </c>
      <c r="D6263" s="339">
        <v>14.22</v>
      </c>
    </row>
    <row r="6264" spans="1:4" ht="27">
      <c r="A6264" s="337">
        <v>88293</v>
      </c>
      <c r="B6264" s="338" t="s">
        <v>7097</v>
      </c>
      <c r="C6264" s="337" t="s">
        <v>9</v>
      </c>
      <c r="D6264" s="339">
        <v>15.91</v>
      </c>
    </row>
    <row r="6265" spans="1:4" ht="27">
      <c r="A6265" s="337">
        <v>88294</v>
      </c>
      <c r="B6265" s="338" t="s">
        <v>7098</v>
      </c>
      <c r="C6265" s="337" t="s">
        <v>9</v>
      </c>
      <c r="D6265" s="339">
        <v>17.059999999999999</v>
      </c>
    </row>
    <row r="6266" spans="1:4" ht="27">
      <c r="A6266" s="337">
        <v>88295</v>
      </c>
      <c r="B6266" s="338" t="s">
        <v>7099</v>
      </c>
      <c r="C6266" s="337" t="s">
        <v>9</v>
      </c>
      <c r="D6266" s="339">
        <v>13.5</v>
      </c>
    </row>
    <row r="6267" spans="1:4" ht="27">
      <c r="A6267" s="337">
        <v>88296</v>
      </c>
      <c r="B6267" s="338" t="s">
        <v>7100</v>
      </c>
      <c r="C6267" s="337" t="s">
        <v>9</v>
      </c>
      <c r="D6267" s="339">
        <v>13.56</v>
      </c>
    </row>
    <row r="6268" spans="1:4" ht="27">
      <c r="A6268" s="337">
        <v>88297</v>
      </c>
      <c r="B6268" s="338" t="s">
        <v>7101</v>
      </c>
      <c r="C6268" s="337" t="s">
        <v>9</v>
      </c>
      <c r="D6268" s="339">
        <v>14.01</v>
      </c>
    </row>
    <row r="6269" spans="1:4" ht="27">
      <c r="A6269" s="337">
        <v>88298</v>
      </c>
      <c r="B6269" s="338" t="s">
        <v>7102</v>
      </c>
      <c r="C6269" s="337" t="s">
        <v>9</v>
      </c>
      <c r="D6269" s="339">
        <v>11.92</v>
      </c>
    </row>
    <row r="6270" spans="1:4" ht="27">
      <c r="A6270" s="337">
        <v>88299</v>
      </c>
      <c r="B6270" s="338" t="s">
        <v>7103</v>
      </c>
      <c r="C6270" s="337" t="s">
        <v>9</v>
      </c>
      <c r="D6270" s="339">
        <v>16.100000000000001</v>
      </c>
    </row>
    <row r="6271" spans="1:4" ht="27">
      <c r="A6271" s="337">
        <v>88300</v>
      </c>
      <c r="B6271" s="338" t="s">
        <v>7104</v>
      </c>
      <c r="C6271" s="337" t="s">
        <v>9</v>
      </c>
      <c r="D6271" s="339">
        <v>18.8</v>
      </c>
    </row>
    <row r="6272" spans="1:4" ht="27">
      <c r="A6272" s="337">
        <v>88301</v>
      </c>
      <c r="B6272" s="338" t="s">
        <v>7105</v>
      </c>
      <c r="C6272" s="337" t="s">
        <v>9</v>
      </c>
      <c r="D6272" s="339">
        <v>14.87</v>
      </c>
    </row>
    <row r="6273" spans="1:4" ht="27">
      <c r="A6273" s="337">
        <v>88302</v>
      </c>
      <c r="B6273" s="338" t="s">
        <v>7106</v>
      </c>
      <c r="C6273" s="337" t="s">
        <v>9</v>
      </c>
      <c r="D6273" s="339">
        <v>16.5</v>
      </c>
    </row>
    <row r="6274" spans="1:4" ht="27">
      <c r="A6274" s="337">
        <v>88303</v>
      </c>
      <c r="B6274" s="338" t="s">
        <v>7107</v>
      </c>
      <c r="C6274" s="337" t="s">
        <v>9</v>
      </c>
      <c r="D6274" s="339">
        <v>13.99</v>
      </c>
    </row>
    <row r="6275" spans="1:4" ht="40.5">
      <c r="A6275" s="337">
        <v>88304</v>
      </c>
      <c r="B6275" s="338" t="s">
        <v>7108</v>
      </c>
      <c r="C6275" s="337" t="s">
        <v>9</v>
      </c>
      <c r="D6275" s="339">
        <v>14.77</v>
      </c>
    </row>
    <row r="6276" spans="1:4" ht="27">
      <c r="A6276" s="337">
        <v>88306</v>
      </c>
      <c r="B6276" s="338" t="s">
        <v>7109</v>
      </c>
      <c r="C6276" s="337" t="s">
        <v>9</v>
      </c>
      <c r="D6276" s="339">
        <v>18.28</v>
      </c>
    </row>
    <row r="6277" spans="1:4" ht="27">
      <c r="A6277" s="337">
        <v>88307</v>
      </c>
      <c r="B6277" s="338" t="s">
        <v>7110</v>
      </c>
      <c r="C6277" s="337" t="s">
        <v>9</v>
      </c>
      <c r="D6277" s="339">
        <v>15.3</v>
      </c>
    </row>
    <row r="6278" spans="1:4" ht="13.5">
      <c r="A6278" s="337">
        <v>88308</v>
      </c>
      <c r="B6278" s="338" t="s">
        <v>7111</v>
      </c>
      <c r="C6278" s="337" t="s">
        <v>9</v>
      </c>
      <c r="D6278" s="339">
        <v>19.66</v>
      </c>
    </row>
    <row r="6279" spans="1:4" ht="13.5">
      <c r="A6279" s="337">
        <v>88309</v>
      </c>
      <c r="B6279" s="338" t="s">
        <v>7112</v>
      </c>
      <c r="C6279" s="337" t="s">
        <v>9</v>
      </c>
      <c r="D6279" s="339">
        <v>17.600000000000001</v>
      </c>
    </row>
    <row r="6280" spans="1:4" ht="13.5">
      <c r="A6280" s="337">
        <v>88310</v>
      </c>
      <c r="B6280" s="338" t="s">
        <v>7113</v>
      </c>
      <c r="C6280" s="337" t="s">
        <v>9</v>
      </c>
      <c r="D6280" s="339">
        <v>17.54</v>
      </c>
    </row>
    <row r="6281" spans="1:4" ht="27">
      <c r="A6281" s="337">
        <v>88311</v>
      </c>
      <c r="B6281" s="338" t="s">
        <v>7114</v>
      </c>
      <c r="C6281" s="337" t="s">
        <v>9</v>
      </c>
      <c r="D6281" s="339">
        <v>19.489999999999998</v>
      </c>
    </row>
    <row r="6282" spans="1:4" ht="27">
      <c r="A6282" s="337">
        <v>88312</v>
      </c>
      <c r="B6282" s="338" t="s">
        <v>7115</v>
      </c>
      <c r="C6282" s="337" t="s">
        <v>9</v>
      </c>
      <c r="D6282" s="339">
        <v>18.5</v>
      </c>
    </row>
    <row r="6283" spans="1:4" ht="13.5">
      <c r="A6283" s="337">
        <v>88313</v>
      </c>
      <c r="B6283" s="338" t="s">
        <v>7116</v>
      </c>
      <c r="C6283" s="337" t="s">
        <v>9</v>
      </c>
      <c r="D6283" s="339">
        <v>13.97</v>
      </c>
    </row>
    <row r="6284" spans="1:4" ht="13.5">
      <c r="A6284" s="337">
        <v>88314</v>
      </c>
      <c r="B6284" s="338" t="s">
        <v>7117</v>
      </c>
      <c r="C6284" s="337" t="s">
        <v>9</v>
      </c>
      <c r="D6284" s="339">
        <v>12.95</v>
      </c>
    </row>
    <row r="6285" spans="1:4" ht="13.5">
      <c r="A6285" s="337">
        <v>88315</v>
      </c>
      <c r="B6285" s="338" t="s">
        <v>7118</v>
      </c>
      <c r="C6285" s="337" t="s">
        <v>9</v>
      </c>
      <c r="D6285" s="339">
        <v>17.5</v>
      </c>
    </row>
    <row r="6286" spans="1:4" ht="13.5">
      <c r="A6286" s="337">
        <v>88316</v>
      </c>
      <c r="B6286" s="338" t="s">
        <v>7119</v>
      </c>
      <c r="C6286" s="337" t="s">
        <v>9</v>
      </c>
      <c r="D6286" s="339">
        <v>14.31</v>
      </c>
    </row>
    <row r="6287" spans="1:4" ht="13.5">
      <c r="A6287" s="337">
        <v>88317</v>
      </c>
      <c r="B6287" s="338" t="s">
        <v>7120</v>
      </c>
      <c r="C6287" s="337" t="s">
        <v>9</v>
      </c>
      <c r="D6287" s="339">
        <v>17.5</v>
      </c>
    </row>
    <row r="6288" spans="1:4" ht="40.5">
      <c r="A6288" s="337">
        <v>88318</v>
      </c>
      <c r="B6288" s="338" t="s">
        <v>7121</v>
      </c>
      <c r="C6288" s="337" t="s">
        <v>9</v>
      </c>
      <c r="D6288" s="339">
        <v>21.85</v>
      </c>
    </row>
    <row r="6289" spans="1:4" ht="27">
      <c r="A6289" s="337">
        <v>88320</v>
      </c>
      <c r="B6289" s="338" t="s">
        <v>7122</v>
      </c>
      <c r="C6289" s="337" t="s">
        <v>9</v>
      </c>
      <c r="D6289" s="339">
        <v>20.399999999999999</v>
      </c>
    </row>
    <row r="6290" spans="1:4" ht="27">
      <c r="A6290" s="337">
        <v>88321</v>
      </c>
      <c r="B6290" s="338" t="s">
        <v>7123</v>
      </c>
      <c r="C6290" s="337" t="s">
        <v>9</v>
      </c>
      <c r="D6290" s="339">
        <v>23.08</v>
      </c>
    </row>
    <row r="6291" spans="1:4" ht="27">
      <c r="A6291" s="337">
        <v>88322</v>
      </c>
      <c r="B6291" s="338" t="s">
        <v>7124</v>
      </c>
      <c r="C6291" s="337" t="s">
        <v>9</v>
      </c>
      <c r="D6291" s="339">
        <v>21.68</v>
      </c>
    </row>
    <row r="6292" spans="1:4" ht="13.5">
      <c r="A6292" s="337">
        <v>88323</v>
      </c>
      <c r="B6292" s="338" t="s">
        <v>7125</v>
      </c>
      <c r="C6292" s="337" t="s">
        <v>9</v>
      </c>
      <c r="D6292" s="339">
        <v>18.66</v>
      </c>
    </row>
    <row r="6293" spans="1:4" ht="13.5">
      <c r="A6293" s="337">
        <v>88324</v>
      </c>
      <c r="B6293" s="338" t="s">
        <v>7126</v>
      </c>
      <c r="C6293" s="337" t="s">
        <v>9</v>
      </c>
      <c r="D6293" s="339">
        <v>14.54</v>
      </c>
    </row>
    <row r="6294" spans="1:4" ht="13.5">
      <c r="A6294" s="337">
        <v>88325</v>
      </c>
      <c r="B6294" s="338" t="s">
        <v>7127</v>
      </c>
      <c r="C6294" s="337" t="s">
        <v>9</v>
      </c>
      <c r="D6294" s="339">
        <v>16.98</v>
      </c>
    </row>
    <row r="6295" spans="1:4" ht="27">
      <c r="A6295" s="337">
        <v>88326</v>
      </c>
      <c r="B6295" s="338" t="s">
        <v>7128</v>
      </c>
      <c r="C6295" s="337" t="s">
        <v>9</v>
      </c>
      <c r="D6295" s="339">
        <v>15.3</v>
      </c>
    </row>
    <row r="6296" spans="1:4" ht="40.5">
      <c r="A6296" s="337">
        <v>88377</v>
      </c>
      <c r="B6296" s="338" t="s">
        <v>7129</v>
      </c>
      <c r="C6296" s="337" t="s">
        <v>9</v>
      </c>
      <c r="D6296" s="339">
        <v>13.39</v>
      </c>
    </row>
    <row r="6297" spans="1:4" ht="13.5">
      <c r="A6297" s="337">
        <v>88441</v>
      </c>
      <c r="B6297" s="338" t="s">
        <v>7130</v>
      </c>
      <c r="C6297" s="337" t="s">
        <v>9</v>
      </c>
      <c r="D6297" s="339">
        <v>17.03</v>
      </c>
    </row>
    <row r="6298" spans="1:4" ht="27">
      <c r="A6298" s="337">
        <v>88597</v>
      </c>
      <c r="B6298" s="338" t="s">
        <v>7131</v>
      </c>
      <c r="C6298" s="337" t="s">
        <v>9</v>
      </c>
      <c r="D6298" s="339">
        <v>22.94</v>
      </c>
    </row>
    <row r="6299" spans="1:4" ht="13.5">
      <c r="A6299" s="337">
        <v>90766</v>
      </c>
      <c r="B6299" s="338" t="s">
        <v>7132</v>
      </c>
      <c r="C6299" s="337" t="s">
        <v>9</v>
      </c>
      <c r="D6299" s="339">
        <v>15.92</v>
      </c>
    </row>
    <row r="6300" spans="1:4" ht="27">
      <c r="A6300" s="337">
        <v>90767</v>
      </c>
      <c r="B6300" s="338" t="s">
        <v>7133</v>
      </c>
      <c r="C6300" s="337" t="s">
        <v>9</v>
      </c>
      <c r="D6300" s="339">
        <v>15.58</v>
      </c>
    </row>
    <row r="6301" spans="1:4" ht="27">
      <c r="A6301" s="337">
        <v>90768</v>
      </c>
      <c r="B6301" s="338" t="s">
        <v>7134</v>
      </c>
      <c r="C6301" s="337" t="s">
        <v>9</v>
      </c>
      <c r="D6301" s="339">
        <v>59.33</v>
      </c>
    </row>
    <row r="6302" spans="1:4" ht="27">
      <c r="A6302" s="337">
        <v>90769</v>
      </c>
      <c r="B6302" s="338" t="s">
        <v>7135</v>
      </c>
      <c r="C6302" s="337" t="s">
        <v>9</v>
      </c>
      <c r="D6302" s="339">
        <v>84.09</v>
      </c>
    </row>
    <row r="6303" spans="1:4" ht="27">
      <c r="A6303" s="337">
        <v>90770</v>
      </c>
      <c r="B6303" s="338" t="s">
        <v>7136</v>
      </c>
      <c r="C6303" s="337" t="s">
        <v>9</v>
      </c>
      <c r="D6303" s="339">
        <v>111.05</v>
      </c>
    </row>
    <row r="6304" spans="1:4" ht="27">
      <c r="A6304" s="337">
        <v>90771</v>
      </c>
      <c r="B6304" s="338" t="s">
        <v>7137</v>
      </c>
      <c r="C6304" s="337" t="s">
        <v>9</v>
      </c>
      <c r="D6304" s="339">
        <v>18.96</v>
      </c>
    </row>
    <row r="6305" spans="1:4" ht="27">
      <c r="A6305" s="337">
        <v>90772</v>
      </c>
      <c r="B6305" s="338" t="s">
        <v>7138</v>
      </c>
      <c r="C6305" s="337" t="s">
        <v>9</v>
      </c>
      <c r="D6305" s="339">
        <v>13.39</v>
      </c>
    </row>
    <row r="6306" spans="1:4" ht="27">
      <c r="A6306" s="337">
        <v>90773</v>
      </c>
      <c r="B6306" s="338" t="s">
        <v>7139</v>
      </c>
      <c r="C6306" s="337" t="s">
        <v>9</v>
      </c>
      <c r="D6306" s="339">
        <v>18.07</v>
      </c>
    </row>
    <row r="6307" spans="1:4" ht="27">
      <c r="A6307" s="337">
        <v>90775</v>
      </c>
      <c r="B6307" s="338" t="s">
        <v>7140</v>
      </c>
      <c r="C6307" s="337" t="s">
        <v>9</v>
      </c>
      <c r="D6307" s="339">
        <v>16.21</v>
      </c>
    </row>
    <row r="6308" spans="1:4" ht="27">
      <c r="A6308" s="337">
        <v>90776</v>
      </c>
      <c r="B6308" s="338" t="s">
        <v>7141</v>
      </c>
      <c r="C6308" s="337" t="s">
        <v>9</v>
      </c>
      <c r="D6308" s="339">
        <v>20.47</v>
      </c>
    </row>
    <row r="6309" spans="1:4" ht="27">
      <c r="A6309" s="337">
        <v>90777</v>
      </c>
      <c r="B6309" s="338" t="s">
        <v>7142</v>
      </c>
      <c r="C6309" s="337" t="s">
        <v>9</v>
      </c>
      <c r="D6309" s="339">
        <v>80.77</v>
      </c>
    </row>
    <row r="6310" spans="1:4" ht="27">
      <c r="A6310" s="337">
        <v>90778</v>
      </c>
      <c r="B6310" s="338" t="s">
        <v>7143</v>
      </c>
      <c r="C6310" s="337" t="s">
        <v>9</v>
      </c>
      <c r="D6310" s="339">
        <v>91.86</v>
      </c>
    </row>
    <row r="6311" spans="1:4" ht="27">
      <c r="A6311" s="337">
        <v>90779</v>
      </c>
      <c r="B6311" s="338" t="s">
        <v>7144</v>
      </c>
      <c r="C6311" s="337" t="s">
        <v>9</v>
      </c>
      <c r="D6311" s="339">
        <v>125.41</v>
      </c>
    </row>
    <row r="6312" spans="1:4" ht="27">
      <c r="A6312" s="337">
        <v>90780</v>
      </c>
      <c r="B6312" s="338" t="s">
        <v>7145</v>
      </c>
      <c r="C6312" s="337" t="s">
        <v>9</v>
      </c>
      <c r="D6312" s="339">
        <v>26.65</v>
      </c>
    </row>
    <row r="6313" spans="1:4" ht="13.5">
      <c r="A6313" s="337">
        <v>90781</v>
      </c>
      <c r="B6313" s="338" t="s">
        <v>7146</v>
      </c>
      <c r="C6313" s="337" t="s">
        <v>9</v>
      </c>
      <c r="D6313" s="339">
        <v>15.95</v>
      </c>
    </row>
    <row r="6314" spans="1:4" ht="27">
      <c r="A6314" s="337">
        <v>91677</v>
      </c>
      <c r="B6314" s="338" t="s">
        <v>7147</v>
      </c>
      <c r="C6314" s="337" t="s">
        <v>9</v>
      </c>
      <c r="D6314" s="339">
        <v>31.79</v>
      </c>
    </row>
    <row r="6315" spans="1:4" ht="27">
      <c r="A6315" s="337">
        <v>91678</v>
      </c>
      <c r="B6315" s="338" t="s">
        <v>7148</v>
      </c>
      <c r="C6315" s="337" t="s">
        <v>9</v>
      </c>
      <c r="D6315" s="339">
        <v>75.41</v>
      </c>
    </row>
    <row r="6316" spans="1:4" ht="27">
      <c r="A6316" s="337">
        <v>93556</v>
      </c>
      <c r="B6316" s="338" t="s">
        <v>7149</v>
      </c>
      <c r="C6316" s="337" t="s">
        <v>737</v>
      </c>
      <c r="D6316" s="339">
        <v>94.14</v>
      </c>
    </row>
    <row r="6317" spans="1:4" ht="27">
      <c r="A6317" s="337">
        <v>93557</v>
      </c>
      <c r="B6317" s="338" t="s">
        <v>7150</v>
      </c>
      <c r="C6317" s="337" t="s">
        <v>737</v>
      </c>
      <c r="D6317" s="339">
        <v>219.51</v>
      </c>
    </row>
    <row r="6318" spans="1:4" ht="27">
      <c r="A6318" s="337">
        <v>93558</v>
      </c>
      <c r="B6318" s="338" t="s">
        <v>7151</v>
      </c>
      <c r="C6318" s="337" t="s">
        <v>737</v>
      </c>
      <c r="D6318" s="340">
        <v>2836.02</v>
      </c>
    </row>
    <row r="6319" spans="1:4" ht="27">
      <c r="A6319" s="337">
        <v>93559</v>
      </c>
      <c r="B6319" s="338" t="s">
        <v>7131</v>
      </c>
      <c r="C6319" s="337" t="s">
        <v>737</v>
      </c>
      <c r="D6319" s="340">
        <v>3335.94</v>
      </c>
    </row>
    <row r="6320" spans="1:4" ht="27">
      <c r="A6320" s="337">
        <v>93560</v>
      </c>
      <c r="B6320" s="338" t="s">
        <v>7139</v>
      </c>
      <c r="C6320" s="337" t="s">
        <v>737</v>
      </c>
      <c r="D6320" s="340">
        <v>2661.88</v>
      </c>
    </row>
    <row r="6321" spans="1:4" ht="27">
      <c r="A6321" s="337">
        <v>93561</v>
      </c>
      <c r="B6321" s="338" t="s">
        <v>7140</v>
      </c>
      <c r="C6321" s="337" t="s">
        <v>737</v>
      </c>
      <c r="D6321" s="340">
        <v>2671.98</v>
      </c>
    </row>
    <row r="6322" spans="1:4" ht="27">
      <c r="A6322" s="337">
        <v>93562</v>
      </c>
      <c r="B6322" s="338" t="s">
        <v>7137</v>
      </c>
      <c r="C6322" s="337" t="s">
        <v>737</v>
      </c>
      <c r="D6322" s="340">
        <v>2784.82</v>
      </c>
    </row>
    <row r="6323" spans="1:4" ht="13.5">
      <c r="A6323" s="337">
        <v>93563</v>
      </c>
      <c r="B6323" s="338" t="s">
        <v>7132</v>
      </c>
      <c r="C6323" s="337" t="s">
        <v>737</v>
      </c>
      <c r="D6323" s="340">
        <v>2846.99</v>
      </c>
    </row>
    <row r="6324" spans="1:4" ht="27">
      <c r="A6324" s="337">
        <v>93564</v>
      </c>
      <c r="B6324" s="338" t="s">
        <v>7133</v>
      </c>
      <c r="C6324" s="337" t="s">
        <v>737</v>
      </c>
      <c r="D6324" s="340">
        <v>2783.4</v>
      </c>
    </row>
    <row r="6325" spans="1:4" ht="27">
      <c r="A6325" s="337">
        <v>93565</v>
      </c>
      <c r="B6325" s="338" t="s">
        <v>7142</v>
      </c>
      <c r="C6325" s="337" t="s">
        <v>737</v>
      </c>
      <c r="D6325" s="340">
        <v>14206.41</v>
      </c>
    </row>
    <row r="6326" spans="1:4" ht="27">
      <c r="A6326" s="337">
        <v>93566</v>
      </c>
      <c r="B6326" s="338" t="s">
        <v>7138</v>
      </c>
      <c r="C6326" s="337" t="s">
        <v>737</v>
      </c>
      <c r="D6326" s="340">
        <v>2401.37</v>
      </c>
    </row>
    <row r="6327" spans="1:4" ht="27">
      <c r="A6327" s="337">
        <v>93567</v>
      </c>
      <c r="B6327" s="338" t="s">
        <v>7143</v>
      </c>
      <c r="C6327" s="337" t="s">
        <v>737</v>
      </c>
      <c r="D6327" s="340">
        <v>16158.18</v>
      </c>
    </row>
    <row r="6328" spans="1:4" ht="27">
      <c r="A6328" s="337">
        <v>93568</v>
      </c>
      <c r="B6328" s="338" t="s">
        <v>7144</v>
      </c>
      <c r="C6328" s="337" t="s">
        <v>737</v>
      </c>
      <c r="D6328" s="340">
        <v>22056.92</v>
      </c>
    </row>
    <row r="6329" spans="1:4" ht="27">
      <c r="A6329" s="337">
        <v>93569</v>
      </c>
      <c r="B6329" s="338" t="s">
        <v>7152</v>
      </c>
      <c r="C6329" s="337" t="s">
        <v>737</v>
      </c>
      <c r="D6329" s="340">
        <v>10452.39</v>
      </c>
    </row>
    <row r="6330" spans="1:4" ht="27">
      <c r="A6330" s="337">
        <v>93570</v>
      </c>
      <c r="B6330" s="338" t="s">
        <v>7153</v>
      </c>
      <c r="C6330" s="337" t="s">
        <v>737</v>
      </c>
      <c r="D6330" s="340">
        <v>14811.39</v>
      </c>
    </row>
    <row r="6331" spans="1:4" ht="27">
      <c r="A6331" s="337">
        <v>93571</v>
      </c>
      <c r="B6331" s="338" t="s">
        <v>7154</v>
      </c>
      <c r="C6331" s="337" t="s">
        <v>737</v>
      </c>
      <c r="D6331" s="340">
        <v>19554.88</v>
      </c>
    </row>
    <row r="6332" spans="1:4" ht="27">
      <c r="A6332" s="337">
        <v>93572</v>
      </c>
      <c r="B6332" s="338" t="s">
        <v>7155</v>
      </c>
      <c r="C6332" s="337" t="s">
        <v>737</v>
      </c>
      <c r="D6332" s="340">
        <v>3637.81</v>
      </c>
    </row>
    <row r="6333" spans="1:4" ht="27">
      <c r="A6333" s="337">
        <v>94295</v>
      </c>
      <c r="B6333" s="338" t="s">
        <v>7145</v>
      </c>
      <c r="C6333" s="337" t="s">
        <v>737</v>
      </c>
      <c r="D6333" s="340">
        <v>4689.42</v>
      </c>
    </row>
    <row r="6334" spans="1:4" ht="13.5">
      <c r="A6334" s="337">
        <v>94296</v>
      </c>
      <c r="B6334" s="338" t="s">
        <v>7146</v>
      </c>
      <c r="C6334" s="337" t="s">
        <v>737</v>
      </c>
      <c r="D6334" s="340">
        <v>2960.05</v>
      </c>
    </row>
    <row r="6335" spans="1:4" ht="40.5">
      <c r="A6335" s="337">
        <v>95308</v>
      </c>
      <c r="B6335" s="338" t="s">
        <v>7156</v>
      </c>
      <c r="C6335" s="337" t="s">
        <v>9</v>
      </c>
      <c r="D6335" s="339">
        <v>0.08</v>
      </c>
    </row>
    <row r="6336" spans="1:4" ht="40.5">
      <c r="A6336" s="337">
        <v>95309</v>
      </c>
      <c r="B6336" s="338" t="s">
        <v>7157</v>
      </c>
      <c r="C6336" s="337" t="s">
        <v>9</v>
      </c>
      <c r="D6336" s="339">
        <v>0.11</v>
      </c>
    </row>
    <row r="6337" spans="1:4" ht="40.5">
      <c r="A6337" s="337">
        <v>95310</v>
      </c>
      <c r="B6337" s="338" t="s">
        <v>7158</v>
      </c>
      <c r="C6337" s="337" t="s">
        <v>9</v>
      </c>
      <c r="D6337" s="339">
        <v>0.06</v>
      </c>
    </row>
    <row r="6338" spans="1:4" ht="40.5">
      <c r="A6338" s="337">
        <v>95311</v>
      </c>
      <c r="B6338" s="338" t="s">
        <v>7159</v>
      </c>
      <c r="C6338" s="337" t="s">
        <v>9</v>
      </c>
      <c r="D6338" s="339">
        <v>0.08</v>
      </c>
    </row>
    <row r="6339" spans="1:4" ht="40.5">
      <c r="A6339" s="337">
        <v>95312</v>
      </c>
      <c r="B6339" s="338" t="s">
        <v>7160</v>
      </c>
      <c r="C6339" s="337" t="s">
        <v>9</v>
      </c>
      <c r="D6339" s="339">
        <v>0.11</v>
      </c>
    </row>
    <row r="6340" spans="1:4" ht="40.5">
      <c r="A6340" s="337">
        <v>95313</v>
      </c>
      <c r="B6340" s="338" t="s">
        <v>7161</v>
      </c>
      <c r="C6340" s="337" t="s">
        <v>9</v>
      </c>
      <c r="D6340" s="339">
        <v>0.11</v>
      </c>
    </row>
    <row r="6341" spans="1:4" ht="27">
      <c r="A6341" s="337">
        <v>95314</v>
      </c>
      <c r="B6341" s="338" t="s">
        <v>7162</v>
      </c>
      <c r="C6341" s="337" t="s">
        <v>9</v>
      </c>
      <c r="D6341" s="339">
        <v>0.11</v>
      </c>
    </row>
    <row r="6342" spans="1:4" ht="40.5">
      <c r="A6342" s="337">
        <v>95315</v>
      </c>
      <c r="B6342" s="338" t="s">
        <v>7163</v>
      </c>
      <c r="C6342" s="337" t="s">
        <v>9</v>
      </c>
      <c r="D6342" s="339">
        <v>0.13</v>
      </c>
    </row>
    <row r="6343" spans="1:4" ht="40.5">
      <c r="A6343" s="337">
        <v>95316</v>
      </c>
      <c r="B6343" s="338" t="s">
        <v>7164</v>
      </c>
      <c r="C6343" s="337" t="s">
        <v>9</v>
      </c>
      <c r="D6343" s="339">
        <v>0.27</v>
      </c>
    </row>
    <row r="6344" spans="1:4" ht="40.5">
      <c r="A6344" s="337">
        <v>95317</v>
      </c>
      <c r="B6344" s="338" t="s">
        <v>7165</v>
      </c>
      <c r="C6344" s="337" t="s">
        <v>9</v>
      </c>
      <c r="D6344" s="339">
        <v>0.13</v>
      </c>
    </row>
    <row r="6345" spans="1:4" ht="40.5">
      <c r="A6345" s="337">
        <v>95318</v>
      </c>
      <c r="B6345" s="338" t="s">
        <v>7166</v>
      </c>
      <c r="C6345" s="337" t="s">
        <v>9</v>
      </c>
      <c r="D6345" s="339">
        <v>0.11</v>
      </c>
    </row>
    <row r="6346" spans="1:4" ht="40.5">
      <c r="A6346" s="337">
        <v>95319</v>
      </c>
      <c r="B6346" s="338" t="s">
        <v>7167</v>
      </c>
      <c r="C6346" s="337" t="s">
        <v>9</v>
      </c>
      <c r="D6346" s="339">
        <v>7.0000000000000007E-2</v>
      </c>
    </row>
    <row r="6347" spans="1:4" ht="40.5">
      <c r="A6347" s="337">
        <v>95320</v>
      </c>
      <c r="B6347" s="338" t="s">
        <v>7168</v>
      </c>
      <c r="C6347" s="337" t="s">
        <v>9</v>
      </c>
      <c r="D6347" s="339">
        <v>0.08</v>
      </c>
    </row>
    <row r="6348" spans="1:4" ht="40.5">
      <c r="A6348" s="337">
        <v>95321</v>
      </c>
      <c r="B6348" s="338" t="s">
        <v>7169</v>
      </c>
      <c r="C6348" s="337" t="s">
        <v>9</v>
      </c>
      <c r="D6348" s="339">
        <v>0.09</v>
      </c>
    </row>
    <row r="6349" spans="1:4" ht="40.5">
      <c r="A6349" s="337">
        <v>95322</v>
      </c>
      <c r="B6349" s="338" t="s">
        <v>7170</v>
      </c>
      <c r="C6349" s="337" t="s">
        <v>9</v>
      </c>
      <c r="D6349" s="339">
        <v>0.03</v>
      </c>
    </row>
    <row r="6350" spans="1:4" ht="40.5">
      <c r="A6350" s="337">
        <v>95323</v>
      </c>
      <c r="B6350" s="338" t="s">
        <v>7171</v>
      </c>
      <c r="C6350" s="337" t="s">
        <v>9</v>
      </c>
      <c r="D6350" s="339">
        <v>0.13</v>
      </c>
    </row>
    <row r="6351" spans="1:4" ht="40.5">
      <c r="A6351" s="337">
        <v>95324</v>
      </c>
      <c r="B6351" s="338" t="s">
        <v>7172</v>
      </c>
      <c r="C6351" s="337" t="s">
        <v>9</v>
      </c>
      <c r="D6351" s="339">
        <v>0.15</v>
      </c>
    </row>
    <row r="6352" spans="1:4" ht="40.5">
      <c r="A6352" s="337">
        <v>95325</v>
      </c>
      <c r="B6352" s="338" t="s">
        <v>7173</v>
      </c>
      <c r="C6352" s="337" t="s">
        <v>9</v>
      </c>
      <c r="D6352" s="339">
        <v>0.13</v>
      </c>
    </row>
    <row r="6353" spans="1:4" ht="40.5">
      <c r="A6353" s="337">
        <v>95326</v>
      </c>
      <c r="B6353" s="338" t="s">
        <v>7174</v>
      </c>
      <c r="C6353" s="337" t="s">
        <v>9</v>
      </c>
      <c r="D6353" s="339">
        <v>0.03</v>
      </c>
    </row>
    <row r="6354" spans="1:4" ht="40.5">
      <c r="A6354" s="337">
        <v>95327</v>
      </c>
      <c r="B6354" s="338" t="s">
        <v>7175</v>
      </c>
      <c r="C6354" s="337" t="s">
        <v>9</v>
      </c>
      <c r="D6354" s="339">
        <v>0.18</v>
      </c>
    </row>
    <row r="6355" spans="1:4" ht="27">
      <c r="A6355" s="337">
        <v>95328</v>
      </c>
      <c r="B6355" s="338" t="s">
        <v>7176</v>
      </c>
      <c r="C6355" s="337" t="s">
        <v>9</v>
      </c>
      <c r="D6355" s="339">
        <v>0.11</v>
      </c>
    </row>
    <row r="6356" spans="1:4" ht="40.5">
      <c r="A6356" s="337">
        <v>95329</v>
      </c>
      <c r="B6356" s="338" t="s">
        <v>7177</v>
      </c>
      <c r="C6356" s="337" t="s">
        <v>9</v>
      </c>
      <c r="D6356" s="339">
        <v>0.16</v>
      </c>
    </row>
    <row r="6357" spans="1:4" ht="40.5">
      <c r="A6357" s="337">
        <v>95330</v>
      </c>
      <c r="B6357" s="338" t="s">
        <v>7178</v>
      </c>
      <c r="C6357" s="337" t="s">
        <v>9</v>
      </c>
      <c r="D6357" s="339">
        <v>0.11</v>
      </c>
    </row>
    <row r="6358" spans="1:4" ht="40.5">
      <c r="A6358" s="337">
        <v>95331</v>
      </c>
      <c r="B6358" s="338" t="s">
        <v>7179</v>
      </c>
      <c r="C6358" s="337" t="s">
        <v>9</v>
      </c>
      <c r="D6358" s="339">
        <v>7.0000000000000007E-2</v>
      </c>
    </row>
    <row r="6359" spans="1:4" ht="27">
      <c r="A6359" s="337">
        <v>95332</v>
      </c>
      <c r="B6359" s="338" t="s">
        <v>7180</v>
      </c>
      <c r="C6359" s="337" t="s">
        <v>9</v>
      </c>
      <c r="D6359" s="339">
        <v>0.39</v>
      </c>
    </row>
    <row r="6360" spans="1:4" ht="40.5">
      <c r="A6360" s="337">
        <v>95333</v>
      </c>
      <c r="B6360" s="338" t="s">
        <v>7181</v>
      </c>
      <c r="C6360" s="337" t="s">
        <v>9</v>
      </c>
      <c r="D6360" s="339">
        <v>0.39</v>
      </c>
    </row>
    <row r="6361" spans="1:4" ht="27">
      <c r="A6361" s="337">
        <v>95334</v>
      </c>
      <c r="B6361" s="338" t="s">
        <v>7182</v>
      </c>
      <c r="C6361" s="337" t="s">
        <v>9</v>
      </c>
      <c r="D6361" s="339">
        <v>0.32</v>
      </c>
    </row>
    <row r="6362" spans="1:4" ht="40.5">
      <c r="A6362" s="337">
        <v>95335</v>
      </c>
      <c r="B6362" s="338" t="s">
        <v>7183</v>
      </c>
      <c r="C6362" s="337" t="s">
        <v>9</v>
      </c>
      <c r="D6362" s="339">
        <v>0.19</v>
      </c>
    </row>
    <row r="6363" spans="1:4" ht="27">
      <c r="A6363" s="337">
        <v>95336</v>
      </c>
      <c r="B6363" s="338" t="s">
        <v>7184</v>
      </c>
      <c r="C6363" s="337" t="s">
        <v>9</v>
      </c>
      <c r="D6363" s="339">
        <v>0.12</v>
      </c>
    </row>
    <row r="6364" spans="1:4" ht="27">
      <c r="A6364" s="337">
        <v>95337</v>
      </c>
      <c r="B6364" s="338" t="s">
        <v>7185</v>
      </c>
      <c r="C6364" s="337" t="s">
        <v>9</v>
      </c>
      <c r="D6364" s="339">
        <v>0.11</v>
      </c>
    </row>
    <row r="6365" spans="1:4" ht="40.5">
      <c r="A6365" s="337">
        <v>95338</v>
      </c>
      <c r="B6365" s="338" t="s">
        <v>7186</v>
      </c>
      <c r="C6365" s="337" t="s">
        <v>9</v>
      </c>
      <c r="D6365" s="339">
        <v>0.22</v>
      </c>
    </row>
    <row r="6366" spans="1:4" ht="27">
      <c r="A6366" s="337">
        <v>95339</v>
      </c>
      <c r="B6366" s="338" t="s">
        <v>7187</v>
      </c>
      <c r="C6366" s="337" t="s">
        <v>9</v>
      </c>
      <c r="D6366" s="339">
        <v>0.18</v>
      </c>
    </row>
    <row r="6367" spans="1:4" ht="27">
      <c r="A6367" s="337">
        <v>95340</v>
      </c>
      <c r="B6367" s="338" t="s">
        <v>7188</v>
      </c>
      <c r="C6367" s="337" t="s">
        <v>9</v>
      </c>
      <c r="D6367" s="339">
        <v>0.15</v>
      </c>
    </row>
    <row r="6368" spans="1:4" ht="40.5">
      <c r="A6368" s="337">
        <v>95341</v>
      </c>
      <c r="B6368" s="338" t="s">
        <v>7189</v>
      </c>
      <c r="C6368" s="337" t="s">
        <v>9</v>
      </c>
      <c r="D6368" s="339">
        <v>0.15</v>
      </c>
    </row>
    <row r="6369" spans="1:4" ht="40.5">
      <c r="A6369" s="337">
        <v>95342</v>
      </c>
      <c r="B6369" s="338" t="s">
        <v>7190</v>
      </c>
      <c r="C6369" s="337" t="s">
        <v>9</v>
      </c>
      <c r="D6369" s="339">
        <v>0.09</v>
      </c>
    </row>
    <row r="6370" spans="1:4" ht="40.5">
      <c r="A6370" s="337">
        <v>95343</v>
      </c>
      <c r="B6370" s="338" t="s">
        <v>7191</v>
      </c>
      <c r="C6370" s="337" t="s">
        <v>9</v>
      </c>
      <c r="D6370" s="339">
        <v>0.11</v>
      </c>
    </row>
    <row r="6371" spans="1:4" ht="40.5">
      <c r="A6371" s="337">
        <v>95344</v>
      </c>
      <c r="B6371" s="338" t="s">
        <v>7192</v>
      </c>
      <c r="C6371" s="337" t="s">
        <v>9</v>
      </c>
      <c r="D6371" s="339">
        <v>0.08</v>
      </c>
    </row>
    <row r="6372" spans="1:4" ht="40.5">
      <c r="A6372" s="337">
        <v>95345</v>
      </c>
      <c r="B6372" s="338" t="s">
        <v>7193</v>
      </c>
      <c r="C6372" s="337" t="s">
        <v>9</v>
      </c>
      <c r="D6372" s="339">
        <v>0.35</v>
      </c>
    </row>
    <row r="6373" spans="1:4" ht="40.5">
      <c r="A6373" s="337">
        <v>95346</v>
      </c>
      <c r="B6373" s="338" t="s">
        <v>7194</v>
      </c>
      <c r="C6373" s="337" t="s">
        <v>9</v>
      </c>
      <c r="D6373" s="339">
        <v>0.04</v>
      </c>
    </row>
    <row r="6374" spans="1:4" ht="40.5">
      <c r="A6374" s="337">
        <v>95347</v>
      </c>
      <c r="B6374" s="338" t="s">
        <v>7195</v>
      </c>
      <c r="C6374" s="337" t="s">
        <v>9</v>
      </c>
      <c r="D6374" s="339">
        <v>0.04</v>
      </c>
    </row>
    <row r="6375" spans="1:4" ht="40.5">
      <c r="A6375" s="337">
        <v>95348</v>
      </c>
      <c r="B6375" s="338" t="s">
        <v>7196</v>
      </c>
      <c r="C6375" s="337" t="s">
        <v>9</v>
      </c>
      <c r="D6375" s="339">
        <v>0.05</v>
      </c>
    </row>
    <row r="6376" spans="1:4" ht="40.5">
      <c r="A6376" s="337">
        <v>95349</v>
      </c>
      <c r="B6376" s="338" t="s">
        <v>7197</v>
      </c>
      <c r="C6376" s="337" t="s">
        <v>9</v>
      </c>
      <c r="D6376" s="339">
        <v>0.03</v>
      </c>
    </row>
    <row r="6377" spans="1:4" ht="40.5">
      <c r="A6377" s="337">
        <v>95350</v>
      </c>
      <c r="B6377" s="338" t="s">
        <v>7198</v>
      </c>
      <c r="C6377" s="337" t="s">
        <v>9</v>
      </c>
      <c r="D6377" s="339">
        <v>0.04</v>
      </c>
    </row>
    <row r="6378" spans="1:4" ht="40.5">
      <c r="A6378" s="337">
        <v>95351</v>
      </c>
      <c r="B6378" s="338" t="s">
        <v>7199</v>
      </c>
      <c r="C6378" s="337" t="s">
        <v>9</v>
      </c>
      <c r="D6378" s="339">
        <v>0.16</v>
      </c>
    </row>
    <row r="6379" spans="1:4" ht="27">
      <c r="A6379" s="337">
        <v>95352</v>
      </c>
      <c r="B6379" s="338" t="s">
        <v>7200</v>
      </c>
      <c r="C6379" s="337" t="s">
        <v>9</v>
      </c>
      <c r="D6379" s="339">
        <v>0.04</v>
      </c>
    </row>
    <row r="6380" spans="1:4" ht="40.5">
      <c r="A6380" s="337">
        <v>95354</v>
      </c>
      <c r="B6380" s="338" t="s">
        <v>7201</v>
      </c>
      <c r="C6380" s="337" t="s">
        <v>9</v>
      </c>
      <c r="D6380" s="339">
        <v>0.06</v>
      </c>
    </row>
    <row r="6381" spans="1:4" ht="40.5">
      <c r="A6381" s="337">
        <v>95355</v>
      </c>
      <c r="B6381" s="338" t="s">
        <v>7202</v>
      </c>
      <c r="C6381" s="337" t="s">
        <v>9</v>
      </c>
      <c r="D6381" s="339">
        <v>0.06</v>
      </c>
    </row>
    <row r="6382" spans="1:4" ht="40.5">
      <c r="A6382" s="337">
        <v>95356</v>
      </c>
      <c r="B6382" s="338" t="s">
        <v>7203</v>
      </c>
      <c r="C6382" s="337" t="s">
        <v>9</v>
      </c>
      <c r="D6382" s="339">
        <v>7.0000000000000007E-2</v>
      </c>
    </row>
    <row r="6383" spans="1:4" ht="40.5">
      <c r="A6383" s="337">
        <v>95357</v>
      </c>
      <c r="B6383" s="338" t="s">
        <v>7204</v>
      </c>
      <c r="C6383" s="337" t="s">
        <v>9</v>
      </c>
      <c r="D6383" s="339">
        <v>0.11</v>
      </c>
    </row>
    <row r="6384" spans="1:4" ht="40.5">
      <c r="A6384" s="337">
        <v>95358</v>
      </c>
      <c r="B6384" s="338" t="s">
        <v>7205</v>
      </c>
      <c r="C6384" s="337" t="s">
        <v>9</v>
      </c>
      <c r="D6384" s="339">
        <v>0.12</v>
      </c>
    </row>
    <row r="6385" spans="1:4" ht="40.5">
      <c r="A6385" s="337">
        <v>95359</v>
      </c>
      <c r="B6385" s="338" t="s">
        <v>7206</v>
      </c>
      <c r="C6385" s="337" t="s">
        <v>9</v>
      </c>
      <c r="D6385" s="339">
        <v>0.12</v>
      </c>
    </row>
    <row r="6386" spans="1:4" ht="40.5">
      <c r="A6386" s="337">
        <v>95360</v>
      </c>
      <c r="B6386" s="338" t="s">
        <v>7207</v>
      </c>
      <c r="C6386" s="337" t="s">
        <v>9</v>
      </c>
      <c r="D6386" s="339">
        <v>0.08</v>
      </c>
    </row>
    <row r="6387" spans="1:4" ht="40.5">
      <c r="A6387" s="337">
        <v>95361</v>
      </c>
      <c r="B6387" s="338" t="s">
        <v>7208</v>
      </c>
      <c r="C6387" s="337" t="s">
        <v>9</v>
      </c>
      <c r="D6387" s="339">
        <v>0.05</v>
      </c>
    </row>
    <row r="6388" spans="1:4" ht="40.5">
      <c r="A6388" s="337">
        <v>95362</v>
      </c>
      <c r="B6388" s="338" t="s">
        <v>7209</v>
      </c>
      <c r="C6388" s="337" t="s">
        <v>9</v>
      </c>
      <c r="D6388" s="339">
        <v>7.0000000000000007E-2</v>
      </c>
    </row>
    <row r="6389" spans="1:4" ht="40.5">
      <c r="A6389" s="337">
        <v>95363</v>
      </c>
      <c r="B6389" s="338" t="s">
        <v>7210</v>
      </c>
      <c r="C6389" s="337" t="s">
        <v>9</v>
      </c>
      <c r="D6389" s="339">
        <v>0.09</v>
      </c>
    </row>
    <row r="6390" spans="1:4" ht="40.5">
      <c r="A6390" s="337">
        <v>95364</v>
      </c>
      <c r="B6390" s="338" t="s">
        <v>7211</v>
      </c>
      <c r="C6390" s="337" t="s">
        <v>9</v>
      </c>
      <c r="D6390" s="339">
        <v>7.0000000000000007E-2</v>
      </c>
    </row>
    <row r="6391" spans="1:4" ht="40.5">
      <c r="A6391" s="337">
        <v>95365</v>
      </c>
      <c r="B6391" s="338" t="s">
        <v>7212</v>
      </c>
      <c r="C6391" s="337" t="s">
        <v>9</v>
      </c>
      <c r="D6391" s="339">
        <v>0.08</v>
      </c>
    </row>
    <row r="6392" spans="1:4" ht="40.5">
      <c r="A6392" s="337">
        <v>95366</v>
      </c>
      <c r="B6392" s="338" t="s">
        <v>7213</v>
      </c>
      <c r="C6392" s="337" t="s">
        <v>9</v>
      </c>
      <c r="D6392" s="339">
        <v>0.06</v>
      </c>
    </row>
    <row r="6393" spans="1:4" ht="54">
      <c r="A6393" s="337">
        <v>95367</v>
      </c>
      <c r="B6393" s="338" t="s">
        <v>7214</v>
      </c>
      <c r="C6393" s="337" t="s">
        <v>9</v>
      </c>
      <c r="D6393" s="339">
        <v>0.06</v>
      </c>
    </row>
    <row r="6394" spans="1:4" ht="40.5">
      <c r="A6394" s="337">
        <v>95368</v>
      </c>
      <c r="B6394" s="338" t="s">
        <v>7215</v>
      </c>
      <c r="C6394" s="337" t="s">
        <v>9</v>
      </c>
      <c r="D6394" s="339">
        <v>0.12</v>
      </c>
    </row>
    <row r="6395" spans="1:4" ht="40.5">
      <c r="A6395" s="337">
        <v>95369</v>
      </c>
      <c r="B6395" s="338" t="s">
        <v>7216</v>
      </c>
      <c r="C6395" s="337" t="s">
        <v>9</v>
      </c>
      <c r="D6395" s="339">
        <v>7.0000000000000007E-2</v>
      </c>
    </row>
    <row r="6396" spans="1:4" ht="27">
      <c r="A6396" s="337">
        <v>95370</v>
      </c>
      <c r="B6396" s="338" t="s">
        <v>7217</v>
      </c>
      <c r="C6396" s="337" t="s">
        <v>9</v>
      </c>
      <c r="D6396" s="339">
        <v>0.17</v>
      </c>
    </row>
    <row r="6397" spans="1:4" ht="27">
      <c r="A6397" s="337">
        <v>95371</v>
      </c>
      <c r="B6397" s="338" t="s">
        <v>7218</v>
      </c>
      <c r="C6397" s="337" t="s">
        <v>9</v>
      </c>
      <c r="D6397" s="339">
        <v>0.21</v>
      </c>
    </row>
    <row r="6398" spans="1:4" ht="27">
      <c r="A6398" s="337">
        <v>95372</v>
      </c>
      <c r="B6398" s="338" t="s">
        <v>7219</v>
      </c>
      <c r="C6398" s="337" t="s">
        <v>9</v>
      </c>
      <c r="D6398" s="339">
        <v>0.15</v>
      </c>
    </row>
    <row r="6399" spans="1:4" ht="40.5">
      <c r="A6399" s="337">
        <v>95373</v>
      </c>
      <c r="B6399" s="338" t="s">
        <v>7220</v>
      </c>
      <c r="C6399" s="337" t="s">
        <v>9</v>
      </c>
      <c r="D6399" s="339">
        <v>0.17</v>
      </c>
    </row>
    <row r="6400" spans="1:4" ht="40.5">
      <c r="A6400" s="337">
        <v>95374</v>
      </c>
      <c r="B6400" s="338" t="s">
        <v>7221</v>
      </c>
      <c r="C6400" s="337" t="s">
        <v>9</v>
      </c>
      <c r="D6400" s="339">
        <v>0.16</v>
      </c>
    </row>
    <row r="6401" spans="1:4" ht="27">
      <c r="A6401" s="337">
        <v>95375</v>
      </c>
      <c r="B6401" s="338" t="s">
        <v>7222</v>
      </c>
      <c r="C6401" s="337" t="s">
        <v>9</v>
      </c>
      <c r="D6401" s="339">
        <v>0.15</v>
      </c>
    </row>
    <row r="6402" spans="1:4" ht="27">
      <c r="A6402" s="337">
        <v>95376</v>
      </c>
      <c r="B6402" s="338" t="s">
        <v>7223</v>
      </c>
      <c r="C6402" s="337" t="s">
        <v>9</v>
      </c>
      <c r="D6402" s="339">
        <v>0.03</v>
      </c>
    </row>
    <row r="6403" spans="1:4" ht="27">
      <c r="A6403" s="337">
        <v>95377</v>
      </c>
      <c r="B6403" s="338" t="s">
        <v>7224</v>
      </c>
      <c r="C6403" s="337" t="s">
        <v>9</v>
      </c>
      <c r="D6403" s="339">
        <v>0.11</v>
      </c>
    </row>
    <row r="6404" spans="1:4" ht="27">
      <c r="A6404" s="337">
        <v>95378</v>
      </c>
      <c r="B6404" s="338" t="s">
        <v>7225</v>
      </c>
      <c r="C6404" s="337" t="s">
        <v>9</v>
      </c>
      <c r="D6404" s="339">
        <v>0.16</v>
      </c>
    </row>
    <row r="6405" spans="1:4" ht="27">
      <c r="A6405" s="337">
        <v>95379</v>
      </c>
      <c r="B6405" s="338" t="s">
        <v>7226</v>
      </c>
      <c r="C6405" s="337" t="s">
        <v>9</v>
      </c>
      <c r="D6405" s="339">
        <v>0.11</v>
      </c>
    </row>
    <row r="6406" spans="1:4" ht="40.5">
      <c r="A6406" s="337">
        <v>95380</v>
      </c>
      <c r="B6406" s="338" t="s">
        <v>7227</v>
      </c>
      <c r="C6406" s="337" t="s">
        <v>9</v>
      </c>
      <c r="D6406" s="339">
        <v>0.15</v>
      </c>
    </row>
    <row r="6407" spans="1:4" ht="27">
      <c r="A6407" s="337">
        <v>95381</v>
      </c>
      <c r="B6407" s="338" t="s">
        <v>7228</v>
      </c>
      <c r="C6407" s="337" t="s">
        <v>9</v>
      </c>
      <c r="D6407" s="339">
        <v>0.15</v>
      </c>
    </row>
    <row r="6408" spans="1:4" ht="40.5">
      <c r="A6408" s="337">
        <v>95382</v>
      </c>
      <c r="B6408" s="338" t="s">
        <v>7229</v>
      </c>
      <c r="C6408" s="337" t="s">
        <v>9</v>
      </c>
      <c r="D6408" s="339">
        <v>0.14000000000000001</v>
      </c>
    </row>
    <row r="6409" spans="1:4" ht="40.5">
      <c r="A6409" s="337">
        <v>95383</v>
      </c>
      <c r="B6409" s="338" t="s">
        <v>7230</v>
      </c>
      <c r="C6409" s="337" t="s">
        <v>9</v>
      </c>
      <c r="D6409" s="339">
        <v>0.12</v>
      </c>
    </row>
    <row r="6410" spans="1:4" ht="40.5">
      <c r="A6410" s="337">
        <v>95384</v>
      </c>
      <c r="B6410" s="338" t="s">
        <v>7231</v>
      </c>
      <c r="C6410" s="337" t="s">
        <v>9</v>
      </c>
      <c r="D6410" s="339">
        <v>0.15</v>
      </c>
    </row>
    <row r="6411" spans="1:4" ht="27">
      <c r="A6411" s="337">
        <v>95385</v>
      </c>
      <c r="B6411" s="338" t="s">
        <v>7232</v>
      </c>
      <c r="C6411" s="337" t="s">
        <v>9</v>
      </c>
      <c r="D6411" s="339">
        <v>0.12</v>
      </c>
    </row>
    <row r="6412" spans="1:4" ht="27">
      <c r="A6412" s="337">
        <v>95386</v>
      </c>
      <c r="B6412" s="338" t="s">
        <v>7233</v>
      </c>
      <c r="C6412" s="337" t="s">
        <v>9</v>
      </c>
      <c r="D6412" s="339">
        <v>0.09</v>
      </c>
    </row>
    <row r="6413" spans="1:4" ht="27">
      <c r="A6413" s="337">
        <v>95387</v>
      </c>
      <c r="B6413" s="338" t="s">
        <v>7234</v>
      </c>
      <c r="C6413" s="337" t="s">
        <v>9</v>
      </c>
      <c r="D6413" s="339">
        <v>0.14000000000000001</v>
      </c>
    </row>
    <row r="6414" spans="1:4" ht="27">
      <c r="A6414" s="337">
        <v>95388</v>
      </c>
      <c r="B6414" s="338" t="s">
        <v>7235</v>
      </c>
      <c r="C6414" s="337" t="s">
        <v>9</v>
      </c>
      <c r="D6414" s="339">
        <v>0.04</v>
      </c>
    </row>
    <row r="6415" spans="1:4" ht="40.5">
      <c r="A6415" s="337">
        <v>95389</v>
      </c>
      <c r="B6415" s="338" t="s">
        <v>7236</v>
      </c>
      <c r="C6415" s="337" t="s">
        <v>9</v>
      </c>
      <c r="D6415" s="339">
        <v>0.06</v>
      </c>
    </row>
    <row r="6416" spans="1:4" ht="27">
      <c r="A6416" s="337">
        <v>95390</v>
      </c>
      <c r="B6416" s="338" t="s">
        <v>7237</v>
      </c>
      <c r="C6416" s="337" t="s">
        <v>9</v>
      </c>
      <c r="D6416" s="339">
        <v>0.05</v>
      </c>
    </row>
    <row r="6417" spans="1:4" ht="40.5">
      <c r="A6417" s="337">
        <v>95391</v>
      </c>
      <c r="B6417" s="338" t="s">
        <v>7238</v>
      </c>
      <c r="C6417" s="337" t="s">
        <v>9</v>
      </c>
      <c r="D6417" s="339">
        <v>0.08</v>
      </c>
    </row>
    <row r="6418" spans="1:4" ht="27">
      <c r="A6418" s="337">
        <v>95392</v>
      </c>
      <c r="B6418" s="338" t="s">
        <v>7239</v>
      </c>
      <c r="C6418" s="337" t="s">
        <v>9</v>
      </c>
      <c r="D6418" s="339">
        <v>0.05</v>
      </c>
    </row>
    <row r="6419" spans="1:4" ht="40.5">
      <c r="A6419" s="337">
        <v>95393</v>
      </c>
      <c r="B6419" s="338" t="s">
        <v>7240</v>
      </c>
      <c r="C6419" s="337" t="s">
        <v>9</v>
      </c>
      <c r="D6419" s="339">
        <v>0.2</v>
      </c>
    </row>
    <row r="6420" spans="1:4" ht="40.5">
      <c r="A6420" s="337">
        <v>95394</v>
      </c>
      <c r="B6420" s="338" t="s">
        <v>7241</v>
      </c>
      <c r="C6420" s="337" t="s">
        <v>9</v>
      </c>
      <c r="D6420" s="339">
        <v>0.39</v>
      </c>
    </row>
    <row r="6421" spans="1:4" ht="40.5">
      <c r="A6421" s="337">
        <v>95395</v>
      </c>
      <c r="B6421" s="338" t="s">
        <v>7242</v>
      </c>
      <c r="C6421" s="337" t="s">
        <v>9</v>
      </c>
      <c r="D6421" s="339">
        <v>0.55000000000000004</v>
      </c>
    </row>
    <row r="6422" spans="1:4" ht="40.5">
      <c r="A6422" s="337">
        <v>95396</v>
      </c>
      <c r="B6422" s="338" t="s">
        <v>7243</v>
      </c>
      <c r="C6422" s="337" t="s">
        <v>9</v>
      </c>
      <c r="D6422" s="339">
        <v>0.73</v>
      </c>
    </row>
    <row r="6423" spans="1:4" ht="40.5">
      <c r="A6423" s="337">
        <v>95397</v>
      </c>
      <c r="B6423" s="338" t="s">
        <v>7244</v>
      </c>
      <c r="C6423" s="337" t="s">
        <v>9</v>
      </c>
      <c r="D6423" s="339">
        <v>0.06</v>
      </c>
    </row>
    <row r="6424" spans="1:4" ht="40.5">
      <c r="A6424" s="337">
        <v>95398</v>
      </c>
      <c r="B6424" s="338" t="s">
        <v>7245</v>
      </c>
      <c r="C6424" s="337" t="s">
        <v>9</v>
      </c>
      <c r="D6424" s="339">
        <v>0.04</v>
      </c>
    </row>
    <row r="6425" spans="1:4" ht="40.5">
      <c r="A6425" s="337">
        <v>95399</v>
      </c>
      <c r="B6425" s="338" t="s">
        <v>7246</v>
      </c>
      <c r="C6425" s="337" t="s">
        <v>9</v>
      </c>
      <c r="D6425" s="339">
        <v>0.06</v>
      </c>
    </row>
    <row r="6426" spans="1:4" ht="40.5">
      <c r="A6426" s="337">
        <v>95400</v>
      </c>
      <c r="B6426" s="338" t="s">
        <v>7247</v>
      </c>
      <c r="C6426" s="337" t="s">
        <v>9</v>
      </c>
      <c r="D6426" s="339">
        <v>0.06</v>
      </c>
    </row>
    <row r="6427" spans="1:4" ht="40.5">
      <c r="A6427" s="337">
        <v>95401</v>
      </c>
      <c r="B6427" s="338" t="s">
        <v>7248</v>
      </c>
      <c r="C6427" s="337" t="s">
        <v>9</v>
      </c>
      <c r="D6427" s="339">
        <v>0.28999999999999998</v>
      </c>
    </row>
    <row r="6428" spans="1:4" ht="40.5">
      <c r="A6428" s="337">
        <v>95402</v>
      </c>
      <c r="B6428" s="338" t="s">
        <v>7249</v>
      </c>
      <c r="C6428" s="337" t="s">
        <v>9</v>
      </c>
      <c r="D6428" s="339">
        <v>0.94</v>
      </c>
    </row>
    <row r="6429" spans="1:4" ht="40.5">
      <c r="A6429" s="337">
        <v>95403</v>
      </c>
      <c r="B6429" s="338" t="s">
        <v>7250</v>
      </c>
      <c r="C6429" s="337" t="s">
        <v>9</v>
      </c>
      <c r="D6429" s="339">
        <v>1.07</v>
      </c>
    </row>
    <row r="6430" spans="1:4" ht="40.5">
      <c r="A6430" s="337">
        <v>95404</v>
      </c>
      <c r="B6430" s="338" t="s">
        <v>7251</v>
      </c>
      <c r="C6430" s="337" t="s">
        <v>9</v>
      </c>
      <c r="D6430" s="339">
        <v>1.46</v>
      </c>
    </row>
    <row r="6431" spans="1:4" ht="40.5">
      <c r="A6431" s="337">
        <v>95405</v>
      </c>
      <c r="B6431" s="338" t="s">
        <v>7252</v>
      </c>
      <c r="C6431" s="337" t="s">
        <v>9</v>
      </c>
      <c r="D6431" s="339">
        <v>0.44</v>
      </c>
    </row>
    <row r="6432" spans="1:4" ht="27">
      <c r="A6432" s="337">
        <v>95406</v>
      </c>
      <c r="B6432" s="338" t="s">
        <v>7253</v>
      </c>
      <c r="C6432" s="337" t="s">
        <v>9</v>
      </c>
      <c r="D6432" s="339">
        <v>0.08</v>
      </c>
    </row>
    <row r="6433" spans="1:4" ht="40.5">
      <c r="A6433" s="337">
        <v>95407</v>
      </c>
      <c r="B6433" s="338" t="s">
        <v>7254</v>
      </c>
      <c r="C6433" s="337" t="s">
        <v>9</v>
      </c>
      <c r="D6433" s="339">
        <v>0.83</v>
      </c>
    </row>
    <row r="6434" spans="1:4" ht="40.5">
      <c r="A6434" s="337">
        <v>95408</v>
      </c>
      <c r="B6434" s="338" t="s">
        <v>7255</v>
      </c>
      <c r="C6434" s="337" t="s">
        <v>737</v>
      </c>
      <c r="D6434" s="339">
        <v>6.93</v>
      </c>
    </row>
    <row r="6435" spans="1:4" ht="40.5">
      <c r="A6435" s="337">
        <v>95409</v>
      </c>
      <c r="B6435" s="338" t="s">
        <v>7256</v>
      </c>
      <c r="C6435" s="337" t="s">
        <v>737</v>
      </c>
      <c r="D6435" s="339">
        <v>8.4700000000000006</v>
      </c>
    </row>
    <row r="6436" spans="1:4" ht="40.5">
      <c r="A6436" s="337">
        <v>95410</v>
      </c>
      <c r="B6436" s="338" t="s">
        <v>7257</v>
      </c>
      <c r="C6436" s="337" t="s">
        <v>737</v>
      </c>
      <c r="D6436" s="339">
        <v>6.39</v>
      </c>
    </row>
    <row r="6437" spans="1:4" ht="40.5">
      <c r="A6437" s="337">
        <v>95411</v>
      </c>
      <c r="B6437" s="338" t="s">
        <v>7258</v>
      </c>
      <c r="C6437" s="337" t="s">
        <v>737</v>
      </c>
      <c r="D6437" s="339">
        <v>6.77</v>
      </c>
    </row>
    <row r="6438" spans="1:4" ht="40.5">
      <c r="A6438" s="337">
        <v>95412</v>
      </c>
      <c r="B6438" s="338" t="s">
        <v>7259</v>
      </c>
      <c r="C6438" s="337" t="s">
        <v>737</v>
      </c>
      <c r="D6438" s="339">
        <v>6.77</v>
      </c>
    </row>
    <row r="6439" spans="1:4" ht="27">
      <c r="A6439" s="337">
        <v>95413</v>
      </c>
      <c r="B6439" s="338" t="s">
        <v>7260</v>
      </c>
      <c r="C6439" s="337" t="s">
        <v>737</v>
      </c>
      <c r="D6439" s="339">
        <v>6.93</v>
      </c>
    </row>
    <row r="6440" spans="1:4" ht="40.5">
      <c r="A6440" s="337">
        <v>95414</v>
      </c>
      <c r="B6440" s="338" t="s">
        <v>7261</v>
      </c>
      <c r="C6440" s="337" t="s">
        <v>737</v>
      </c>
      <c r="D6440" s="339">
        <v>27.97</v>
      </c>
    </row>
    <row r="6441" spans="1:4" ht="40.5">
      <c r="A6441" s="337">
        <v>95415</v>
      </c>
      <c r="B6441" s="338" t="s">
        <v>7262</v>
      </c>
      <c r="C6441" s="337" t="s">
        <v>737</v>
      </c>
      <c r="D6441" s="339">
        <v>127.35</v>
      </c>
    </row>
    <row r="6442" spans="1:4" ht="40.5">
      <c r="A6442" s="337">
        <v>95416</v>
      </c>
      <c r="B6442" s="338" t="s">
        <v>7263</v>
      </c>
      <c r="C6442" s="337" t="s">
        <v>737</v>
      </c>
      <c r="D6442" s="339">
        <v>5.58</v>
      </c>
    </row>
    <row r="6443" spans="1:4" ht="40.5">
      <c r="A6443" s="337">
        <v>95417</v>
      </c>
      <c r="B6443" s="338" t="s">
        <v>7264</v>
      </c>
      <c r="C6443" s="337" t="s">
        <v>737</v>
      </c>
      <c r="D6443" s="339">
        <v>144.94999999999999</v>
      </c>
    </row>
    <row r="6444" spans="1:4" ht="40.5">
      <c r="A6444" s="337">
        <v>95418</v>
      </c>
      <c r="B6444" s="338" t="s">
        <v>7265</v>
      </c>
      <c r="C6444" s="337" t="s">
        <v>737</v>
      </c>
      <c r="D6444" s="339">
        <v>198.14</v>
      </c>
    </row>
    <row r="6445" spans="1:4" ht="40.5">
      <c r="A6445" s="337">
        <v>95419</v>
      </c>
      <c r="B6445" s="338" t="s">
        <v>7266</v>
      </c>
      <c r="C6445" s="337" t="s">
        <v>737</v>
      </c>
      <c r="D6445" s="339">
        <v>52.6</v>
      </c>
    </row>
    <row r="6446" spans="1:4" ht="40.5">
      <c r="A6446" s="337">
        <v>95420</v>
      </c>
      <c r="B6446" s="338" t="s">
        <v>7267</v>
      </c>
      <c r="C6446" s="337" t="s">
        <v>737</v>
      </c>
      <c r="D6446" s="339">
        <v>74.72</v>
      </c>
    </row>
    <row r="6447" spans="1:4" ht="40.5">
      <c r="A6447" s="337">
        <v>95421</v>
      </c>
      <c r="B6447" s="338" t="s">
        <v>7268</v>
      </c>
      <c r="C6447" s="337" t="s">
        <v>737</v>
      </c>
      <c r="D6447" s="339">
        <v>98.79</v>
      </c>
    </row>
    <row r="6448" spans="1:4" ht="40.5">
      <c r="A6448" s="337">
        <v>95422</v>
      </c>
      <c r="B6448" s="338" t="s">
        <v>7269</v>
      </c>
      <c r="C6448" s="337" t="s">
        <v>737</v>
      </c>
      <c r="D6448" s="339">
        <v>38.93</v>
      </c>
    </row>
    <row r="6449" spans="1:4" ht="40.5">
      <c r="A6449" s="337">
        <v>95423</v>
      </c>
      <c r="B6449" s="338" t="s">
        <v>7270</v>
      </c>
      <c r="C6449" s="337" t="s">
        <v>737</v>
      </c>
      <c r="D6449" s="339">
        <v>59.1</v>
      </c>
    </row>
    <row r="6450" spans="1:4" ht="27">
      <c r="A6450" s="337">
        <v>95424</v>
      </c>
      <c r="B6450" s="338" t="s">
        <v>7271</v>
      </c>
      <c r="C6450" s="337" t="s">
        <v>737</v>
      </c>
      <c r="D6450" s="339">
        <v>11.95</v>
      </c>
    </row>
    <row r="6451" spans="1:4" ht="51">
      <c r="A6451" s="341">
        <v>2404</v>
      </c>
      <c r="B6451" s="342" t="s">
        <v>7272</v>
      </c>
      <c r="C6451" s="341" t="s">
        <v>7273</v>
      </c>
      <c r="D6451" s="343">
        <v>80</v>
      </c>
    </row>
    <row r="6452" spans="1:4" ht="38.25">
      <c r="A6452" s="341">
        <v>2720</v>
      </c>
      <c r="B6452" s="342" t="s">
        <v>7274</v>
      </c>
      <c r="C6452" s="341" t="s">
        <v>7275</v>
      </c>
      <c r="D6452" s="343">
        <v>154.02000000000001</v>
      </c>
    </row>
    <row r="6453" spans="1:4" ht="63.75">
      <c r="A6453" s="341">
        <v>2719</v>
      </c>
      <c r="B6453" s="342" t="s">
        <v>7276</v>
      </c>
      <c r="C6453" s="341" t="s">
        <v>7275</v>
      </c>
      <c r="D6453" s="343">
        <v>130.5</v>
      </c>
    </row>
    <row r="6454" spans="1:4" ht="51">
      <c r="A6454" s="341">
        <v>3378</v>
      </c>
      <c r="B6454" s="342" t="s">
        <v>7277</v>
      </c>
      <c r="C6454" s="341" t="s">
        <v>7278</v>
      </c>
      <c r="D6454" s="343">
        <v>49.64</v>
      </c>
    </row>
    <row r="6455" spans="1:4" ht="63.75">
      <c r="A6455" s="341">
        <v>3380</v>
      </c>
      <c r="B6455" s="342" t="s">
        <v>7279</v>
      </c>
      <c r="C6455" s="341" t="s">
        <v>7278</v>
      </c>
      <c r="D6455" s="343">
        <v>34.75</v>
      </c>
    </row>
    <row r="6456" spans="1:4" ht="51">
      <c r="A6456" s="341">
        <v>3379</v>
      </c>
      <c r="B6456" s="342" t="s">
        <v>7280</v>
      </c>
      <c r="C6456" s="341" t="s">
        <v>7278</v>
      </c>
      <c r="D6456" s="343">
        <v>33.549999999999997</v>
      </c>
    </row>
    <row r="6457" spans="1:4" ht="51">
      <c r="A6457" s="341">
        <v>13382</v>
      </c>
      <c r="B6457" s="342" t="s">
        <v>7281</v>
      </c>
      <c r="C6457" s="341" t="s">
        <v>7278</v>
      </c>
      <c r="D6457" s="343">
        <v>162.36000000000001</v>
      </c>
    </row>
    <row r="6458" spans="1:4" ht="51">
      <c r="A6458" s="341">
        <v>20198</v>
      </c>
      <c r="B6458" s="342" t="s">
        <v>7282</v>
      </c>
      <c r="C6458" s="341" t="s">
        <v>7283</v>
      </c>
      <c r="D6458" s="344">
        <v>1441.61</v>
      </c>
    </row>
    <row r="6459" spans="1:4" ht="51">
      <c r="A6459" s="341">
        <v>4126</v>
      </c>
      <c r="B6459" s="342" t="s">
        <v>7284</v>
      </c>
      <c r="C6459" s="341" t="s">
        <v>7278</v>
      </c>
      <c r="D6459" s="343">
        <v>209.97</v>
      </c>
    </row>
    <row r="6460" spans="1:4" ht="38.25">
      <c r="A6460" s="341">
        <v>10615</v>
      </c>
      <c r="B6460" s="342" t="s">
        <v>7285</v>
      </c>
      <c r="C6460" s="341" t="s">
        <v>7278</v>
      </c>
      <c r="D6460" s="344">
        <v>41990</v>
      </c>
    </row>
    <row r="6461" spans="1:4" ht="38.25">
      <c r="A6461" s="341">
        <v>21136</v>
      </c>
      <c r="B6461" s="342" t="s">
        <v>7286</v>
      </c>
      <c r="C6461" s="341" t="s">
        <v>7287</v>
      </c>
      <c r="D6461" s="343">
        <v>14.15</v>
      </c>
    </row>
    <row r="6462" spans="1:4" ht="38.25">
      <c r="A6462" s="341">
        <v>21128</v>
      </c>
      <c r="B6462" s="342" t="s">
        <v>7288</v>
      </c>
      <c r="C6462" s="341" t="s">
        <v>7287</v>
      </c>
      <c r="D6462" s="343">
        <v>10.95</v>
      </c>
    </row>
    <row r="6463" spans="1:4" ht="38.25">
      <c r="A6463" s="341">
        <v>21130</v>
      </c>
      <c r="B6463" s="342" t="s">
        <v>7289</v>
      </c>
      <c r="C6463" s="341" t="s">
        <v>7287</v>
      </c>
      <c r="D6463" s="343">
        <v>27.65</v>
      </c>
    </row>
    <row r="6464" spans="1:4" ht="38.25">
      <c r="A6464" s="341">
        <v>21135</v>
      </c>
      <c r="B6464" s="342" t="s">
        <v>7290</v>
      </c>
      <c r="C6464" s="341" t="s">
        <v>7287</v>
      </c>
      <c r="D6464" s="343">
        <v>27.22</v>
      </c>
    </row>
    <row r="6465" spans="1:4" ht="38.25">
      <c r="A6465" s="341">
        <v>38605</v>
      </c>
      <c r="B6465" s="342" t="s">
        <v>7291</v>
      </c>
      <c r="C6465" s="341" t="s">
        <v>7278</v>
      </c>
      <c r="D6465" s="343">
        <v>103.06</v>
      </c>
    </row>
    <row r="6466" spans="1:4" ht="25.5">
      <c r="A6466" s="341">
        <v>11270</v>
      </c>
      <c r="B6466" s="342" t="s">
        <v>7292</v>
      </c>
      <c r="C6466" s="341" t="s">
        <v>7278</v>
      </c>
      <c r="D6466" s="343">
        <v>1.38</v>
      </c>
    </row>
    <row r="6467" spans="1:4" ht="25.5">
      <c r="A6467" s="341">
        <v>412</v>
      </c>
      <c r="B6467" s="342" t="s">
        <v>7293</v>
      </c>
      <c r="C6467" s="341" t="s">
        <v>7278</v>
      </c>
      <c r="D6467" s="343">
        <v>0.97</v>
      </c>
    </row>
    <row r="6468" spans="1:4" ht="25.5">
      <c r="A6468" s="341">
        <v>414</v>
      </c>
      <c r="B6468" s="342" t="s">
        <v>7294</v>
      </c>
      <c r="C6468" s="341" t="s">
        <v>7278</v>
      </c>
      <c r="D6468" s="343">
        <v>0.06</v>
      </c>
    </row>
    <row r="6469" spans="1:4" ht="25.5">
      <c r="A6469" s="341">
        <v>410</v>
      </c>
      <c r="B6469" s="342" t="s">
        <v>7295</v>
      </c>
      <c r="C6469" s="341" t="s">
        <v>7278</v>
      </c>
      <c r="D6469" s="343">
        <v>0.15</v>
      </c>
    </row>
    <row r="6470" spans="1:4" ht="25.5">
      <c r="A6470" s="341">
        <v>411</v>
      </c>
      <c r="B6470" s="342" t="s">
        <v>7296</v>
      </c>
      <c r="C6470" s="341" t="s">
        <v>7278</v>
      </c>
      <c r="D6470" s="343">
        <v>0.19</v>
      </c>
    </row>
    <row r="6471" spans="1:4" ht="25.5">
      <c r="A6471" s="341">
        <v>408</v>
      </c>
      <c r="B6471" s="342" t="s">
        <v>7297</v>
      </c>
      <c r="C6471" s="341" t="s">
        <v>7278</v>
      </c>
      <c r="D6471" s="343">
        <v>0.94</v>
      </c>
    </row>
    <row r="6472" spans="1:4" ht="38.25">
      <c r="A6472" s="341">
        <v>39131</v>
      </c>
      <c r="B6472" s="342" t="s">
        <v>7298</v>
      </c>
      <c r="C6472" s="341" t="s">
        <v>7278</v>
      </c>
      <c r="D6472" s="343">
        <v>2.12</v>
      </c>
    </row>
    <row r="6473" spans="1:4" ht="38.25">
      <c r="A6473" s="341">
        <v>394</v>
      </c>
      <c r="B6473" s="342" t="s">
        <v>7299</v>
      </c>
      <c r="C6473" s="341" t="s">
        <v>7278</v>
      </c>
      <c r="D6473" s="343">
        <v>2.15</v>
      </c>
    </row>
    <row r="6474" spans="1:4" ht="38.25">
      <c r="A6474" s="341">
        <v>39130</v>
      </c>
      <c r="B6474" s="342" t="s">
        <v>7300</v>
      </c>
      <c r="C6474" s="341" t="s">
        <v>7278</v>
      </c>
      <c r="D6474" s="343">
        <v>1.94</v>
      </c>
    </row>
    <row r="6475" spans="1:4" ht="38.25">
      <c r="A6475" s="341">
        <v>395</v>
      </c>
      <c r="B6475" s="342" t="s">
        <v>7301</v>
      </c>
      <c r="C6475" s="341" t="s">
        <v>7278</v>
      </c>
      <c r="D6475" s="343">
        <v>2.0699999999999998</v>
      </c>
    </row>
    <row r="6476" spans="1:4" ht="38.25">
      <c r="A6476" s="341">
        <v>39127</v>
      </c>
      <c r="B6476" s="342" t="s">
        <v>7302</v>
      </c>
      <c r="C6476" s="341" t="s">
        <v>7278</v>
      </c>
      <c r="D6476" s="343">
        <v>1.02</v>
      </c>
    </row>
    <row r="6477" spans="1:4" ht="38.25">
      <c r="A6477" s="341">
        <v>392</v>
      </c>
      <c r="B6477" s="342" t="s">
        <v>7303</v>
      </c>
      <c r="C6477" s="341" t="s">
        <v>7278</v>
      </c>
      <c r="D6477" s="343">
        <v>1.05</v>
      </c>
    </row>
    <row r="6478" spans="1:4" ht="38.25">
      <c r="A6478" s="341">
        <v>39129</v>
      </c>
      <c r="B6478" s="342" t="s">
        <v>7304</v>
      </c>
      <c r="C6478" s="341" t="s">
        <v>7278</v>
      </c>
      <c r="D6478" s="343">
        <v>1.19</v>
      </c>
    </row>
    <row r="6479" spans="1:4" ht="38.25">
      <c r="A6479" s="341">
        <v>393</v>
      </c>
      <c r="B6479" s="342" t="s">
        <v>7305</v>
      </c>
      <c r="C6479" s="341" t="s">
        <v>7278</v>
      </c>
      <c r="D6479" s="343">
        <v>1.25</v>
      </c>
    </row>
    <row r="6480" spans="1:4" ht="38.25">
      <c r="A6480" s="341">
        <v>39133</v>
      </c>
      <c r="B6480" s="342" t="s">
        <v>7306</v>
      </c>
      <c r="C6480" s="341" t="s">
        <v>7278</v>
      </c>
      <c r="D6480" s="343">
        <v>2.79</v>
      </c>
    </row>
    <row r="6481" spans="1:4" ht="38.25">
      <c r="A6481" s="341">
        <v>397</v>
      </c>
      <c r="B6481" s="342" t="s">
        <v>7307</v>
      </c>
      <c r="C6481" s="341" t="s">
        <v>7278</v>
      </c>
      <c r="D6481" s="343">
        <v>3.08</v>
      </c>
    </row>
    <row r="6482" spans="1:4" ht="38.25">
      <c r="A6482" s="341">
        <v>39132</v>
      </c>
      <c r="B6482" s="342" t="s">
        <v>7308</v>
      </c>
      <c r="C6482" s="341" t="s">
        <v>7278</v>
      </c>
      <c r="D6482" s="343">
        <v>2.23</v>
      </c>
    </row>
    <row r="6483" spans="1:4" ht="38.25">
      <c r="A6483" s="341">
        <v>396</v>
      </c>
      <c r="B6483" s="342" t="s">
        <v>7309</v>
      </c>
      <c r="C6483" s="341" t="s">
        <v>7278</v>
      </c>
      <c r="D6483" s="343">
        <v>2.39</v>
      </c>
    </row>
    <row r="6484" spans="1:4" ht="38.25">
      <c r="A6484" s="341">
        <v>39135</v>
      </c>
      <c r="B6484" s="342" t="s">
        <v>7310</v>
      </c>
      <c r="C6484" s="341" t="s">
        <v>7278</v>
      </c>
      <c r="D6484" s="343">
        <v>4.46</v>
      </c>
    </row>
    <row r="6485" spans="1:4" ht="38.25">
      <c r="A6485" s="341">
        <v>39128</v>
      </c>
      <c r="B6485" s="342" t="s">
        <v>7311</v>
      </c>
      <c r="C6485" s="341" t="s">
        <v>7278</v>
      </c>
      <c r="D6485" s="343">
        <v>1.1100000000000001</v>
      </c>
    </row>
    <row r="6486" spans="1:4" ht="38.25">
      <c r="A6486" s="341">
        <v>400</v>
      </c>
      <c r="B6486" s="342" t="s">
        <v>7312</v>
      </c>
      <c r="C6486" s="341" t="s">
        <v>7278</v>
      </c>
      <c r="D6486" s="343">
        <v>1.0900000000000001</v>
      </c>
    </row>
    <row r="6487" spans="1:4" ht="38.25">
      <c r="A6487" s="341">
        <v>39125</v>
      </c>
      <c r="B6487" s="342" t="s">
        <v>7313</v>
      </c>
      <c r="C6487" s="341" t="s">
        <v>7278</v>
      </c>
      <c r="D6487" s="343">
        <v>1.1100000000000001</v>
      </c>
    </row>
    <row r="6488" spans="1:4" ht="38.25">
      <c r="A6488" s="341">
        <v>39134</v>
      </c>
      <c r="B6488" s="342" t="s">
        <v>7314</v>
      </c>
      <c r="C6488" s="341" t="s">
        <v>7278</v>
      </c>
      <c r="D6488" s="343">
        <v>3.72</v>
      </c>
    </row>
    <row r="6489" spans="1:4" ht="38.25">
      <c r="A6489" s="341">
        <v>398</v>
      </c>
      <c r="B6489" s="342" t="s">
        <v>7315</v>
      </c>
      <c r="C6489" s="341" t="s">
        <v>7278</v>
      </c>
      <c r="D6489" s="343">
        <v>3.43</v>
      </c>
    </row>
    <row r="6490" spans="1:4" ht="38.25">
      <c r="A6490" s="341">
        <v>39126</v>
      </c>
      <c r="B6490" s="342" t="s">
        <v>7316</v>
      </c>
      <c r="C6490" s="341" t="s">
        <v>7278</v>
      </c>
      <c r="D6490" s="343">
        <v>5.0199999999999996</v>
      </c>
    </row>
    <row r="6491" spans="1:4" ht="38.25">
      <c r="A6491" s="341">
        <v>399</v>
      </c>
      <c r="B6491" s="342" t="s">
        <v>7317</v>
      </c>
      <c r="C6491" s="341" t="s">
        <v>7278</v>
      </c>
      <c r="D6491" s="343">
        <v>4.42</v>
      </c>
    </row>
    <row r="6492" spans="1:4" ht="25.5">
      <c r="A6492" s="341">
        <v>39158</v>
      </c>
      <c r="B6492" s="342" t="s">
        <v>7318</v>
      </c>
      <c r="C6492" s="341" t="s">
        <v>7278</v>
      </c>
      <c r="D6492" s="343">
        <v>11.88</v>
      </c>
    </row>
    <row r="6493" spans="1:4" ht="25.5">
      <c r="A6493" s="341">
        <v>39141</v>
      </c>
      <c r="B6493" s="342" t="s">
        <v>7319</v>
      </c>
      <c r="C6493" s="341" t="s">
        <v>7278</v>
      </c>
      <c r="D6493" s="343">
        <v>0.86</v>
      </c>
    </row>
    <row r="6494" spans="1:4" ht="25.5">
      <c r="A6494" s="341">
        <v>39140</v>
      </c>
      <c r="B6494" s="342" t="s">
        <v>7320</v>
      </c>
      <c r="C6494" s="341" t="s">
        <v>7278</v>
      </c>
      <c r="D6494" s="343">
        <v>0.78</v>
      </c>
    </row>
    <row r="6495" spans="1:4" ht="25.5">
      <c r="A6495" s="341">
        <v>39137</v>
      </c>
      <c r="B6495" s="342" t="s">
        <v>7321</v>
      </c>
      <c r="C6495" s="341" t="s">
        <v>7278</v>
      </c>
      <c r="D6495" s="343">
        <v>0.45</v>
      </c>
    </row>
    <row r="6496" spans="1:4" ht="25.5">
      <c r="A6496" s="341">
        <v>39139</v>
      </c>
      <c r="B6496" s="342" t="s">
        <v>7322</v>
      </c>
      <c r="C6496" s="341" t="s">
        <v>7278</v>
      </c>
      <c r="D6496" s="343">
        <v>0.65</v>
      </c>
    </row>
    <row r="6497" spans="1:4" ht="25.5">
      <c r="A6497" s="341">
        <v>39143</v>
      </c>
      <c r="B6497" s="342" t="s">
        <v>7323</v>
      </c>
      <c r="C6497" s="341" t="s">
        <v>7278</v>
      </c>
      <c r="D6497" s="343">
        <v>1.78</v>
      </c>
    </row>
    <row r="6498" spans="1:4" ht="25.5">
      <c r="A6498" s="341">
        <v>39142</v>
      </c>
      <c r="B6498" s="342" t="s">
        <v>7324</v>
      </c>
      <c r="C6498" s="341" t="s">
        <v>7278</v>
      </c>
      <c r="D6498" s="343">
        <v>1.27</v>
      </c>
    </row>
    <row r="6499" spans="1:4" ht="25.5">
      <c r="A6499" s="341">
        <v>39138</v>
      </c>
      <c r="B6499" s="342" t="s">
        <v>7325</v>
      </c>
      <c r="C6499" s="341" t="s">
        <v>7278</v>
      </c>
      <c r="D6499" s="343">
        <v>0.47</v>
      </c>
    </row>
    <row r="6500" spans="1:4" ht="25.5">
      <c r="A6500" s="341">
        <v>39136</v>
      </c>
      <c r="B6500" s="342" t="s">
        <v>7326</v>
      </c>
      <c r="C6500" s="341" t="s">
        <v>7278</v>
      </c>
      <c r="D6500" s="343">
        <v>0.31</v>
      </c>
    </row>
    <row r="6501" spans="1:4" ht="25.5">
      <c r="A6501" s="341">
        <v>39144</v>
      </c>
      <c r="B6501" s="342" t="s">
        <v>7327</v>
      </c>
      <c r="C6501" s="341" t="s">
        <v>7278</v>
      </c>
      <c r="D6501" s="343">
        <v>2.0699999999999998</v>
      </c>
    </row>
    <row r="6502" spans="1:4" ht="25.5">
      <c r="A6502" s="341">
        <v>39145</v>
      </c>
      <c r="B6502" s="342" t="s">
        <v>7328</v>
      </c>
      <c r="C6502" s="341" t="s">
        <v>7278</v>
      </c>
      <c r="D6502" s="343">
        <v>3.41</v>
      </c>
    </row>
    <row r="6503" spans="1:4" ht="38.25">
      <c r="A6503" s="341">
        <v>12615</v>
      </c>
      <c r="B6503" s="342" t="s">
        <v>7329</v>
      </c>
      <c r="C6503" s="341" t="s">
        <v>7278</v>
      </c>
      <c r="D6503" s="343">
        <v>3.96</v>
      </c>
    </row>
    <row r="6504" spans="1:4" ht="38.25">
      <c r="A6504" s="341">
        <v>11927</v>
      </c>
      <c r="B6504" s="342" t="s">
        <v>7330</v>
      </c>
      <c r="C6504" s="341" t="s">
        <v>7278</v>
      </c>
      <c r="D6504" s="343">
        <v>4.12</v>
      </c>
    </row>
    <row r="6505" spans="1:4" ht="38.25">
      <c r="A6505" s="341">
        <v>11928</v>
      </c>
      <c r="B6505" s="342" t="s">
        <v>7331</v>
      </c>
      <c r="C6505" s="341" t="s">
        <v>7278</v>
      </c>
      <c r="D6505" s="343">
        <v>4.71</v>
      </c>
    </row>
    <row r="6506" spans="1:4" ht="38.25">
      <c r="A6506" s="341">
        <v>11929</v>
      </c>
      <c r="B6506" s="342" t="s">
        <v>7332</v>
      </c>
      <c r="C6506" s="341" t="s">
        <v>7278</v>
      </c>
      <c r="D6506" s="343">
        <v>7.3</v>
      </c>
    </row>
    <row r="6507" spans="1:4" ht="25.5">
      <c r="A6507" s="341">
        <v>36801</v>
      </c>
      <c r="B6507" s="342" t="s">
        <v>7333</v>
      </c>
      <c r="C6507" s="341" t="s">
        <v>7278</v>
      </c>
      <c r="D6507" s="343">
        <v>21.18</v>
      </c>
    </row>
    <row r="6508" spans="1:4" ht="38.25">
      <c r="A6508" s="341">
        <v>36246</v>
      </c>
      <c r="B6508" s="342" t="s">
        <v>7334</v>
      </c>
      <c r="C6508" s="341" t="s">
        <v>7287</v>
      </c>
      <c r="D6508" s="343">
        <v>2.44</v>
      </c>
    </row>
    <row r="6509" spans="1:4" ht="25.5">
      <c r="A6509" s="341">
        <v>37600</v>
      </c>
      <c r="B6509" s="342" t="s">
        <v>7335</v>
      </c>
      <c r="C6509" s="341" t="s">
        <v>7278</v>
      </c>
      <c r="D6509" s="343">
        <v>47.99</v>
      </c>
    </row>
    <row r="6510" spans="1:4" ht="25.5">
      <c r="A6510" s="341">
        <v>37599</v>
      </c>
      <c r="B6510" s="342" t="s">
        <v>7336</v>
      </c>
      <c r="C6510" s="341" t="s">
        <v>7278</v>
      </c>
      <c r="D6510" s="343">
        <v>44.66</v>
      </c>
    </row>
    <row r="6511" spans="1:4" ht="25.5">
      <c r="A6511" s="341">
        <v>1</v>
      </c>
      <c r="B6511" s="342" t="s">
        <v>7337</v>
      </c>
      <c r="C6511" s="341" t="s">
        <v>7338</v>
      </c>
      <c r="D6511" s="343">
        <v>55</v>
      </c>
    </row>
    <row r="6512" spans="1:4" ht="25.5">
      <c r="A6512" s="341">
        <v>3</v>
      </c>
      <c r="B6512" s="342" t="s">
        <v>7339</v>
      </c>
      <c r="C6512" s="341" t="s">
        <v>7340</v>
      </c>
      <c r="D6512" s="343">
        <v>15.4</v>
      </c>
    </row>
    <row r="6513" spans="1:4">
      <c r="A6513" s="341">
        <v>26</v>
      </c>
      <c r="B6513" s="342" t="s">
        <v>7341</v>
      </c>
      <c r="C6513" s="341" t="s">
        <v>7338</v>
      </c>
      <c r="D6513" s="343">
        <v>4</v>
      </c>
    </row>
    <row r="6514" spans="1:4">
      <c r="A6514" s="341">
        <v>20</v>
      </c>
      <c r="B6514" s="342" t="s">
        <v>7342</v>
      </c>
      <c r="C6514" s="341" t="s">
        <v>7338</v>
      </c>
      <c r="D6514" s="343">
        <v>4.03</v>
      </c>
    </row>
    <row r="6515" spans="1:4">
      <c r="A6515" s="341">
        <v>21</v>
      </c>
      <c r="B6515" s="342" t="s">
        <v>7343</v>
      </c>
      <c r="C6515" s="341" t="s">
        <v>7338</v>
      </c>
      <c r="D6515" s="343">
        <v>4.03</v>
      </c>
    </row>
    <row r="6516" spans="1:4">
      <c r="A6516" s="341">
        <v>24</v>
      </c>
      <c r="B6516" s="342" t="s">
        <v>7344</v>
      </c>
      <c r="C6516" s="341" t="s">
        <v>7338</v>
      </c>
      <c r="D6516" s="343">
        <v>4.03</v>
      </c>
    </row>
    <row r="6517" spans="1:4">
      <c r="A6517" s="341">
        <v>25</v>
      </c>
      <c r="B6517" s="342" t="s">
        <v>7345</v>
      </c>
      <c r="C6517" s="341" t="s">
        <v>7338</v>
      </c>
      <c r="D6517" s="343">
        <v>4.03</v>
      </c>
    </row>
    <row r="6518" spans="1:4">
      <c r="A6518" s="341">
        <v>34341</v>
      </c>
      <c r="B6518" s="342" t="s">
        <v>7346</v>
      </c>
      <c r="C6518" s="341" t="s">
        <v>7338</v>
      </c>
      <c r="D6518" s="343">
        <v>3.79</v>
      </c>
    </row>
    <row r="6519" spans="1:4">
      <c r="A6519" s="341">
        <v>22</v>
      </c>
      <c r="B6519" s="342" t="s">
        <v>7347</v>
      </c>
      <c r="C6519" s="341" t="s">
        <v>7338</v>
      </c>
      <c r="D6519" s="343">
        <v>4.3099999999999996</v>
      </c>
    </row>
    <row r="6520" spans="1:4">
      <c r="A6520" s="341">
        <v>23</v>
      </c>
      <c r="B6520" s="342" t="s">
        <v>7348</v>
      </c>
      <c r="C6520" s="341" t="s">
        <v>7338</v>
      </c>
      <c r="D6520" s="343">
        <v>4.2699999999999996</v>
      </c>
    </row>
    <row r="6521" spans="1:4">
      <c r="A6521" s="341">
        <v>34439</v>
      </c>
      <c r="B6521" s="342" t="s">
        <v>7349</v>
      </c>
      <c r="C6521" s="341" t="s">
        <v>7338</v>
      </c>
      <c r="D6521" s="343">
        <v>5.0999999999999996</v>
      </c>
    </row>
    <row r="6522" spans="1:4">
      <c r="A6522" s="341">
        <v>34</v>
      </c>
      <c r="B6522" s="342" t="s">
        <v>7350</v>
      </c>
      <c r="C6522" s="341" t="s">
        <v>7338</v>
      </c>
      <c r="D6522" s="343">
        <v>4.54</v>
      </c>
    </row>
    <row r="6523" spans="1:4">
      <c r="A6523" s="341">
        <v>34441</v>
      </c>
      <c r="B6523" s="342" t="s">
        <v>7351</v>
      </c>
      <c r="C6523" s="341" t="s">
        <v>7338</v>
      </c>
      <c r="D6523" s="343">
        <v>4.84</v>
      </c>
    </row>
    <row r="6524" spans="1:4">
      <c r="A6524" s="341">
        <v>31</v>
      </c>
      <c r="B6524" s="342" t="s">
        <v>7352</v>
      </c>
      <c r="C6524" s="341" t="s">
        <v>7338</v>
      </c>
      <c r="D6524" s="343">
        <v>4.32</v>
      </c>
    </row>
    <row r="6525" spans="1:4">
      <c r="A6525" s="341">
        <v>34443</v>
      </c>
      <c r="B6525" s="342" t="s">
        <v>7353</v>
      </c>
      <c r="C6525" s="341" t="s">
        <v>7338</v>
      </c>
      <c r="D6525" s="343">
        <v>4.84</v>
      </c>
    </row>
    <row r="6526" spans="1:4">
      <c r="A6526" s="341">
        <v>27</v>
      </c>
      <c r="B6526" s="342" t="s">
        <v>7354</v>
      </c>
      <c r="C6526" s="341" t="s">
        <v>7338</v>
      </c>
      <c r="D6526" s="343">
        <v>4.32</v>
      </c>
    </row>
    <row r="6527" spans="1:4">
      <c r="A6527" s="341">
        <v>34446</v>
      </c>
      <c r="B6527" s="342" t="s">
        <v>7355</v>
      </c>
      <c r="C6527" s="341" t="s">
        <v>7338</v>
      </c>
      <c r="D6527" s="343">
        <v>4.84</v>
      </c>
    </row>
    <row r="6528" spans="1:4">
      <c r="A6528" s="341">
        <v>29</v>
      </c>
      <c r="B6528" s="342" t="s">
        <v>7356</v>
      </c>
      <c r="C6528" s="341" t="s">
        <v>7338</v>
      </c>
      <c r="D6528" s="343">
        <v>4.04</v>
      </c>
    </row>
    <row r="6529" spans="1:4">
      <c r="A6529" s="341">
        <v>28</v>
      </c>
      <c r="B6529" s="342" t="s">
        <v>7357</v>
      </c>
      <c r="C6529" s="341" t="s">
        <v>7338</v>
      </c>
      <c r="D6529" s="343">
        <v>4.67</v>
      </c>
    </row>
    <row r="6530" spans="1:4">
      <c r="A6530" s="341">
        <v>34449</v>
      </c>
      <c r="B6530" s="342" t="s">
        <v>7358</v>
      </c>
      <c r="C6530" s="341" t="s">
        <v>7338</v>
      </c>
      <c r="D6530" s="343">
        <v>5.33</v>
      </c>
    </row>
    <row r="6531" spans="1:4">
      <c r="A6531" s="341">
        <v>32</v>
      </c>
      <c r="B6531" s="342" t="s">
        <v>7359</v>
      </c>
      <c r="C6531" s="341" t="s">
        <v>7338</v>
      </c>
      <c r="D6531" s="343">
        <v>4.75</v>
      </c>
    </row>
    <row r="6532" spans="1:4">
      <c r="A6532" s="341">
        <v>33</v>
      </c>
      <c r="B6532" s="342" t="s">
        <v>7360</v>
      </c>
      <c r="C6532" s="341" t="s">
        <v>7338</v>
      </c>
      <c r="D6532" s="343">
        <v>5.34</v>
      </c>
    </row>
    <row r="6533" spans="1:4">
      <c r="A6533" s="341">
        <v>34343</v>
      </c>
      <c r="B6533" s="342" t="s">
        <v>7361</v>
      </c>
      <c r="C6533" s="341" t="s">
        <v>7338</v>
      </c>
      <c r="D6533" s="343">
        <v>5.13</v>
      </c>
    </row>
    <row r="6534" spans="1:4">
      <c r="A6534" s="341">
        <v>34452</v>
      </c>
      <c r="B6534" s="342" t="s">
        <v>7362</v>
      </c>
      <c r="C6534" s="341" t="s">
        <v>7338</v>
      </c>
      <c r="D6534" s="343">
        <v>4.72</v>
      </c>
    </row>
    <row r="6535" spans="1:4">
      <c r="A6535" s="341">
        <v>36</v>
      </c>
      <c r="B6535" s="342" t="s">
        <v>7363</v>
      </c>
      <c r="C6535" s="341" t="s">
        <v>7338</v>
      </c>
      <c r="D6535" s="343">
        <v>4.5</v>
      </c>
    </row>
    <row r="6536" spans="1:4">
      <c r="A6536" s="341">
        <v>34456</v>
      </c>
      <c r="B6536" s="342" t="s">
        <v>7364</v>
      </c>
      <c r="C6536" s="341" t="s">
        <v>7338</v>
      </c>
      <c r="D6536" s="343">
        <v>4.72</v>
      </c>
    </row>
    <row r="6537" spans="1:4">
      <c r="A6537" s="341">
        <v>39</v>
      </c>
      <c r="B6537" s="342" t="s">
        <v>7365</v>
      </c>
      <c r="C6537" s="341" t="s">
        <v>7338</v>
      </c>
      <c r="D6537" s="343">
        <v>4.5</v>
      </c>
    </row>
    <row r="6538" spans="1:4">
      <c r="A6538" s="341">
        <v>34457</v>
      </c>
      <c r="B6538" s="342" t="s">
        <v>7366</v>
      </c>
      <c r="C6538" s="341" t="s">
        <v>7338</v>
      </c>
      <c r="D6538" s="343">
        <v>5.0599999999999996</v>
      </c>
    </row>
    <row r="6539" spans="1:4">
      <c r="A6539" s="341">
        <v>40</v>
      </c>
      <c r="B6539" s="342" t="s">
        <v>7367</v>
      </c>
      <c r="C6539" s="341" t="s">
        <v>7338</v>
      </c>
      <c r="D6539" s="343">
        <v>4.5999999999999996</v>
      </c>
    </row>
    <row r="6540" spans="1:4">
      <c r="A6540" s="341">
        <v>34460</v>
      </c>
      <c r="B6540" s="342" t="s">
        <v>7368</v>
      </c>
      <c r="C6540" s="341" t="s">
        <v>7338</v>
      </c>
      <c r="D6540" s="343">
        <v>5.17</v>
      </c>
    </row>
    <row r="6541" spans="1:4">
      <c r="A6541" s="341">
        <v>42</v>
      </c>
      <c r="B6541" s="342" t="s">
        <v>7369</v>
      </c>
      <c r="C6541" s="341" t="s">
        <v>7338</v>
      </c>
      <c r="D6541" s="343">
        <v>4.67</v>
      </c>
    </row>
    <row r="6542" spans="1:4">
      <c r="A6542" s="341">
        <v>38</v>
      </c>
      <c r="B6542" s="342" t="s">
        <v>7370</v>
      </c>
      <c r="C6542" s="341" t="s">
        <v>7338</v>
      </c>
      <c r="D6542" s="343">
        <v>5.2</v>
      </c>
    </row>
    <row r="6543" spans="1:4">
      <c r="A6543" s="341">
        <v>34344</v>
      </c>
      <c r="B6543" s="342" t="s">
        <v>7371</v>
      </c>
      <c r="C6543" s="341" t="s">
        <v>7338</v>
      </c>
      <c r="D6543" s="343">
        <v>7.07</v>
      </c>
    </row>
    <row r="6544" spans="1:4" ht="38.25">
      <c r="A6544" s="341">
        <v>20063</v>
      </c>
      <c r="B6544" s="342" t="s">
        <v>7372</v>
      </c>
      <c r="C6544" s="341" t="s">
        <v>7278</v>
      </c>
      <c r="D6544" s="343">
        <v>3.93</v>
      </c>
    </row>
    <row r="6545" spans="1:4" ht="38.25">
      <c r="A6545" s="341">
        <v>40410</v>
      </c>
      <c r="B6545" s="342" t="s">
        <v>7373</v>
      </c>
      <c r="C6545" s="341" t="s">
        <v>7278</v>
      </c>
      <c r="D6545" s="343">
        <v>16.41</v>
      </c>
    </row>
    <row r="6546" spans="1:4" ht="38.25">
      <c r="A6546" s="341">
        <v>40411</v>
      </c>
      <c r="B6546" s="342" t="s">
        <v>7374</v>
      </c>
      <c r="C6546" s="341" t="s">
        <v>7278</v>
      </c>
      <c r="D6546" s="343">
        <v>17.809999999999999</v>
      </c>
    </row>
    <row r="6547" spans="1:4" ht="38.25">
      <c r="A6547" s="341">
        <v>40412</v>
      </c>
      <c r="B6547" s="342" t="s">
        <v>7375</v>
      </c>
      <c r="C6547" s="341" t="s">
        <v>7278</v>
      </c>
      <c r="D6547" s="343">
        <v>19.98</v>
      </c>
    </row>
    <row r="6548" spans="1:4" ht="25.5">
      <c r="A6548" s="341">
        <v>38838</v>
      </c>
      <c r="B6548" s="342" t="s">
        <v>7376</v>
      </c>
      <c r="C6548" s="341" t="s">
        <v>7278</v>
      </c>
      <c r="D6548" s="343">
        <v>7.05</v>
      </c>
    </row>
    <row r="6549" spans="1:4" ht="25.5">
      <c r="A6549" s="341">
        <v>38839</v>
      </c>
      <c r="B6549" s="342" t="s">
        <v>7377</v>
      </c>
      <c r="C6549" s="341" t="s">
        <v>7278</v>
      </c>
      <c r="D6549" s="343">
        <v>8.3000000000000007</v>
      </c>
    </row>
    <row r="6550" spans="1:4" ht="51">
      <c r="A6550" s="341">
        <v>55</v>
      </c>
      <c r="B6550" s="342" t="s">
        <v>7378</v>
      </c>
      <c r="C6550" s="341" t="s">
        <v>7278</v>
      </c>
      <c r="D6550" s="343">
        <v>2.27</v>
      </c>
    </row>
    <row r="6551" spans="1:4" ht="51">
      <c r="A6551" s="341">
        <v>61</v>
      </c>
      <c r="B6551" s="342" t="s">
        <v>7379</v>
      </c>
      <c r="C6551" s="341" t="s">
        <v>7278</v>
      </c>
      <c r="D6551" s="343">
        <v>2.14</v>
      </c>
    </row>
    <row r="6552" spans="1:4" ht="51">
      <c r="A6552" s="341">
        <v>62</v>
      </c>
      <c r="B6552" s="342" t="s">
        <v>7380</v>
      </c>
      <c r="C6552" s="341" t="s">
        <v>7278</v>
      </c>
      <c r="D6552" s="343">
        <v>4.45</v>
      </c>
    </row>
    <row r="6553" spans="1:4" ht="38.25">
      <c r="A6553" s="341">
        <v>77</v>
      </c>
      <c r="B6553" s="342" t="s">
        <v>7381</v>
      </c>
      <c r="C6553" s="341" t="s">
        <v>7278</v>
      </c>
      <c r="D6553" s="343">
        <v>4.0199999999999996</v>
      </c>
    </row>
    <row r="6554" spans="1:4" ht="25.5">
      <c r="A6554" s="341">
        <v>76</v>
      </c>
      <c r="B6554" s="342" t="s">
        <v>7382</v>
      </c>
      <c r="C6554" s="341" t="s">
        <v>7278</v>
      </c>
      <c r="D6554" s="343">
        <v>0.78</v>
      </c>
    </row>
    <row r="6555" spans="1:4" ht="25.5">
      <c r="A6555" s="341">
        <v>67</v>
      </c>
      <c r="B6555" s="342" t="s">
        <v>7383</v>
      </c>
      <c r="C6555" s="341" t="s">
        <v>7278</v>
      </c>
      <c r="D6555" s="343">
        <v>8.75</v>
      </c>
    </row>
    <row r="6556" spans="1:4" ht="25.5">
      <c r="A6556" s="341">
        <v>71</v>
      </c>
      <c r="B6556" s="342" t="s">
        <v>7384</v>
      </c>
      <c r="C6556" s="341" t="s">
        <v>7278</v>
      </c>
      <c r="D6556" s="343">
        <v>15.39</v>
      </c>
    </row>
    <row r="6557" spans="1:4" ht="25.5">
      <c r="A6557" s="341">
        <v>73</v>
      </c>
      <c r="B6557" s="342" t="s">
        <v>7385</v>
      </c>
      <c r="C6557" s="341" t="s">
        <v>7278</v>
      </c>
      <c r="D6557" s="343">
        <v>11.07</v>
      </c>
    </row>
    <row r="6558" spans="1:4" ht="25.5">
      <c r="A6558" s="341">
        <v>103</v>
      </c>
      <c r="B6558" s="342" t="s">
        <v>7386</v>
      </c>
      <c r="C6558" s="341" t="s">
        <v>7278</v>
      </c>
      <c r="D6558" s="343">
        <v>38.270000000000003</v>
      </c>
    </row>
    <row r="6559" spans="1:4" ht="25.5">
      <c r="A6559" s="341">
        <v>107</v>
      </c>
      <c r="B6559" s="342" t="s">
        <v>7387</v>
      </c>
      <c r="C6559" s="341" t="s">
        <v>7278</v>
      </c>
      <c r="D6559" s="343">
        <v>0.73</v>
      </c>
    </row>
    <row r="6560" spans="1:4" ht="25.5">
      <c r="A6560" s="341">
        <v>65</v>
      </c>
      <c r="B6560" s="342" t="s">
        <v>7388</v>
      </c>
      <c r="C6560" s="341" t="s">
        <v>7278</v>
      </c>
      <c r="D6560" s="343">
        <v>0.82</v>
      </c>
    </row>
    <row r="6561" spans="1:4" ht="25.5">
      <c r="A6561" s="341">
        <v>108</v>
      </c>
      <c r="B6561" s="342" t="s">
        <v>7389</v>
      </c>
      <c r="C6561" s="341" t="s">
        <v>7278</v>
      </c>
      <c r="D6561" s="343">
        <v>1.62</v>
      </c>
    </row>
    <row r="6562" spans="1:4" ht="25.5">
      <c r="A6562" s="341">
        <v>110</v>
      </c>
      <c r="B6562" s="342" t="s">
        <v>7390</v>
      </c>
      <c r="C6562" s="341" t="s">
        <v>7278</v>
      </c>
      <c r="D6562" s="343">
        <v>3.83</v>
      </c>
    </row>
    <row r="6563" spans="1:4" ht="25.5">
      <c r="A6563" s="341">
        <v>109</v>
      </c>
      <c r="B6563" s="342" t="s">
        <v>7391</v>
      </c>
      <c r="C6563" s="341" t="s">
        <v>7278</v>
      </c>
      <c r="D6563" s="343">
        <v>2.92</v>
      </c>
    </row>
    <row r="6564" spans="1:4" ht="25.5">
      <c r="A6564" s="341">
        <v>111</v>
      </c>
      <c r="B6564" s="342" t="s">
        <v>7392</v>
      </c>
      <c r="C6564" s="341" t="s">
        <v>7278</v>
      </c>
      <c r="D6564" s="343">
        <v>6.65</v>
      </c>
    </row>
    <row r="6565" spans="1:4" ht="25.5">
      <c r="A6565" s="341">
        <v>112</v>
      </c>
      <c r="B6565" s="342" t="s">
        <v>7393</v>
      </c>
      <c r="C6565" s="341" t="s">
        <v>7278</v>
      </c>
      <c r="D6565" s="343">
        <v>3.6</v>
      </c>
    </row>
    <row r="6566" spans="1:4" ht="25.5">
      <c r="A6566" s="341">
        <v>113</v>
      </c>
      <c r="B6566" s="342" t="s">
        <v>7394</v>
      </c>
      <c r="C6566" s="341" t="s">
        <v>7278</v>
      </c>
      <c r="D6566" s="343">
        <v>9.16</v>
      </c>
    </row>
    <row r="6567" spans="1:4" ht="25.5">
      <c r="A6567" s="341">
        <v>104</v>
      </c>
      <c r="B6567" s="342" t="s">
        <v>7395</v>
      </c>
      <c r="C6567" s="341" t="s">
        <v>7278</v>
      </c>
      <c r="D6567" s="343">
        <v>15.81</v>
      </c>
    </row>
    <row r="6568" spans="1:4" ht="25.5">
      <c r="A6568" s="341">
        <v>102</v>
      </c>
      <c r="B6568" s="342" t="s">
        <v>7396</v>
      </c>
      <c r="C6568" s="341" t="s">
        <v>7278</v>
      </c>
      <c r="D6568" s="343">
        <v>23.76</v>
      </c>
    </row>
    <row r="6569" spans="1:4" ht="38.25">
      <c r="A6569" s="341">
        <v>95</v>
      </c>
      <c r="B6569" s="342" t="s">
        <v>7397</v>
      </c>
      <c r="C6569" s="341" t="s">
        <v>7278</v>
      </c>
      <c r="D6569" s="343">
        <v>10.039999999999999</v>
      </c>
    </row>
    <row r="6570" spans="1:4" ht="38.25">
      <c r="A6570" s="341">
        <v>96</v>
      </c>
      <c r="B6570" s="342" t="s">
        <v>7398</v>
      </c>
      <c r="C6570" s="341" t="s">
        <v>7278</v>
      </c>
      <c r="D6570" s="343">
        <v>13</v>
      </c>
    </row>
    <row r="6571" spans="1:4" ht="38.25">
      <c r="A6571" s="341">
        <v>97</v>
      </c>
      <c r="B6571" s="342" t="s">
        <v>7399</v>
      </c>
      <c r="C6571" s="341" t="s">
        <v>7278</v>
      </c>
      <c r="D6571" s="343">
        <v>16.37</v>
      </c>
    </row>
    <row r="6572" spans="1:4" ht="38.25">
      <c r="A6572" s="341">
        <v>98</v>
      </c>
      <c r="B6572" s="342" t="s">
        <v>7400</v>
      </c>
      <c r="C6572" s="341" t="s">
        <v>7278</v>
      </c>
      <c r="D6572" s="343">
        <v>26.55</v>
      </c>
    </row>
    <row r="6573" spans="1:4" ht="38.25">
      <c r="A6573" s="341">
        <v>99</v>
      </c>
      <c r="B6573" s="342" t="s">
        <v>7401</v>
      </c>
      <c r="C6573" s="341" t="s">
        <v>7278</v>
      </c>
      <c r="D6573" s="343">
        <v>30.62</v>
      </c>
    </row>
    <row r="6574" spans="1:4" ht="38.25">
      <c r="A6574" s="341">
        <v>100</v>
      </c>
      <c r="B6574" s="342" t="s">
        <v>7402</v>
      </c>
      <c r="C6574" s="341" t="s">
        <v>7278</v>
      </c>
      <c r="D6574" s="343">
        <v>37.229999999999997</v>
      </c>
    </row>
    <row r="6575" spans="1:4" ht="25.5">
      <c r="A6575" s="341">
        <v>75</v>
      </c>
      <c r="B6575" s="342" t="s">
        <v>7403</v>
      </c>
      <c r="C6575" s="341" t="s">
        <v>7278</v>
      </c>
      <c r="D6575" s="343">
        <v>279.26</v>
      </c>
    </row>
    <row r="6576" spans="1:4" ht="25.5">
      <c r="A6576" s="341">
        <v>114</v>
      </c>
      <c r="B6576" s="342" t="s">
        <v>7404</v>
      </c>
      <c r="C6576" s="341" t="s">
        <v>7278</v>
      </c>
      <c r="D6576" s="343">
        <v>11.02</v>
      </c>
    </row>
    <row r="6577" spans="1:4" ht="25.5">
      <c r="A6577" s="341">
        <v>68</v>
      </c>
      <c r="B6577" s="342" t="s">
        <v>7405</v>
      </c>
      <c r="C6577" s="341" t="s">
        <v>7278</v>
      </c>
      <c r="D6577" s="343">
        <v>14.77</v>
      </c>
    </row>
    <row r="6578" spans="1:4" ht="25.5">
      <c r="A6578" s="341">
        <v>86</v>
      </c>
      <c r="B6578" s="342" t="s">
        <v>7406</v>
      </c>
      <c r="C6578" s="341" t="s">
        <v>7278</v>
      </c>
      <c r="D6578" s="343">
        <v>21.88</v>
      </c>
    </row>
    <row r="6579" spans="1:4" ht="25.5">
      <c r="A6579" s="341">
        <v>66</v>
      </c>
      <c r="B6579" s="342" t="s">
        <v>7407</v>
      </c>
      <c r="C6579" s="341" t="s">
        <v>7278</v>
      </c>
      <c r="D6579" s="343">
        <v>25.1</v>
      </c>
    </row>
    <row r="6580" spans="1:4" ht="25.5">
      <c r="A6580" s="341">
        <v>69</v>
      </c>
      <c r="B6580" s="342" t="s">
        <v>7408</v>
      </c>
      <c r="C6580" s="341" t="s">
        <v>7278</v>
      </c>
      <c r="D6580" s="343">
        <v>37.229999999999997</v>
      </c>
    </row>
    <row r="6581" spans="1:4" ht="25.5">
      <c r="A6581" s="341">
        <v>83</v>
      </c>
      <c r="B6581" s="342" t="s">
        <v>7409</v>
      </c>
      <c r="C6581" s="341" t="s">
        <v>7278</v>
      </c>
      <c r="D6581" s="343">
        <v>144.86000000000001</v>
      </c>
    </row>
    <row r="6582" spans="1:4" ht="25.5">
      <c r="A6582" s="341">
        <v>74</v>
      </c>
      <c r="B6582" s="342" t="s">
        <v>7410</v>
      </c>
      <c r="C6582" s="341" t="s">
        <v>7278</v>
      </c>
      <c r="D6582" s="343">
        <v>195.14</v>
      </c>
    </row>
    <row r="6583" spans="1:4" ht="38.25">
      <c r="A6583" s="341">
        <v>106</v>
      </c>
      <c r="B6583" s="342" t="s">
        <v>7411</v>
      </c>
      <c r="C6583" s="341" t="s">
        <v>7278</v>
      </c>
      <c r="D6583" s="343">
        <v>398.93</v>
      </c>
    </row>
    <row r="6584" spans="1:4" ht="38.25">
      <c r="A6584" s="341">
        <v>87</v>
      </c>
      <c r="B6584" s="342" t="s">
        <v>7412</v>
      </c>
      <c r="C6584" s="341" t="s">
        <v>7278</v>
      </c>
      <c r="D6584" s="343">
        <v>16.510000000000002</v>
      </c>
    </row>
    <row r="6585" spans="1:4" ht="25.5">
      <c r="A6585" s="341">
        <v>88</v>
      </c>
      <c r="B6585" s="342" t="s">
        <v>7413</v>
      </c>
      <c r="C6585" s="341" t="s">
        <v>7278</v>
      </c>
      <c r="D6585" s="343">
        <v>19.86</v>
      </c>
    </row>
    <row r="6586" spans="1:4" ht="38.25">
      <c r="A6586" s="341">
        <v>89</v>
      </c>
      <c r="B6586" s="342" t="s">
        <v>7414</v>
      </c>
      <c r="C6586" s="341" t="s">
        <v>7278</v>
      </c>
      <c r="D6586" s="343">
        <v>29.32</v>
      </c>
    </row>
    <row r="6587" spans="1:4" ht="38.25">
      <c r="A6587" s="341">
        <v>90</v>
      </c>
      <c r="B6587" s="342" t="s">
        <v>7415</v>
      </c>
      <c r="C6587" s="341" t="s">
        <v>7278</v>
      </c>
      <c r="D6587" s="343">
        <v>33.619999999999997</v>
      </c>
    </row>
    <row r="6588" spans="1:4" ht="25.5">
      <c r="A6588" s="341">
        <v>81</v>
      </c>
      <c r="B6588" s="342" t="s">
        <v>7416</v>
      </c>
      <c r="C6588" s="341" t="s">
        <v>7278</v>
      </c>
      <c r="D6588" s="343">
        <v>49.9</v>
      </c>
    </row>
    <row r="6589" spans="1:4" ht="38.25">
      <c r="A6589" s="341">
        <v>82</v>
      </c>
      <c r="B6589" s="342" t="s">
        <v>7417</v>
      </c>
      <c r="C6589" s="341" t="s">
        <v>7278</v>
      </c>
      <c r="D6589" s="343">
        <v>194.18</v>
      </c>
    </row>
    <row r="6590" spans="1:4" ht="25.5">
      <c r="A6590" s="341">
        <v>105</v>
      </c>
      <c r="B6590" s="342" t="s">
        <v>7418</v>
      </c>
      <c r="C6590" s="341" t="s">
        <v>7278</v>
      </c>
      <c r="D6590" s="343">
        <v>261.56</v>
      </c>
    </row>
    <row r="6591" spans="1:4" ht="25.5">
      <c r="A6591" s="341">
        <v>60</v>
      </c>
      <c r="B6591" s="342" t="s">
        <v>7419</v>
      </c>
      <c r="C6591" s="341" t="s">
        <v>7278</v>
      </c>
      <c r="D6591" s="343">
        <v>2.94</v>
      </c>
    </row>
    <row r="6592" spans="1:4" ht="25.5">
      <c r="A6592" s="341">
        <v>72</v>
      </c>
      <c r="B6592" s="342" t="s">
        <v>7420</v>
      </c>
      <c r="C6592" s="341" t="s">
        <v>7278</v>
      </c>
      <c r="D6592" s="343">
        <v>25.89</v>
      </c>
    </row>
    <row r="6593" spans="1:4" ht="25.5">
      <c r="A6593" s="341">
        <v>70</v>
      </c>
      <c r="B6593" s="342" t="s">
        <v>7421</v>
      </c>
      <c r="C6593" s="341" t="s">
        <v>7278</v>
      </c>
      <c r="D6593" s="343">
        <v>26.24</v>
      </c>
    </row>
    <row r="6594" spans="1:4" ht="25.5">
      <c r="A6594" s="341">
        <v>85</v>
      </c>
      <c r="B6594" s="342" t="s">
        <v>7422</v>
      </c>
      <c r="C6594" s="341" t="s">
        <v>7278</v>
      </c>
      <c r="D6594" s="343">
        <v>37.72</v>
      </c>
    </row>
    <row r="6595" spans="1:4" ht="25.5">
      <c r="A6595" s="341">
        <v>84</v>
      </c>
      <c r="B6595" s="342" t="s">
        <v>7423</v>
      </c>
      <c r="C6595" s="341" t="s">
        <v>7278</v>
      </c>
      <c r="D6595" s="343">
        <v>1.43</v>
      </c>
    </row>
    <row r="6596" spans="1:4" ht="25.5">
      <c r="A6596" s="341">
        <v>37997</v>
      </c>
      <c r="B6596" s="342" t="s">
        <v>7424</v>
      </c>
      <c r="C6596" s="341" t="s">
        <v>7278</v>
      </c>
      <c r="D6596" s="343">
        <v>5.63</v>
      </c>
    </row>
    <row r="6597" spans="1:4" ht="25.5">
      <c r="A6597" s="341">
        <v>37998</v>
      </c>
      <c r="B6597" s="342" t="s">
        <v>7425</v>
      </c>
      <c r="C6597" s="341" t="s">
        <v>7278</v>
      </c>
      <c r="D6597" s="343">
        <v>5.83</v>
      </c>
    </row>
    <row r="6598" spans="1:4" ht="38.25">
      <c r="A6598" s="341">
        <v>10899</v>
      </c>
      <c r="B6598" s="342" t="s">
        <v>7426</v>
      </c>
      <c r="C6598" s="341" t="s">
        <v>7278</v>
      </c>
      <c r="D6598" s="343">
        <v>62.86</v>
      </c>
    </row>
    <row r="6599" spans="1:4" ht="38.25">
      <c r="A6599" s="341">
        <v>10900</v>
      </c>
      <c r="B6599" s="342" t="s">
        <v>7427</v>
      </c>
      <c r="C6599" s="341" t="s">
        <v>7278</v>
      </c>
      <c r="D6599" s="343">
        <v>49.19</v>
      </c>
    </row>
    <row r="6600" spans="1:4" ht="25.5">
      <c r="A6600" s="341">
        <v>46</v>
      </c>
      <c r="B6600" s="342" t="s">
        <v>7428</v>
      </c>
      <c r="C6600" s="341" t="s">
        <v>7278</v>
      </c>
      <c r="D6600" s="343">
        <v>19.79</v>
      </c>
    </row>
    <row r="6601" spans="1:4" ht="25.5">
      <c r="A6601" s="341">
        <v>51</v>
      </c>
      <c r="B6601" s="342" t="s">
        <v>7429</v>
      </c>
      <c r="C6601" s="341" t="s">
        <v>7278</v>
      </c>
      <c r="D6601" s="343">
        <v>44.95</v>
      </c>
    </row>
    <row r="6602" spans="1:4" ht="25.5">
      <c r="A6602" s="341">
        <v>12863</v>
      </c>
      <c r="B6602" s="342" t="s">
        <v>7430</v>
      </c>
      <c r="C6602" s="341" t="s">
        <v>7278</v>
      </c>
      <c r="D6602" s="343">
        <v>12.93</v>
      </c>
    </row>
    <row r="6603" spans="1:4" ht="25.5">
      <c r="A6603" s="341">
        <v>50</v>
      </c>
      <c r="B6603" s="342" t="s">
        <v>7431</v>
      </c>
      <c r="C6603" s="341" t="s">
        <v>7278</v>
      </c>
      <c r="D6603" s="343">
        <v>28.47</v>
      </c>
    </row>
    <row r="6604" spans="1:4" ht="25.5">
      <c r="A6604" s="341">
        <v>47</v>
      </c>
      <c r="B6604" s="342" t="s">
        <v>7432</v>
      </c>
      <c r="C6604" s="341" t="s">
        <v>7278</v>
      </c>
      <c r="D6604" s="343">
        <v>23.66</v>
      </c>
    </row>
    <row r="6605" spans="1:4" ht="25.5">
      <c r="A6605" s="341">
        <v>48</v>
      </c>
      <c r="B6605" s="342" t="s">
        <v>7433</v>
      </c>
      <c r="C6605" s="341" t="s">
        <v>7278</v>
      </c>
      <c r="D6605" s="343">
        <v>9.23</v>
      </c>
    </row>
    <row r="6606" spans="1:4" ht="25.5">
      <c r="A6606" s="341">
        <v>52</v>
      </c>
      <c r="B6606" s="342" t="s">
        <v>7434</v>
      </c>
      <c r="C6606" s="341" t="s">
        <v>7278</v>
      </c>
      <c r="D6606" s="343">
        <v>4.6100000000000003</v>
      </c>
    </row>
    <row r="6607" spans="1:4" ht="25.5">
      <c r="A6607" s="341">
        <v>43</v>
      </c>
      <c r="B6607" s="342" t="s">
        <v>7435</v>
      </c>
      <c r="C6607" s="341" t="s">
        <v>7278</v>
      </c>
      <c r="D6607" s="343">
        <v>12.13</v>
      </c>
    </row>
    <row r="6608" spans="1:4">
      <c r="A6608" s="341">
        <v>4791</v>
      </c>
      <c r="B6608" s="342" t="s">
        <v>7436</v>
      </c>
      <c r="C6608" s="341" t="s">
        <v>7338</v>
      </c>
      <c r="D6608" s="343">
        <v>14.55</v>
      </c>
    </row>
    <row r="6609" spans="1:4" ht="38.25">
      <c r="A6609" s="341">
        <v>157</v>
      </c>
      <c r="B6609" s="342" t="s">
        <v>7437</v>
      </c>
      <c r="C6609" s="341" t="s">
        <v>7338</v>
      </c>
      <c r="D6609" s="343">
        <v>94.61</v>
      </c>
    </row>
    <row r="6610" spans="1:4" ht="25.5">
      <c r="A6610" s="341">
        <v>156</v>
      </c>
      <c r="B6610" s="342" t="s">
        <v>7438</v>
      </c>
      <c r="C6610" s="341" t="s">
        <v>7338</v>
      </c>
      <c r="D6610" s="343">
        <v>42.23</v>
      </c>
    </row>
    <row r="6611" spans="1:4" ht="25.5">
      <c r="A6611" s="341">
        <v>131</v>
      </c>
      <c r="B6611" s="342" t="s">
        <v>7439</v>
      </c>
      <c r="C6611" s="341" t="s">
        <v>7338</v>
      </c>
      <c r="D6611" s="343">
        <v>40.54</v>
      </c>
    </row>
    <row r="6612" spans="1:4" ht="38.25">
      <c r="A6612" s="341">
        <v>39719</v>
      </c>
      <c r="B6612" s="342" t="s">
        <v>7440</v>
      </c>
      <c r="C6612" s="341" t="s">
        <v>7340</v>
      </c>
      <c r="D6612" s="343">
        <v>65.06</v>
      </c>
    </row>
    <row r="6613" spans="1:4">
      <c r="A6613" s="341">
        <v>21114</v>
      </c>
      <c r="B6613" s="342" t="s">
        <v>7441</v>
      </c>
      <c r="C6613" s="341" t="s">
        <v>7278</v>
      </c>
      <c r="D6613" s="343">
        <v>13.94</v>
      </c>
    </row>
    <row r="6614" spans="1:4" ht="25.5">
      <c r="A6614" s="341">
        <v>119</v>
      </c>
      <c r="B6614" s="342" t="s">
        <v>7442</v>
      </c>
      <c r="C6614" s="341" t="s">
        <v>7278</v>
      </c>
      <c r="D6614" s="343">
        <v>5.5</v>
      </c>
    </row>
    <row r="6615" spans="1:4" ht="25.5">
      <c r="A6615" s="341">
        <v>20080</v>
      </c>
      <c r="B6615" s="342" t="s">
        <v>7443</v>
      </c>
      <c r="C6615" s="341" t="s">
        <v>7278</v>
      </c>
      <c r="D6615" s="343">
        <v>15.77</v>
      </c>
    </row>
    <row r="6616" spans="1:4" ht="25.5">
      <c r="A6616" s="341">
        <v>122</v>
      </c>
      <c r="B6616" s="342" t="s">
        <v>7444</v>
      </c>
      <c r="C6616" s="341" t="s">
        <v>7278</v>
      </c>
      <c r="D6616" s="343">
        <v>49.68</v>
      </c>
    </row>
    <row r="6617" spans="1:4" ht="25.5">
      <c r="A6617" s="341">
        <v>3410</v>
      </c>
      <c r="B6617" s="342" t="s">
        <v>7445</v>
      </c>
      <c r="C6617" s="341" t="s">
        <v>7338</v>
      </c>
      <c r="D6617" s="343">
        <v>23.01</v>
      </c>
    </row>
    <row r="6618" spans="1:4" ht="38.25">
      <c r="A6618" s="341">
        <v>124</v>
      </c>
      <c r="B6618" s="342" t="s">
        <v>7446</v>
      </c>
      <c r="C6618" s="341" t="s">
        <v>7340</v>
      </c>
      <c r="D6618" s="343">
        <v>10.53</v>
      </c>
    </row>
    <row r="6619" spans="1:4" ht="25.5">
      <c r="A6619" s="341">
        <v>7334</v>
      </c>
      <c r="B6619" s="342" t="s">
        <v>7447</v>
      </c>
      <c r="C6619" s="341" t="s">
        <v>7340</v>
      </c>
      <c r="D6619" s="343">
        <v>12.15</v>
      </c>
    </row>
    <row r="6620" spans="1:4" ht="38.25">
      <c r="A6620" s="341">
        <v>7325</v>
      </c>
      <c r="B6620" s="342" t="s">
        <v>7448</v>
      </c>
      <c r="C6620" s="341" t="s">
        <v>7338</v>
      </c>
      <c r="D6620" s="343">
        <v>4.87</v>
      </c>
    </row>
    <row r="6621" spans="1:4" ht="38.25">
      <c r="A6621" s="341">
        <v>123</v>
      </c>
      <c r="B6621" s="342" t="s">
        <v>7449</v>
      </c>
      <c r="C6621" s="341" t="s">
        <v>7340</v>
      </c>
      <c r="D6621" s="343">
        <v>4.68</v>
      </c>
    </row>
    <row r="6622" spans="1:4" ht="25.5">
      <c r="A6622" s="341">
        <v>127</v>
      </c>
      <c r="B6622" s="342" t="s">
        <v>7450</v>
      </c>
      <c r="C6622" s="341" t="s">
        <v>7340</v>
      </c>
      <c r="D6622" s="343">
        <v>10.99</v>
      </c>
    </row>
    <row r="6623" spans="1:4" ht="25.5">
      <c r="A6623" s="341">
        <v>133</v>
      </c>
      <c r="B6623" s="342" t="s">
        <v>7451</v>
      </c>
      <c r="C6623" s="341" t="s">
        <v>7340</v>
      </c>
      <c r="D6623" s="343">
        <v>4.72</v>
      </c>
    </row>
    <row r="6624" spans="1:4" ht="25.5">
      <c r="A6624" s="341">
        <v>37538</v>
      </c>
      <c r="B6624" s="342" t="s">
        <v>7452</v>
      </c>
      <c r="C6624" s="341" t="s">
        <v>7453</v>
      </c>
      <c r="D6624" s="343">
        <v>117.17</v>
      </c>
    </row>
    <row r="6625" spans="1:4" ht="25.5">
      <c r="A6625" s="341">
        <v>132</v>
      </c>
      <c r="B6625" s="342" t="s">
        <v>7454</v>
      </c>
      <c r="C6625" s="341" t="s">
        <v>7340</v>
      </c>
      <c r="D6625" s="343">
        <v>5.19</v>
      </c>
    </row>
    <row r="6626" spans="1:4" ht="25.5">
      <c r="A6626" s="341">
        <v>13408</v>
      </c>
      <c r="B6626" s="342" t="s">
        <v>7455</v>
      </c>
      <c r="C6626" s="341" t="s">
        <v>7456</v>
      </c>
      <c r="D6626" s="344">
        <v>1845.87</v>
      </c>
    </row>
    <row r="6627" spans="1:4" ht="38.25">
      <c r="A6627" s="341">
        <v>37476</v>
      </c>
      <c r="B6627" s="342" t="s">
        <v>7457</v>
      </c>
      <c r="C6627" s="341" t="s">
        <v>7278</v>
      </c>
      <c r="D6627" s="344">
        <v>1343.31</v>
      </c>
    </row>
    <row r="6628" spans="1:4" ht="38.25">
      <c r="A6628" s="341">
        <v>37478</v>
      </c>
      <c r="B6628" s="342" t="s">
        <v>7458</v>
      </c>
      <c r="C6628" s="341" t="s">
        <v>7278</v>
      </c>
      <c r="D6628" s="344">
        <v>1900.43</v>
      </c>
    </row>
    <row r="6629" spans="1:4" ht="38.25">
      <c r="A6629" s="341">
        <v>37477</v>
      </c>
      <c r="B6629" s="342" t="s">
        <v>7459</v>
      </c>
      <c r="C6629" s="341" t="s">
        <v>7278</v>
      </c>
      <c r="D6629" s="344">
        <v>2325.4499999999998</v>
      </c>
    </row>
    <row r="6630" spans="1:4" ht="38.25">
      <c r="A6630" s="341">
        <v>37479</v>
      </c>
      <c r="B6630" s="342" t="s">
        <v>7460</v>
      </c>
      <c r="C6630" s="341" t="s">
        <v>7278</v>
      </c>
      <c r="D6630" s="344">
        <v>2907.71</v>
      </c>
    </row>
    <row r="6631" spans="1:4" ht="25.5">
      <c r="A6631" s="341">
        <v>4319</v>
      </c>
      <c r="B6631" s="342" t="s">
        <v>7461</v>
      </c>
      <c r="C6631" s="341" t="s">
        <v>7278</v>
      </c>
      <c r="D6631" s="343">
        <v>1.01</v>
      </c>
    </row>
    <row r="6632" spans="1:4" ht="25.5">
      <c r="A6632" s="341">
        <v>40553</v>
      </c>
      <c r="B6632" s="342" t="s">
        <v>7462</v>
      </c>
      <c r="C6632" s="341" t="s">
        <v>7283</v>
      </c>
      <c r="D6632" s="343">
        <v>37.5</v>
      </c>
    </row>
    <row r="6633" spans="1:4">
      <c r="A6633" s="341">
        <v>13003</v>
      </c>
      <c r="B6633" s="342" t="s">
        <v>7463</v>
      </c>
      <c r="C6633" s="341" t="s">
        <v>7340</v>
      </c>
      <c r="D6633" s="343">
        <v>7.6</v>
      </c>
    </row>
    <row r="6634" spans="1:4">
      <c r="A6634" s="341">
        <v>6114</v>
      </c>
      <c r="B6634" s="342" t="s">
        <v>7464</v>
      </c>
      <c r="C6634" s="341" t="s">
        <v>7275</v>
      </c>
      <c r="D6634" s="343">
        <v>8.83</v>
      </c>
    </row>
    <row r="6635" spans="1:4">
      <c r="A6635" s="341">
        <v>40912</v>
      </c>
      <c r="B6635" s="342" t="s">
        <v>7465</v>
      </c>
      <c r="C6635" s="341" t="s">
        <v>7466</v>
      </c>
      <c r="D6635" s="344">
        <v>1560.13</v>
      </c>
    </row>
    <row r="6636" spans="1:4">
      <c r="A6636" s="341">
        <v>247</v>
      </c>
      <c r="B6636" s="342" t="s">
        <v>7467</v>
      </c>
      <c r="C6636" s="341" t="s">
        <v>7275</v>
      </c>
      <c r="D6636" s="343">
        <v>9.2100000000000009</v>
      </c>
    </row>
    <row r="6637" spans="1:4">
      <c r="A6637" s="341">
        <v>40919</v>
      </c>
      <c r="B6637" s="342" t="s">
        <v>7468</v>
      </c>
      <c r="C6637" s="341" t="s">
        <v>7466</v>
      </c>
      <c r="D6637" s="344">
        <v>1627.12</v>
      </c>
    </row>
    <row r="6638" spans="1:4">
      <c r="A6638" s="341">
        <v>25958</v>
      </c>
      <c r="B6638" s="342" t="s">
        <v>7469</v>
      </c>
      <c r="C6638" s="341" t="s">
        <v>7275</v>
      </c>
      <c r="D6638" s="343">
        <v>6.77</v>
      </c>
    </row>
    <row r="6639" spans="1:4" ht="25.5">
      <c r="A6639" s="341">
        <v>40984</v>
      </c>
      <c r="B6639" s="342" t="s">
        <v>7470</v>
      </c>
      <c r="C6639" s="341" t="s">
        <v>7466</v>
      </c>
      <c r="D6639" s="344">
        <v>1195.3499999999999</v>
      </c>
    </row>
    <row r="6640" spans="1:4">
      <c r="A6640" s="341">
        <v>248</v>
      </c>
      <c r="B6640" s="342" t="s">
        <v>7471</v>
      </c>
      <c r="C6640" s="341" t="s">
        <v>7275</v>
      </c>
      <c r="D6640" s="343">
        <v>9.15</v>
      </c>
    </row>
    <row r="6641" spans="1:4" ht="25.5">
      <c r="A6641" s="341">
        <v>41086</v>
      </c>
      <c r="B6641" s="342" t="s">
        <v>7472</v>
      </c>
      <c r="C6641" s="341" t="s">
        <v>7466</v>
      </c>
      <c r="D6641" s="344">
        <v>1614.36</v>
      </c>
    </row>
    <row r="6642" spans="1:4">
      <c r="A6642" s="341">
        <v>34466</v>
      </c>
      <c r="B6642" s="342" t="s">
        <v>7473</v>
      </c>
      <c r="C6642" s="341" t="s">
        <v>7275</v>
      </c>
      <c r="D6642" s="343">
        <v>9.15</v>
      </c>
    </row>
    <row r="6643" spans="1:4">
      <c r="A6643" s="341">
        <v>41083</v>
      </c>
      <c r="B6643" s="342" t="s">
        <v>7474</v>
      </c>
      <c r="C6643" s="341" t="s">
        <v>7466</v>
      </c>
      <c r="D6643" s="344">
        <v>1614.36</v>
      </c>
    </row>
    <row r="6644" spans="1:4">
      <c r="A6644" s="341">
        <v>252</v>
      </c>
      <c r="B6644" s="342" t="s">
        <v>7475</v>
      </c>
      <c r="C6644" s="341" t="s">
        <v>7275</v>
      </c>
      <c r="D6644" s="343">
        <v>9.4700000000000006</v>
      </c>
    </row>
    <row r="6645" spans="1:4">
      <c r="A6645" s="341">
        <v>40909</v>
      </c>
      <c r="B6645" s="342" t="s">
        <v>7476</v>
      </c>
      <c r="C6645" s="341" t="s">
        <v>7466</v>
      </c>
      <c r="D6645" s="344">
        <v>1673.39</v>
      </c>
    </row>
    <row r="6646" spans="1:4">
      <c r="A6646" s="341">
        <v>242</v>
      </c>
      <c r="B6646" s="342" t="s">
        <v>7477</v>
      </c>
      <c r="C6646" s="341" t="s">
        <v>7275</v>
      </c>
      <c r="D6646" s="343">
        <v>12.23</v>
      </c>
    </row>
    <row r="6647" spans="1:4">
      <c r="A6647" s="341">
        <v>41085</v>
      </c>
      <c r="B6647" s="342" t="s">
        <v>7478</v>
      </c>
      <c r="C6647" s="341" t="s">
        <v>7466</v>
      </c>
      <c r="D6647" s="344">
        <v>2159.7399999999998</v>
      </c>
    </row>
    <row r="6648" spans="1:4" ht="38.25">
      <c r="A6648" s="341">
        <v>427</v>
      </c>
      <c r="B6648" s="342" t="s">
        <v>7479</v>
      </c>
      <c r="C6648" s="341" t="s">
        <v>7278</v>
      </c>
      <c r="D6648" s="343">
        <v>4.67</v>
      </c>
    </row>
    <row r="6649" spans="1:4" ht="38.25">
      <c r="A6649" s="341">
        <v>417</v>
      </c>
      <c r="B6649" s="342" t="s">
        <v>7480</v>
      </c>
      <c r="C6649" s="341" t="s">
        <v>7278</v>
      </c>
      <c r="D6649" s="343">
        <v>2.2000000000000002</v>
      </c>
    </row>
    <row r="6650" spans="1:4" ht="38.25">
      <c r="A6650" s="341">
        <v>11273</v>
      </c>
      <c r="B6650" s="342" t="s">
        <v>7481</v>
      </c>
      <c r="C6650" s="341" t="s">
        <v>7278</v>
      </c>
      <c r="D6650" s="343">
        <v>6.83</v>
      </c>
    </row>
    <row r="6651" spans="1:4" ht="38.25">
      <c r="A6651" s="341">
        <v>11272</v>
      </c>
      <c r="B6651" s="342" t="s">
        <v>7482</v>
      </c>
      <c r="C6651" s="341" t="s">
        <v>7278</v>
      </c>
      <c r="D6651" s="343">
        <v>4.12</v>
      </c>
    </row>
    <row r="6652" spans="1:4" ht="38.25">
      <c r="A6652" s="341">
        <v>11275</v>
      </c>
      <c r="B6652" s="342" t="s">
        <v>7483</v>
      </c>
      <c r="C6652" s="341" t="s">
        <v>7278</v>
      </c>
      <c r="D6652" s="343">
        <v>1.65</v>
      </c>
    </row>
    <row r="6653" spans="1:4" ht="38.25">
      <c r="A6653" s="341">
        <v>11274</v>
      </c>
      <c r="B6653" s="342" t="s">
        <v>7484</v>
      </c>
      <c r="C6653" s="341" t="s">
        <v>7278</v>
      </c>
      <c r="D6653" s="343">
        <v>1.26</v>
      </c>
    </row>
    <row r="6654" spans="1:4" ht="25.5">
      <c r="A6654" s="341">
        <v>38470</v>
      </c>
      <c r="B6654" s="342" t="s">
        <v>7485</v>
      </c>
      <c r="C6654" s="341" t="s">
        <v>7278</v>
      </c>
      <c r="D6654" s="343">
        <v>32.200000000000003</v>
      </c>
    </row>
    <row r="6655" spans="1:4">
      <c r="A6655" s="341">
        <v>38547</v>
      </c>
      <c r="B6655" s="342" t="s">
        <v>7486</v>
      </c>
      <c r="C6655" s="341" t="s">
        <v>7278</v>
      </c>
      <c r="D6655" s="343">
        <v>87.87</v>
      </c>
    </row>
    <row r="6656" spans="1:4" ht="25.5">
      <c r="A6656" s="341">
        <v>38469</v>
      </c>
      <c r="B6656" s="342" t="s">
        <v>7487</v>
      </c>
      <c r="C6656" s="341" t="s">
        <v>7278</v>
      </c>
      <c r="D6656" s="343">
        <v>94.48</v>
      </c>
    </row>
    <row r="6657" spans="1:4">
      <c r="A6657" s="341">
        <v>38467</v>
      </c>
      <c r="B6657" s="342" t="s">
        <v>7488</v>
      </c>
      <c r="C6657" s="341" t="s">
        <v>7278</v>
      </c>
      <c r="D6657" s="343">
        <v>53.16</v>
      </c>
    </row>
    <row r="6658" spans="1:4">
      <c r="A6658" s="341">
        <v>38468</v>
      </c>
      <c r="B6658" s="342" t="s">
        <v>7489</v>
      </c>
      <c r="C6658" s="341" t="s">
        <v>7278</v>
      </c>
      <c r="D6658" s="343">
        <v>58.5</v>
      </c>
    </row>
    <row r="6659" spans="1:4" ht="25.5">
      <c r="A6659" s="341">
        <v>38471</v>
      </c>
      <c r="B6659" s="342" t="s">
        <v>7490</v>
      </c>
      <c r="C6659" s="341" t="s">
        <v>7278</v>
      </c>
      <c r="D6659" s="343">
        <v>75.97</v>
      </c>
    </row>
    <row r="6660" spans="1:4" ht="25.5">
      <c r="A6660" s="341">
        <v>37370</v>
      </c>
      <c r="B6660" s="342" t="s">
        <v>7491</v>
      </c>
      <c r="C6660" s="341" t="s">
        <v>7275</v>
      </c>
      <c r="D6660" s="343">
        <v>2.15</v>
      </c>
    </row>
    <row r="6661" spans="1:4" ht="25.5">
      <c r="A6661" s="341">
        <v>40862</v>
      </c>
      <c r="B6661" s="342" t="s">
        <v>7492</v>
      </c>
      <c r="C6661" s="341" t="s">
        <v>7466</v>
      </c>
      <c r="D6661" s="343">
        <v>405.95</v>
      </c>
    </row>
    <row r="6662" spans="1:4" ht="38.25">
      <c r="A6662" s="341">
        <v>10658</v>
      </c>
      <c r="B6662" s="342" t="s">
        <v>7493</v>
      </c>
      <c r="C6662" s="341" t="s">
        <v>7278</v>
      </c>
      <c r="D6662" s="344">
        <v>6900</v>
      </c>
    </row>
    <row r="6663" spans="1:4">
      <c r="A6663" s="341">
        <v>253</v>
      </c>
      <c r="B6663" s="342" t="s">
        <v>7494</v>
      </c>
      <c r="C6663" s="341" t="s">
        <v>7275</v>
      </c>
      <c r="D6663" s="343">
        <v>12.68</v>
      </c>
    </row>
    <row r="6664" spans="1:4">
      <c r="A6664" s="341">
        <v>40809</v>
      </c>
      <c r="B6664" s="342" t="s">
        <v>7495</v>
      </c>
      <c r="C6664" s="341" t="s">
        <v>7466</v>
      </c>
      <c r="D6664" s="344">
        <v>2236.52</v>
      </c>
    </row>
    <row r="6665" spans="1:4" ht="63.75">
      <c r="A6665" s="341">
        <v>42457</v>
      </c>
      <c r="B6665" s="342" t="s">
        <v>7496</v>
      </c>
      <c r="C6665" s="341" t="s">
        <v>7278</v>
      </c>
      <c r="D6665" s="344">
        <v>1585.1</v>
      </c>
    </row>
    <row r="6666" spans="1:4">
      <c r="A6666" s="341">
        <v>583</v>
      </c>
      <c r="B6666" s="342" t="s">
        <v>7497</v>
      </c>
      <c r="C6666" s="341" t="s">
        <v>7338</v>
      </c>
      <c r="D6666" s="343">
        <v>23</v>
      </c>
    </row>
    <row r="6667" spans="1:4" ht="25.5">
      <c r="A6667" s="341">
        <v>299</v>
      </c>
      <c r="B6667" s="342" t="s">
        <v>7498</v>
      </c>
      <c r="C6667" s="341" t="s">
        <v>7278</v>
      </c>
      <c r="D6667" s="343">
        <v>1.47</v>
      </c>
    </row>
    <row r="6668" spans="1:4" ht="25.5">
      <c r="A6668" s="341">
        <v>298</v>
      </c>
      <c r="B6668" s="342" t="s">
        <v>7499</v>
      </c>
      <c r="C6668" s="341" t="s">
        <v>7278</v>
      </c>
      <c r="D6668" s="343">
        <v>1.48</v>
      </c>
    </row>
    <row r="6669" spans="1:4" ht="25.5">
      <c r="A6669" s="341">
        <v>295</v>
      </c>
      <c r="B6669" s="342" t="s">
        <v>7500</v>
      </c>
      <c r="C6669" s="341" t="s">
        <v>7278</v>
      </c>
      <c r="D6669" s="343">
        <v>0.88</v>
      </c>
    </row>
    <row r="6670" spans="1:4" ht="25.5">
      <c r="A6670" s="341">
        <v>296</v>
      </c>
      <c r="B6670" s="342" t="s">
        <v>7501</v>
      </c>
      <c r="C6670" s="341" t="s">
        <v>7278</v>
      </c>
      <c r="D6670" s="343">
        <v>0.91</v>
      </c>
    </row>
    <row r="6671" spans="1:4" ht="25.5">
      <c r="A6671" s="341">
        <v>297</v>
      </c>
      <c r="B6671" s="342" t="s">
        <v>7502</v>
      </c>
      <c r="C6671" s="341" t="s">
        <v>7278</v>
      </c>
      <c r="D6671" s="343">
        <v>1.29</v>
      </c>
    </row>
    <row r="6672" spans="1:4" ht="25.5">
      <c r="A6672" s="341">
        <v>301</v>
      </c>
      <c r="B6672" s="342" t="s">
        <v>7503</v>
      </c>
      <c r="C6672" s="341" t="s">
        <v>7278</v>
      </c>
      <c r="D6672" s="343">
        <v>1.62</v>
      </c>
    </row>
    <row r="6673" spans="1:4" ht="25.5">
      <c r="A6673" s="341">
        <v>300</v>
      </c>
      <c r="B6673" s="342" t="s">
        <v>7504</v>
      </c>
      <c r="C6673" s="341" t="s">
        <v>7278</v>
      </c>
      <c r="D6673" s="343">
        <v>6.8</v>
      </c>
    </row>
    <row r="6674" spans="1:4" ht="25.5">
      <c r="A6674" s="341">
        <v>20084</v>
      </c>
      <c r="B6674" s="342" t="s">
        <v>7505</v>
      </c>
      <c r="C6674" s="341" t="s">
        <v>7278</v>
      </c>
      <c r="D6674" s="343">
        <v>0.88</v>
      </c>
    </row>
    <row r="6675" spans="1:4" ht="25.5">
      <c r="A6675" s="341">
        <v>20085</v>
      </c>
      <c r="B6675" s="342" t="s">
        <v>7506</v>
      </c>
      <c r="C6675" s="341" t="s">
        <v>7278</v>
      </c>
      <c r="D6675" s="343">
        <v>0.81</v>
      </c>
    </row>
    <row r="6676" spans="1:4" ht="25.5">
      <c r="A6676" s="341">
        <v>311</v>
      </c>
      <c r="B6676" s="342" t="s">
        <v>7507</v>
      </c>
      <c r="C6676" s="341" t="s">
        <v>7278</v>
      </c>
      <c r="D6676" s="343">
        <v>5.26</v>
      </c>
    </row>
    <row r="6677" spans="1:4" ht="25.5">
      <c r="A6677" s="341">
        <v>318</v>
      </c>
      <c r="B6677" s="342" t="s">
        <v>7508</v>
      </c>
      <c r="C6677" s="341" t="s">
        <v>7278</v>
      </c>
      <c r="D6677" s="343">
        <v>9.2200000000000006</v>
      </c>
    </row>
    <row r="6678" spans="1:4" ht="25.5">
      <c r="A6678" s="341">
        <v>319</v>
      </c>
      <c r="B6678" s="342" t="s">
        <v>7509</v>
      </c>
      <c r="C6678" s="341" t="s">
        <v>7278</v>
      </c>
      <c r="D6678" s="343">
        <v>17.420000000000002</v>
      </c>
    </row>
    <row r="6679" spans="1:4" ht="25.5">
      <c r="A6679" s="341">
        <v>320</v>
      </c>
      <c r="B6679" s="342" t="s">
        <v>7510</v>
      </c>
      <c r="C6679" s="341" t="s">
        <v>7278</v>
      </c>
      <c r="D6679" s="343">
        <v>55.39</v>
      </c>
    </row>
    <row r="6680" spans="1:4" ht="25.5">
      <c r="A6680" s="341">
        <v>314</v>
      </c>
      <c r="B6680" s="342" t="s">
        <v>7511</v>
      </c>
      <c r="C6680" s="341" t="s">
        <v>7278</v>
      </c>
      <c r="D6680" s="343">
        <v>85.09</v>
      </c>
    </row>
    <row r="6681" spans="1:4" ht="25.5">
      <c r="A6681" s="341">
        <v>303</v>
      </c>
      <c r="B6681" s="342" t="s">
        <v>7512</v>
      </c>
      <c r="C6681" s="341" t="s">
        <v>7278</v>
      </c>
      <c r="D6681" s="343">
        <v>2.2000000000000002</v>
      </c>
    </row>
    <row r="6682" spans="1:4" ht="25.5">
      <c r="A6682" s="341">
        <v>304</v>
      </c>
      <c r="B6682" s="342" t="s">
        <v>7513</v>
      </c>
      <c r="C6682" s="341" t="s">
        <v>7278</v>
      </c>
      <c r="D6682" s="343">
        <v>3.37</v>
      </c>
    </row>
    <row r="6683" spans="1:4" ht="25.5">
      <c r="A6683" s="341">
        <v>305</v>
      </c>
      <c r="B6683" s="342" t="s">
        <v>7514</v>
      </c>
      <c r="C6683" s="341" t="s">
        <v>7278</v>
      </c>
      <c r="D6683" s="343">
        <v>5.75</v>
      </c>
    </row>
    <row r="6684" spans="1:4" ht="25.5">
      <c r="A6684" s="341">
        <v>306</v>
      </c>
      <c r="B6684" s="342" t="s">
        <v>7515</v>
      </c>
      <c r="C6684" s="341" t="s">
        <v>7278</v>
      </c>
      <c r="D6684" s="343">
        <v>6.92</v>
      </c>
    </row>
    <row r="6685" spans="1:4" ht="25.5">
      <c r="A6685" s="341">
        <v>307</v>
      </c>
      <c r="B6685" s="342" t="s">
        <v>7516</v>
      </c>
      <c r="C6685" s="341" t="s">
        <v>7278</v>
      </c>
      <c r="D6685" s="343">
        <v>13.66</v>
      </c>
    </row>
    <row r="6686" spans="1:4" ht="25.5">
      <c r="A6686" s="341">
        <v>309</v>
      </c>
      <c r="B6686" s="342" t="s">
        <v>7517</v>
      </c>
      <c r="C6686" s="341" t="s">
        <v>7278</v>
      </c>
      <c r="D6686" s="343">
        <v>27.99</v>
      </c>
    </row>
    <row r="6687" spans="1:4" ht="25.5">
      <c r="A6687" s="341">
        <v>310</v>
      </c>
      <c r="B6687" s="342" t="s">
        <v>7518</v>
      </c>
      <c r="C6687" s="341" t="s">
        <v>7278</v>
      </c>
      <c r="D6687" s="343">
        <v>35.5</v>
      </c>
    </row>
    <row r="6688" spans="1:4" ht="25.5">
      <c r="A6688" s="341">
        <v>328</v>
      </c>
      <c r="B6688" s="342" t="s">
        <v>7519</v>
      </c>
      <c r="C6688" s="341" t="s">
        <v>7278</v>
      </c>
      <c r="D6688" s="343">
        <v>4.2300000000000004</v>
      </c>
    </row>
    <row r="6689" spans="1:4" ht="25.5">
      <c r="A6689" s="341">
        <v>325</v>
      </c>
      <c r="B6689" s="342" t="s">
        <v>7520</v>
      </c>
      <c r="C6689" s="341" t="s">
        <v>7278</v>
      </c>
      <c r="D6689" s="343">
        <v>1.64</v>
      </c>
    </row>
    <row r="6690" spans="1:4" ht="25.5">
      <c r="A6690" s="341">
        <v>20326</v>
      </c>
      <c r="B6690" s="342" t="s">
        <v>7521</v>
      </c>
      <c r="C6690" s="341" t="s">
        <v>7278</v>
      </c>
      <c r="D6690" s="343">
        <v>4.4000000000000004</v>
      </c>
    </row>
    <row r="6691" spans="1:4" ht="25.5">
      <c r="A6691" s="341">
        <v>329</v>
      </c>
      <c r="B6691" s="342" t="s">
        <v>7522</v>
      </c>
      <c r="C6691" s="341" t="s">
        <v>7278</v>
      </c>
      <c r="D6691" s="343">
        <v>5.41</v>
      </c>
    </row>
    <row r="6692" spans="1:4" ht="25.5">
      <c r="A6692" s="341">
        <v>308</v>
      </c>
      <c r="B6692" s="342" t="s">
        <v>7523</v>
      </c>
      <c r="C6692" s="341" t="s">
        <v>7278</v>
      </c>
      <c r="D6692" s="343">
        <v>18.239999999999998</v>
      </c>
    </row>
    <row r="6693" spans="1:4" ht="25.5">
      <c r="A6693" s="341">
        <v>39642</v>
      </c>
      <c r="B6693" s="342" t="s">
        <v>7524</v>
      </c>
      <c r="C6693" s="341" t="s">
        <v>7278</v>
      </c>
      <c r="D6693" s="343">
        <v>1.1000000000000001</v>
      </c>
    </row>
    <row r="6694" spans="1:4" ht="25.5">
      <c r="A6694" s="341">
        <v>39641</v>
      </c>
      <c r="B6694" s="342" t="s">
        <v>7525</v>
      </c>
      <c r="C6694" s="341" t="s">
        <v>7278</v>
      </c>
      <c r="D6694" s="343">
        <v>0.77</v>
      </c>
    </row>
    <row r="6695" spans="1:4" ht="25.5">
      <c r="A6695" s="341">
        <v>39643</v>
      </c>
      <c r="B6695" s="342" t="s">
        <v>7526</v>
      </c>
      <c r="C6695" s="341" t="s">
        <v>7278</v>
      </c>
      <c r="D6695" s="343">
        <v>3.07</v>
      </c>
    </row>
    <row r="6696" spans="1:4" ht="25.5">
      <c r="A6696" s="341">
        <v>39644</v>
      </c>
      <c r="B6696" s="342" t="s">
        <v>7527</v>
      </c>
      <c r="C6696" s="341" t="s">
        <v>7278</v>
      </c>
      <c r="D6696" s="343">
        <v>3.97</v>
      </c>
    </row>
    <row r="6697" spans="1:4" ht="25.5">
      <c r="A6697" s="341">
        <v>39645</v>
      </c>
      <c r="B6697" s="342" t="s">
        <v>7528</v>
      </c>
      <c r="C6697" s="341" t="s">
        <v>7278</v>
      </c>
      <c r="D6697" s="343">
        <v>5.13</v>
      </c>
    </row>
    <row r="6698" spans="1:4" ht="25.5">
      <c r="A6698" s="341">
        <v>12548</v>
      </c>
      <c r="B6698" s="342" t="s">
        <v>7529</v>
      </c>
      <c r="C6698" s="341" t="s">
        <v>7278</v>
      </c>
      <c r="D6698" s="343">
        <v>67.180000000000007</v>
      </c>
    </row>
    <row r="6699" spans="1:4" ht="25.5">
      <c r="A6699" s="341">
        <v>13113</v>
      </c>
      <c r="B6699" s="342" t="s">
        <v>7530</v>
      </c>
      <c r="C6699" s="341" t="s">
        <v>7278</v>
      </c>
      <c r="D6699" s="343">
        <v>27.53</v>
      </c>
    </row>
    <row r="6700" spans="1:4" ht="25.5">
      <c r="A6700" s="341">
        <v>13114</v>
      </c>
      <c r="B6700" s="342" t="s">
        <v>7531</v>
      </c>
      <c r="C6700" s="341" t="s">
        <v>7278</v>
      </c>
      <c r="D6700" s="343">
        <v>33.520000000000003</v>
      </c>
    </row>
    <row r="6701" spans="1:4" ht="25.5">
      <c r="A6701" s="341">
        <v>12530</v>
      </c>
      <c r="B6701" s="342" t="s">
        <v>7532</v>
      </c>
      <c r="C6701" s="341" t="s">
        <v>7278</v>
      </c>
      <c r="D6701" s="343">
        <v>40.840000000000003</v>
      </c>
    </row>
    <row r="6702" spans="1:4" ht="25.5">
      <c r="A6702" s="341">
        <v>12531</v>
      </c>
      <c r="B6702" s="342" t="s">
        <v>7533</v>
      </c>
      <c r="C6702" s="341" t="s">
        <v>7278</v>
      </c>
      <c r="D6702" s="343">
        <v>45.68</v>
      </c>
    </row>
    <row r="6703" spans="1:4" ht="25.5">
      <c r="A6703" s="341">
        <v>12532</v>
      </c>
      <c r="B6703" s="342" t="s">
        <v>7534</v>
      </c>
      <c r="C6703" s="341" t="s">
        <v>7278</v>
      </c>
      <c r="D6703" s="343">
        <v>55.87</v>
      </c>
    </row>
    <row r="6704" spans="1:4" ht="25.5">
      <c r="A6704" s="341">
        <v>12533</v>
      </c>
      <c r="B6704" s="342" t="s">
        <v>7535</v>
      </c>
      <c r="C6704" s="341" t="s">
        <v>7278</v>
      </c>
      <c r="D6704" s="343">
        <v>66.64</v>
      </c>
    </row>
    <row r="6705" spans="1:4" ht="25.5">
      <c r="A6705" s="341">
        <v>12544</v>
      </c>
      <c r="B6705" s="342" t="s">
        <v>7536</v>
      </c>
      <c r="C6705" s="341" t="s">
        <v>7278</v>
      </c>
      <c r="D6705" s="343">
        <v>81.41</v>
      </c>
    </row>
    <row r="6706" spans="1:4" ht="25.5">
      <c r="A6706" s="341">
        <v>12546</v>
      </c>
      <c r="B6706" s="342" t="s">
        <v>7537</v>
      </c>
      <c r="C6706" s="341" t="s">
        <v>7278</v>
      </c>
      <c r="D6706" s="343">
        <v>84.27</v>
      </c>
    </row>
    <row r="6707" spans="1:4" ht="25.5">
      <c r="A6707" s="341">
        <v>12547</v>
      </c>
      <c r="B6707" s="342" t="s">
        <v>7538</v>
      </c>
      <c r="C6707" s="341" t="s">
        <v>7278</v>
      </c>
      <c r="D6707" s="343">
        <v>98</v>
      </c>
    </row>
    <row r="6708" spans="1:4" ht="25.5">
      <c r="A6708" s="341">
        <v>12551</v>
      </c>
      <c r="B6708" s="342" t="s">
        <v>7539</v>
      </c>
      <c r="C6708" s="341" t="s">
        <v>7278</v>
      </c>
      <c r="D6708" s="343">
        <v>106.71</v>
      </c>
    </row>
    <row r="6709" spans="1:4" ht="25.5">
      <c r="A6709" s="341">
        <v>12563</v>
      </c>
      <c r="B6709" s="342" t="s">
        <v>7540</v>
      </c>
      <c r="C6709" s="341" t="s">
        <v>7278</v>
      </c>
      <c r="D6709" s="343">
        <v>167.61</v>
      </c>
    </row>
    <row r="6710" spans="1:4" ht="25.5">
      <c r="A6710" s="341">
        <v>12565</v>
      </c>
      <c r="B6710" s="342" t="s">
        <v>7541</v>
      </c>
      <c r="C6710" s="341" t="s">
        <v>7278</v>
      </c>
      <c r="D6710" s="343">
        <v>263.76</v>
      </c>
    </row>
    <row r="6711" spans="1:4" ht="25.5">
      <c r="A6711" s="341">
        <v>12567</v>
      </c>
      <c r="B6711" s="342" t="s">
        <v>7542</v>
      </c>
      <c r="C6711" s="341" t="s">
        <v>7278</v>
      </c>
      <c r="D6711" s="343">
        <v>343.21</v>
      </c>
    </row>
    <row r="6712" spans="1:4" ht="25.5">
      <c r="A6712" s="341">
        <v>12568</v>
      </c>
      <c r="B6712" s="342" t="s">
        <v>7543</v>
      </c>
      <c r="C6712" s="341" t="s">
        <v>7278</v>
      </c>
      <c r="D6712" s="343">
        <v>566.69000000000005</v>
      </c>
    </row>
    <row r="6713" spans="1:4" ht="25.5">
      <c r="A6713" s="341">
        <v>11789</v>
      </c>
      <c r="B6713" s="342" t="s">
        <v>7544</v>
      </c>
      <c r="C6713" s="341" t="s">
        <v>7278</v>
      </c>
      <c r="D6713" s="343">
        <v>0.62</v>
      </c>
    </row>
    <row r="6714" spans="1:4" ht="38.25">
      <c r="A6714" s="341">
        <v>20975</v>
      </c>
      <c r="B6714" s="342" t="s">
        <v>7545</v>
      </c>
      <c r="C6714" s="341" t="s">
        <v>7278</v>
      </c>
      <c r="D6714" s="343">
        <v>9.86</v>
      </c>
    </row>
    <row r="6715" spans="1:4" ht="38.25">
      <c r="A6715" s="341">
        <v>20976</v>
      </c>
      <c r="B6715" s="342" t="s">
        <v>7546</v>
      </c>
      <c r="C6715" s="341" t="s">
        <v>7278</v>
      </c>
      <c r="D6715" s="343">
        <v>14.89</v>
      </c>
    </row>
    <row r="6716" spans="1:4" ht="25.5">
      <c r="A6716" s="341">
        <v>40340</v>
      </c>
      <c r="B6716" s="342" t="s">
        <v>7547</v>
      </c>
      <c r="C6716" s="341" t="s">
        <v>7278</v>
      </c>
      <c r="D6716" s="343">
        <v>42.9</v>
      </c>
    </row>
    <row r="6717" spans="1:4" ht="25.5">
      <c r="A6717" s="341">
        <v>40341</v>
      </c>
      <c r="B6717" s="342" t="s">
        <v>7548</v>
      </c>
      <c r="C6717" s="341" t="s">
        <v>7278</v>
      </c>
      <c r="D6717" s="343">
        <v>50.8</v>
      </c>
    </row>
    <row r="6718" spans="1:4" ht="25.5">
      <c r="A6718" s="341">
        <v>40342</v>
      </c>
      <c r="B6718" s="342" t="s">
        <v>7549</v>
      </c>
      <c r="C6718" s="341" t="s">
        <v>7278</v>
      </c>
      <c r="D6718" s="343">
        <v>64.400000000000006</v>
      </c>
    </row>
    <row r="6719" spans="1:4" ht="25.5">
      <c r="A6719" s="341">
        <v>40343</v>
      </c>
      <c r="B6719" s="342" t="s">
        <v>7550</v>
      </c>
      <c r="C6719" s="341" t="s">
        <v>7278</v>
      </c>
      <c r="D6719" s="343">
        <v>79</v>
      </c>
    </row>
    <row r="6720" spans="1:4" ht="25.5">
      <c r="A6720" s="341">
        <v>40344</v>
      </c>
      <c r="B6720" s="342" t="s">
        <v>7551</v>
      </c>
      <c r="C6720" s="341" t="s">
        <v>7278</v>
      </c>
      <c r="D6720" s="343">
        <v>83.53</v>
      </c>
    </row>
    <row r="6721" spans="1:4" ht="25.5">
      <c r="A6721" s="341">
        <v>40345</v>
      </c>
      <c r="B6721" s="342" t="s">
        <v>7552</v>
      </c>
      <c r="C6721" s="341" t="s">
        <v>7278</v>
      </c>
      <c r="D6721" s="343">
        <v>104.3</v>
      </c>
    </row>
    <row r="6722" spans="1:4" ht="25.5">
      <c r="A6722" s="341">
        <v>40346</v>
      </c>
      <c r="B6722" s="342" t="s">
        <v>7553</v>
      </c>
      <c r="C6722" s="341" t="s">
        <v>7278</v>
      </c>
      <c r="D6722" s="343">
        <v>98.11</v>
      </c>
    </row>
    <row r="6723" spans="1:4" ht="25.5">
      <c r="A6723" s="341">
        <v>40347</v>
      </c>
      <c r="B6723" s="342" t="s">
        <v>7554</v>
      </c>
      <c r="C6723" s="341" t="s">
        <v>7278</v>
      </c>
      <c r="D6723" s="343">
        <v>121.31</v>
      </c>
    </row>
    <row r="6724" spans="1:4" ht="25.5">
      <c r="A6724" s="341">
        <v>38840</v>
      </c>
      <c r="B6724" s="342" t="s">
        <v>7555</v>
      </c>
      <c r="C6724" s="341" t="s">
        <v>7278</v>
      </c>
      <c r="D6724" s="343">
        <v>1.97</v>
      </c>
    </row>
    <row r="6725" spans="1:4" ht="25.5">
      <c r="A6725" s="341">
        <v>38841</v>
      </c>
      <c r="B6725" s="342" t="s">
        <v>7556</v>
      </c>
      <c r="C6725" s="341" t="s">
        <v>7278</v>
      </c>
      <c r="D6725" s="343">
        <v>2.19</v>
      </c>
    </row>
    <row r="6726" spans="1:4" ht="25.5">
      <c r="A6726" s="341">
        <v>38842</v>
      </c>
      <c r="B6726" s="342" t="s">
        <v>7557</v>
      </c>
      <c r="C6726" s="341" t="s">
        <v>7278</v>
      </c>
      <c r="D6726" s="343">
        <v>4.32</v>
      </c>
    </row>
    <row r="6727" spans="1:4" ht="25.5">
      <c r="A6727" s="341">
        <v>38843</v>
      </c>
      <c r="B6727" s="342" t="s">
        <v>7558</v>
      </c>
      <c r="C6727" s="341" t="s">
        <v>7278</v>
      </c>
      <c r="D6727" s="343">
        <v>6.76</v>
      </c>
    </row>
    <row r="6728" spans="1:4" ht="51">
      <c r="A6728" s="341">
        <v>13761</v>
      </c>
      <c r="B6728" s="342" t="s">
        <v>7559</v>
      </c>
      <c r="C6728" s="341" t="s">
        <v>7278</v>
      </c>
      <c r="D6728" s="344">
        <v>2707</v>
      </c>
    </row>
    <row r="6729" spans="1:4" ht="63.75">
      <c r="A6729" s="341">
        <v>12888</v>
      </c>
      <c r="B6729" s="342" t="s">
        <v>7560</v>
      </c>
      <c r="C6729" s="341" t="s">
        <v>7561</v>
      </c>
      <c r="D6729" s="343">
        <v>84.62</v>
      </c>
    </row>
    <row r="6730" spans="1:4" ht="25.5">
      <c r="A6730" s="341">
        <v>12889</v>
      </c>
      <c r="B6730" s="342" t="s">
        <v>7562</v>
      </c>
      <c r="C6730" s="341" t="s">
        <v>7561</v>
      </c>
      <c r="D6730" s="343">
        <v>55.26</v>
      </c>
    </row>
    <row r="6731" spans="1:4" ht="51">
      <c r="A6731" s="341">
        <v>4814</v>
      </c>
      <c r="B6731" s="342" t="s">
        <v>7563</v>
      </c>
      <c r="C6731" s="341" t="s">
        <v>7278</v>
      </c>
      <c r="D6731" s="343">
        <v>104.23</v>
      </c>
    </row>
    <row r="6732" spans="1:4" ht="25.5">
      <c r="A6732" s="341">
        <v>25967</v>
      </c>
      <c r="B6732" s="342" t="s">
        <v>7564</v>
      </c>
      <c r="C6732" s="341" t="s">
        <v>7278</v>
      </c>
      <c r="D6732" s="344">
        <v>1368.14</v>
      </c>
    </row>
    <row r="6733" spans="1:4">
      <c r="A6733" s="341">
        <v>6122</v>
      </c>
      <c r="B6733" s="342" t="s">
        <v>7565</v>
      </c>
      <c r="C6733" s="341" t="s">
        <v>7275</v>
      </c>
      <c r="D6733" s="343">
        <v>12.19</v>
      </c>
    </row>
    <row r="6734" spans="1:4" ht="25.5">
      <c r="A6734" s="341">
        <v>40810</v>
      </c>
      <c r="B6734" s="342" t="s">
        <v>7566</v>
      </c>
      <c r="C6734" s="341" t="s">
        <v>7466</v>
      </c>
      <c r="D6734" s="344">
        <v>2151.89</v>
      </c>
    </row>
    <row r="6735" spans="1:4" ht="25.5">
      <c r="A6735" s="341">
        <v>21100</v>
      </c>
      <c r="B6735" s="342" t="s">
        <v>7567</v>
      </c>
      <c r="C6735" s="341" t="s">
        <v>7278</v>
      </c>
      <c r="D6735" s="344">
        <v>2579.0300000000002</v>
      </c>
    </row>
    <row r="6736" spans="1:4" ht="51">
      <c r="A6736" s="341">
        <v>11816</v>
      </c>
      <c r="B6736" s="342" t="s">
        <v>7568</v>
      </c>
      <c r="C6736" s="341" t="s">
        <v>7278</v>
      </c>
      <c r="D6736" s="344">
        <v>2750</v>
      </c>
    </row>
    <row r="6737" spans="1:4" ht="51">
      <c r="A6737" s="341">
        <v>11814</v>
      </c>
      <c r="B6737" s="342" t="s">
        <v>7569</v>
      </c>
      <c r="C6737" s="341" t="s">
        <v>7278</v>
      </c>
      <c r="D6737" s="344">
        <v>5986.06</v>
      </c>
    </row>
    <row r="6738" spans="1:4" ht="63.75">
      <c r="A6738" s="341">
        <v>14186</v>
      </c>
      <c r="B6738" s="342" t="s">
        <v>7570</v>
      </c>
      <c r="C6738" s="341" t="s">
        <v>7278</v>
      </c>
      <c r="D6738" s="344">
        <v>7516.3</v>
      </c>
    </row>
    <row r="6739" spans="1:4" ht="51">
      <c r="A6739" s="341">
        <v>14185</v>
      </c>
      <c r="B6739" s="342" t="s">
        <v>7571</v>
      </c>
      <c r="C6739" s="341" t="s">
        <v>7278</v>
      </c>
      <c r="D6739" s="344">
        <v>9736.5400000000009</v>
      </c>
    </row>
    <row r="6740" spans="1:4" ht="51">
      <c r="A6740" s="341">
        <v>11811</v>
      </c>
      <c r="B6740" s="342" t="s">
        <v>7572</v>
      </c>
      <c r="C6740" s="341" t="s">
        <v>7278</v>
      </c>
      <c r="D6740" s="344">
        <v>3722.88</v>
      </c>
    </row>
    <row r="6741" spans="1:4" ht="25.5">
      <c r="A6741" s="341">
        <v>26038</v>
      </c>
      <c r="B6741" s="342" t="s">
        <v>7573</v>
      </c>
      <c r="C6741" s="341" t="s">
        <v>7278</v>
      </c>
      <c r="D6741" s="344">
        <v>187905.23</v>
      </c>
    </row>
    <row r="6742" spans="1:4" ht="38.25">
      <c r="A6742" s="341">
        <v>34482</v>
      </c>
      <c r="B6742" s="342" t="s">
        <v>7574</v>
      </c>
      <c r="C6742" s="341" t="s">
        <v>7278</v>
      </c>
      <c r="D6742" s="344">
        <v>4313.7</v>
      </c>
    </row>
    <row r="6743" spans="1:4" ht="38.25">
      <c r="A6743" s="341">
        <v>34469</v>
      </c>
      <c r="B6743" s="342" t="s">
        <v>7575</v>
      </c>
      <c r="C6743" s="341" t="s">
        <v>7278</v>
      </c>
      <c r="D6743" s="344">
        <v>6672.76</v>
      </c>
    </row>
    <row r="6744" spans="1:4" ht="38.25">
      <c r="A6744" s="341">
        <v>34472</v>
      </c>
      <c r="B6744" s="342" t="s">
        <v>7576</v>
      </c>
      <c r="C6744" s="341" t="s">
        <v>7278</v>
      </c>
      <c r="D6744" s="344">
        <v>2053</v>
      </c>
    </row>
    <row r="6745" spans="1:4" ht="38.25">
      <c r="A6745" s="341">
        <v>34476</v>
      </c>
      <c r="B6745" s="342" t="s">
        <v>7577</v>
      </c>
      <c r="C6745" s="341" t="s">
        <v>7278</v>
      </c>
      <c r="D6745" s="344">
        <v>3480.12</v>
      </c>
    </row>
    <row r="6746" spans="1:4" ht="38.25">
      <c r="A6746" s="341">
        <v>34477</v>
      </c>
      <c r="B6746" s="342" t="s">
        <v>7578</v>
      </c>
      <c r="C6746" s="341" t="s">
        <v>7278</v>
      </c>
      <c r="D6746" s="344">
        <v>4618.8</v>
      </c>
    </row>
    <row r="6747" spans="1:4" ht="25.5">
      <c r="A6747" s="341">
        <v>39847</v>
      </c>
      <c r="B6747" s="342" t="s">
        <v>7579</v>
      </c>
      <c r="C6747" s="341" t="s">
        <v>7278</v>
      </c>
      <c r="D6747" s="344">
        <v>1567.29</v>
      </c>
    </row>
    <row r="6748" spans="1:4" ht="25.5">
      <c r="A6748" s="341">
        <v>39844</v>
      </c>
      <c r="B6748" s="342" t="s">
        <v>7580</v>
      </c>
      <c r="C6748" s="341" t="s">
        <v>7278</v>
      </c>
      <c r="D6748" s="344">
        <v>2313</v>
      </c>
    </row>
    <row r="6749" spans="1:4" ht="25.5">
      <c r="A6749" s="341">
        <v>39845</v>
      </c>
      <c r="B6749" s="342" t="s">
        <v>7581</v>
      </c>
      <c r="C6749" s="341" t="s">
        <v>7278</v>
      </c>
      <c r="D6749" s="344">
        <v>1338.73</v>
      </c>
    </row>
    <row r="6750" spans="1:4" ht="25.5">
      <c r="A6750" s="341">
        <v>39846</v>
      </c>
      <c r="B6750" s="342" t="s">
        <v>7582</v>
      </c>
      <c r="C6750" s="341" t="s">
        <v>7278</v>
      </c>
      <c r="D6750" s="344">
        <v>1413.19</v>
      </c>
    </row>
    <row r="6751" spans="1:4" ht="25.5">
      <c r="A6751" s="341">
        <v>39838</v>
      </c>
      <c r="B6751" s="342" t="s">
        <v>7583</v>
      </c>
      <c r="C6751" s="341" t="s">
        <v>7278</v>
      </c>
      <c r="D6751" s="344">
        <v>3916.9</v>
      </c>
    </row>
    <row r="6752" spans="1:4" ht="25.5">
      <c r="A6752" s="341">
        <v>39839</v>
      </c>
      <c r="B6752" s="342" t="s">
        <v>7584</v>
      </c>
      <c r="C6752" s="341" t="s">
        <v>7278</v>
      </c>
      <c r="D6752" s="344">
        <v>4092.28</v>
      </c>
    </row>
    <row r="6753" spans="1:4" ht="25.5">
      <c r="A6753" s="341">
        <v>39840</v>
      </c>
      <c r="B6753" s="342" t="s">
        <v>7585</v>
      </c>
      <c r="C6753" s="341" t="s">
        <v>7278</v>
      </c>
      <c r="D6753" s="344">
        <v>5215.0200000000004</v>
      </c>
    </row>
    <row r="6754" spans="1:4" ht="25.5">
      <c r="A6754" s="341">
        <v>39841</v>
      </c>
      <c r="B6754" s="342" t="s">
        <v>7586</v>
      </c>
      <c r="C6754" s="341" t="s">
        <v>7278</v>
      </c>
      <c r="D6754" s="344">
        <v>5545.24</v>
      </c>
    </row>
    <row r="6755" spans="1:4" ht="25.5">
      <c r="A6755" s="341">
        <v>39842</v>
      </c>
      <c r="B6755" s="342" t="s">
        <v>7587</v>
      </c>
      <c r="C6755" s="341" t="s">
        <v>7278</v>
      </c>
      <c r="D6755" s="344">
        <v>7044.53</v>
      </c>
    </row>
    <row r="6756" spans="1:4" ht="25.5">
      <c r="A6756" s="341">
        <v>39843</v>
      </c>
      <c r="B6756" s="342" t="s">
        <v>7588</v>
      </c>
      <c r="C6756" s="341" t="s">
        <v>7278</v>
      </c>
      <c r="D6756" s="344">
        <v>7776.36</v>
      </c>
    </row>
    <row r="6757" spans="1:4">
      <c r="A6757" s="341">
        <v>39580</v>
      </c>
      <c r="B6757" s="342" t="s">
        <v>7589</v>
      </c>
      <c r="C6757" s="341" t="s">
        <v>7278</v>
      </c>
      <c r="D6757" s="344">
        <v>67238.41</v>
      </c>
    </row>
    <row r="6758" spans="1:4">
      <c r="A6758" s="341">
        <v>39577</v>
      </c>
      <c r="B6758" s="342" t="s">
        <v>7590</v>
      </c>
      <c r="C6758" s="341" t="s">
        <v>7278</v>
      </c>
      <c r="D6758" s="344">
        <v>28937.95</v>
      </c>
    </row>
    <row r="6759" spans="1:4">
      <c r="A6759" s="341">
        <v>39578</v>
      </c>
      <c r="B6759" s="342" t="s">
        <v>7591</v>
      </c>
      <c r="C6759" s="341" t="s">
        <v>7278</v>
      </c>
      <c r="D6759" s="344">
        <v>34988.89</v>
      </c>
    </row>
    <row r="6760" spans="1:4">
      <c r="A6760" s="341">
        <v>39579</v>
      </c>
      <c r="B6760" s="342" t="s">
        <v>7592</v>
      </c>
      <c r="C6760" s="341" t="s">
        <v>7278</v>
      </c>
      <c r="D6760" s="344">
        <v>43493.42</v>
      </c>
    </row>
    <row r="6761" spans="1:4" ht="25.5">
      <c r="A6761" s="341">
        <v>39557</v>
      </c>
      <c r="B6761" s="342" t="s">
        <v>7593</v>
      </c>
      <c r="C6761" s="341" t="s">
        <v>7278</v>
      </c>
      <c r="D6761" s="344">
        <v>6245.33</v>
      </c>
    </row>
    <row r="6762" spans="1:4" ht="25.5">
      <c r="A6762" s="341">
        <v>39558</v>
      </c>
      <c r="B6762" s="342" t="s">
        <v>7594</v>
      </c>
      <c r="C6762" s="341" t="s">
        <v>7278</v>
      </c>
      <c r="D6762" s="344">
        <v>6285.89</v>
      </c>
    </row>
    <row r="6763" spans="1:4" ht="25.5">
      <c r="A6763" s="341">
        <v>39559</v>
      </c>
      <c r="B6763" s="342" t="s">
        <v>7595</v>
      </c>
      <c r="C6763" s="341" t="s">
        <v>7278</v>
      </c>
      <c r="D6763" s="344">
        <v>6523.06</v>
      </c>
    </row>
    <row r="6764" spans="1:4" ht="25.5">
      <c r="A6764" s="341">
        <v>39560</v>
      </c>
      <c r="B6764" s="342" t="s">
        <v>7596</v>
      </c>
      <c r="C6764" s="341" t="s">
        <v>7278</v>
      </c>
      <c r="D6764" s="344">
        <v>7501.2</v>
      </c>
    </row>
    <row r="6765" spans="1:4" ht="25.5">
      <c r="A6765" s="341">
        <v>39561</v>
      </c>
      <c r="B6765" s="342" t="s">
        <v>7597</v>
      </c>
      <c r="C6765" s="341" t="s">
        <v>7278</v>
      </c>
      <c r="D6765" s="344">
        <v>8711.6299999999992</v>
      </c>
    </row>
    <row r="6766" spans="1:4" ht="25.5">
      <c r="A6766" s="341">
        <v>39556</v>
      </c>
      <c r="B6766" s="342" t="s">
        <v>7598</v>
      </c>
      <c r="C6766" s="341" t="s">
        <v>7278</v>
      </c>
      <c r="D6766" s="344">
        <v>5752.99</v>
      </c>
    </row>
    <row r="6767" spans="1:4" ht="25.5">
      <c r="A6767" s="341">
        <v>39555</v>
      </c>
      <c r="B6767" s="342" t="s">
        <v>7599</v>
      </c>
      <c r="C6767" s="341" t="s">
        <v>7278</v>
      </c>
      <c r="D6767" s="344">
        <v>1803.88</v>
      </c>
    </row>
    <row r="6768" spans="1:4" ht="25.5">
      <c r="A6768" s="341">
        <v>39548</v>
      </c>
      <c r="B6768" s="342" t="s">
        <v>7600</v>
      </c>
      <c r="C6768" s="341" t="s">
        <v>7278</v>
      </c>
      <c r="D6768" s="344">
        <v>2609.21</v>
      </c>
    </row>
    <row r="6769" spans="1:4" ht="25.5">
      <c r="A6769" s="341">
        <v>39554</v>
      </c>
      <c r="B6769" s="342" t="s">
        <v>7601</v>
      </c>
      <c r="C6769" s="341" t="s">
        <v>7278</v>
      </c>
      <c r="D6769" s="344">
        <v>3238.66</v>
      </c>
    </row>
    <row r="6770" spans="1:4" ht="25.5">
      <c r="A6770" s="341">
        <v>39550</v>
      </c>
      <c r="B6770" s="342" t="s">
        <v>7602</v>
      </c>
      <c r="C6770" s="341" t="s">
        <v>7278</v>
      </c>
      <c r="D6770" s="344">
        <v>1263</v>
      </c>
    </row>
    <row r="6771" spans="1:4" ht="25.5">
      <c r="A6771" s="341">
        <v>39551</v>
      </c>
      <c r="B6771" s="342" t="s">
        <v>7603</v>
      </c>
      <c r="C6771" s="341" t="s">
        <v>7278</v>
      </c>
      <c r="D6771" s="344">
        <v>1581.61</v>
      </c>
    </row>
    <row r="6772" spans="1:4" ht="25.5">
      <c r="A6772" s="341">
        <v>39826</v>
      </c>
      <c r="B6772" s="342" t="s">
        <v>7604</v>
      </c>
      <c r="C6772" s="341" t="s">
        <v>7278</v>
      </c>
      <c r="D6772" s="344">
        <v>4280.03</v>
      </c>
    </row>
    <row r="6773" spans="1:4" ht="25.5">
      <c r="A6773" s="341">
        <v>10700</v>
      </c>
      <c r="B6773" s="342" t="s">
        <v>7605</v>
      </c>
      <c r="C6773" s="341" t="s">
        <v>7278</v>
      </c>
      <c r="D6773" s="344">
        <v>10687.56</v>
      </c>
    </row>
    <row r="6774" spans="1:4" ht="25.5">
      <c r="A6774" s="341">
        <v>346</v>
      </c>
      <c r="B6774" s="342" t="s">
        <v>7606</v>
      </c>
      <c r="C6774" s="341" t="s">
        <v>7338</v>
      </c>
      <c r="D6774" s="343">
        <v>14.19</v>
      </c>
    </row>
    <row r="6775" spans="1:4" ht="25.5">
      <c r="A6775" s="341">
        <v>3312</v>
      </c>
      <c r="B6775" s="342" t="s">
        <v>7607</v>
      </c>
      <c r="C6775" s="341" t="s">
        <v>7338</v>
      </c>
      <c r="D6775" s="343">
        <v>17.170000000000002</v>
      </c>
    </row>
    <row r="6776" spans="1:4" ht="25.5">
      <c r="A6776" s="341">
        <v>339</v>
      </c>
      <c r="B6776" s="342" t="s">
        <v>7608</v>
      </c>
      <c r="C6776" s="341" t="s">
        <v>7287</v>
      </c>
      <c r="D6776" s="343">
        <v>0.69</v>
      </c>
    </row>
    <row r="6777" spans="1:4" ht="25.5">
      <c r="A6777" s="341">
        <v>340</v>
      </c>
      <c r="B6777" s="342" t="s">
        <v>7609</v>
      </c>
      <c r="C6777" s="341" t="s">
        <v>7287</v>
      </c>
      <c r="D6777" s="343">
        <v>0.94</v>
      </c>
    </row>
    <row r="6778" spans="1:4">
      <c r="A6778" s="341">
        <v>338</v>
      </c>
      <c r="B6778" s="342" t="s">
        <v>7610</v>
      </c>
      <c r="C6778" s="341" t="s">
        <v>7338</v>
      </c>
      <c r="D6778" s="343">
        <v>17.86</v>
      </c>
    </row>
    <row r="6779" spans="1:4" ht="25.5">
      <c r="A6779" s="341">
        <v>334</v>
      </c>
      <c r="B6779" s="342" t="s">
        <v>7611</v>
      </c>
      <c r="C6779" s="341" t="s">
        <v>7338</v>
      </c>
      <c r="D6779" s="343">
        <v>12.83</v>
      </c>
    </row>
    <row r="6780" spans="1:4" ht="25.5">
      <c r="A6780" s="341">
        <v>335</v>
      </c>
      <c r="B6780" s="342" t="s">
        <v>7612</v>
      </c>
      <c r="C6780" s="341" t="s">
        <v>7338</v>
      </c>
      <c r="D6780" s="343">
        <v>11.76</v>
      </c>
    </row>
    <row r="6781" spans="1:4" ht="25.5">
      <c r="A6781" s="341">
        <v>342</v>
      </c>
      <c r="B6781" s="342" t="s">
        <v>7613</v>
      </c>
      <c r="C6781" s="341" t="s">
        <v>7338</v>
      </c>
      <c r="D6781" s="343">
        <v>13.29</v>
      </c>
    </row>
    <row r="6782" spans="1:4" ht="25.5">
      <c r="A6782" s="341">
        <v>333</v>
      </c>
      <c r="B6782" s="342" t="s">
        <v>7614</v>
      </c>
      <c r="C6782" s="341" t="s">
        <v>7338</v>
      </c>
      <c r="D6782" s="343">
        <v>13.6</v>
      </c>
    </row>
    <row r="6783" spans="1:4" ht="25.5">
      <c r="A6783" s="341">
        <v>343</v>
      </c>
      <c r="B6783" s="342" t="s">
        <v>7615</v>
      </c>
      <c r="C6783" s="341" t="s">
        <v>7287</v>
      </c>
      <c r="D6783" s="343">
        <v>0.36</v>
      </c>
    </row>
    <row r="6784" spans="1:4" ht="25.5">
      <c r="A6784" s="341">
        <v>344</v>
      </c>
      <c r="B6784" s="342" t="s">
        <v>7616</v>
      </c>
      <c r="C6784" s="341" t="s">
        <v>7338</v>
      </c>
      <c r="D6784" s="343">
        <v>14.71</v>
      </c>
    </row>
    <row r="6785" spans="1:4" ht="25.5">
      <c r="A6785" s="341">
        <v>345</v>
      </c>
      <c r="B6785" s="342" t="s">
        <v>7617</v>
      </c>
      <c r="C6785" s="341" t="s">
        <v>7338</v>
      </c>
      <c r="D6785" s="343">
        <v>17.98</v>
      </c>
    </row>
    <row r="6786" spans="1:4" ht="25.5">
      <c r="A6786" s="341">
        <v>341</v>
      </c>
      <c r="B6786" s="342" t="s">
        <v>7617</v>
      </c>
      <c r="C6786" s="341" t="s">
        <v>7287</v>
      </c>
      <c r="D6786" s="343">
        <v>0.17</v>
      </c>
    </row>
    <row r="6787" spans="1:4" ht="25.5">
      <c r="A6787" s="341">
        <v>11107</v>
      </c>
      <c r="B6787" s="342" t="s">
        <v>7618</v>
      </c>
      <c r="C6787" s="341" t="s">
        <v>7338</v>
      </c>
      <c r="D6787" s="343">
        <v>11.68</v>
      </c>
    </row>
    <row r="6788" spans="1:4" ht="25.5">
      <c r="A6788" s="341">
        <v>3313</v>
      </c>
      <c r="B6788" s="342" t="s">
        <v>7619</v>
      </c>
      <c r="C6788" s="341" t="s">
        <v>7338</v>
      </c>
      <c r="D6788" s="343">
        <v>22.1</v>
      </c>
    </row>
    <row r="6789" spans="1:4">
      <c r="A6789" s="341">
        <v>34562</v>
      </c>
      <c r="B6789" s="342" t="s">
        <v>7620</v>
      </c>
      <c r="C6789" s="341" t="s">
        <v>7338</v>
      </c>
      <c r="D6789" s="343">
        <v>9.73</v>
      </c>
    </row>
    <row r="6790" spans="1:4">
      <c r="A6790" s="341">
        <v>337</v>
      </c>
      <c r="B6790" s="342" t="s">
        <v>7621</v>
      </c>
      <c r="C6790" s="341" t="s">
        <v>7338</v>
      </c>
      <c r="D6790" s="343">
        <v>9.4</v>
      </c>
    </row>
    <row r="6791" spans="1:4" ht="25.5">
      <c r="A6791" s="341">
        <v>369</v>
      </c>
      <c r="B6791" s="342" t="s">
        <v>7622</v>
      </c>
      <c r="C6791" s="341" t="s">
        <v>7283</v>
      </c>
      <c r="D6791" s="343">
        <v>68.349999999999994</v>
      </c>
    </row>
    <row r="6792" spans="1:4" ht="25.5">
      <c r="A6792" s="341">
        <v>366</v>
      </c>
      <c r="B6792" s="342" t="s">
        <v>7623</v>
      </c>
      <c r="C6792" s="341" t="s">
        <v>7283</v>
      </c>
      <c r="D6792" s="343">
        <v>55</v>
      </c>
    </row>
    <row r="6793" spans="1:4" ht="25.5">
      <c r="A6793" s="341">
        <v>367</v>
      </c>
      <c r="B6793" s="342" t="s">
        <v>7624</v>
      </c>
      <c r="C6793" s="341" t="s">
        <v>7283</v>
      </c>
      <c r="D6793" s="343">
        <v>54</v>
      </c>
    </row>
    <row r="6794" spans="1:4" ht="25.5">
      <c r="A6794" s="341">
        <v>370</v>
      </c>
      <c r="B6794" s="342" t="s">
        <v>7625</v>
      </c>
      <c r="C6794" s="341" t="s">
        <v>7283</v>
      </c>
      <c r="D6794" s="343">
        <v>62.75</v>
      </c>
    </row>
    <row r="6795" spans="1:4" ht="38.25">
      <c r="A6795" s="341">
        <v>368</v>
      </c>
      <c r="B6795" s="342" t="s">
        <v>7626</v>
      </c>
      <c r="C6795" s="341" t="s">
        <v>7283</v>
      </c>
      <c r="D6795" s="343">
        <v>40.5</v>
      </c>
    </row>
    <row r="6796" spans="1:4" ht="38.25">
      <c r="A6796" s="341">
        <v>11075</v>
      </c>
      <c r="B6796" s="342" t="s">
        <v>7627</v>
      </c>
      <c r="C6796" s="341" t="s">
        <v>7283</v>
      </c>
      <c r="D6796" s="343">
        <v>884.25</v>
      </c>
    </row>
    <row r="6797" spans="1:4" ht="38.25">
      <c r="A6797" s="341">
        <v>11076</v>
      </c>
      <c r="B6797" s="342" t="s">
        <v>7628</v>
      </c>
      <c r="C6797" s="341" t="s">
        <v>7283</v>
      </c>
      <c r="D6797" s="343">
        <v>67.5</v>
      </c>
    </row>
    <row r="6798" spans="1:4">
      <c r="A6798" s="341">
        <v>1381</v>
      </c>
      <c r="B6798" s="342" t="s">
        <v>7629</v>
      </c>
      <c r="C6798" s="341" t="s">
        <v>7338</v>
      </c>
      <c r="D6798" s="343">
        <v>0.55000000000000004</v>
      </c>
    </row>
    <row r="6799" spans="1:4">
      <c r="A6799" s="341">
        <v>34353</v>
      </c>
      <c r="B6799" s="342" t="s">
        <v>7630</v>
      </c>
      <c r="C6799" s="341" t="s">
        <v>7338</v>
      </c>
      <c r="D6799" s="343">
        <v>1.1000000000000001</v>
      </c>
    </row>
    <row r="6800" spans="1:4">
      <c r="A6800" s="341">
        <v>37595</v>
      </c>
      <c r="B6800" s="342" t="s">
        <v>7631</v>
      </c>
      <c r="C6800" s="341" t="s">
        <v>7338</v>
      </c>
      <c r="D6800" s="343">
        <v>1.68</v>
      </c>
    </row>
    <row r="6801" spans="1:4">
      <c r="A6801" s="341">
        <v>37596</v>
      </c>
      <c r="B6801" s="342" t="s">
        <v>7632</v>
      </c>
      <c r="C6801" s="341" t="s">
        <v>7338</v>
      </c>
      <c r="D6801" s="343">
        <v>2.4900000000000002</v>
      </c>
    </row>
    <row r="6802" spans="1:4" ht="38.25">
      <c r="A6802" s="341">
        <v>371</v>
      </c>
      <c r="B6802" s="342" t="s">
        <v>7633</v>
      </c>
      <c r="C6802" s="341" t="s">
        <v>7338</v>
      </c>
      <c r="D6802" s="343">
        <v>0.49</v>
      </c>
    </row>
    <row r="6803" spans="1:4" ht="25.5">
      <c r="A6803" s="341">
        <v>37553</v>
      </c>
      <c r="B6803" s="342" t="s">
        <v>7634</v>
      </c>
      <c r="C6803" s="341" t="s">
        <v>7338</v>
      </c>
      <c r="D6803" s="343">
        <v>1.86</v>
      </c>
    </row>
    <row r="6804" spans="1:4" ht="25.5">
      <c r="A6804" s="341">
        <v>37552</v>
      </c>
      <c r="B6804" s="342" t="s">
        <v>7635</v>
      </c>
      <c r="C6804" s="341" t="s">
        <v>7338</v>
      </c>
      <c r="D6804" s="343">
        <v>2.38</v>
      </c>
    </row>
    <row r="6805" spans="1:4" ht="25.5">
      <c r="A6805" s="341">
        <v>36880</v>
      </c>
      <c r="B6805" s="342" t="s">
        <v>7636</v>
      </c>
      <c r="C6805" s="341" t="s">
        <v>7338</v>
      </c>
      <c r="D6805" s="343">
        <v>1.85</v>
      </c>
    </row>
    <row r="6806" spans="1:4">
      <c r="A6806" s="341">
        <v>34355</v>
      </c>
      <c r="B6806" s="342" t="s">
        <v>7637</v>
      </c>
      <c r="C6806" s="341" t="s">
        <v>7338</v>
      </c>
      <c r="D6806" s="343">
        <v>1.52</v>
      </c>
    </row>
    <row r="6807" spans="1:4" ht="25.5">
      <c r="A6807" s="341">
        <v>130</v>
      </c>
      <c r="B6807" s="342" t="s">
        <v>7638</v>
      </c>
      <c r="C6807" s="341" t="s">
        <v>7338</v>
      </c>
      <c r="D6807" s="343">
        <v>3.78</v>
      </c>
    </row>
    <row r="6808" spans="1:4" ht="38.25">
      <c r="A6808" s="341">
        <v>135</v>
      </c>
      <c r="B6808" s="342" t="s">
        <v>7639</v>
      </c>
      <c r="C6808" s="341" t="s">
        <v>7338</v>
      </c>
      <c r="D6808" s="343">
        <v>4.87</v>
      </c>
    </row>
    <row r="6809" spans="1:4">
      <c r="A6809" s="341">
        <v>36886</v>
      </c>
      <c r="B6809" s="342" t="s">
        <v>7640</v>
      </c>
      <c r="C6809" s="341" t="s">
        <v>7338</v>
      </c>
      <c r="D6809" s="343">
        <v>0.57999999999999996</v>
      </c>
    </row>
    <row r="6810" spans="1:4" ht="25.5">
      <c r="A6810" s="341">
        <v>374</v>
      </c>
      <c r="B6810" s="342" t="s">
        <v>7641</v>
      </c>
      <c r="C6810" s="341" t="s">
        <v>7338</v>
      </c>
      <c r="D6810" s="343">
        <v>0.42</v>
      </c>
    </row>
    <row r="6811" spans="1:4" ht="38.25">
      <c r="A6811" s="341">
        <v>38546</v>
      </c>
      <c r="B6811" s="342" t="s">
        <v>7642</v>
      </c>
      <c r="C6811" s="341" t="s">
        <v>7283</v>
      </c>
      <c r="D6811" s="343">
        <v>401.92</v>
      </c>
    </row>
    <row r="6812" spans="1:4">
      <c r="A6812" s="341">
        <v>34549</v>
      </c>
      <c r="B6812" s="342" t="s">
        <v>7643</v>
      </c>
      <c r="C6812" s="341" t="s">
        <v>7283</v>
      </c>
      <c r="D6812" s="343">
        <v>205.05</v>
      </c>
    </row>
    <row r="6813" spans="1:4" ht="25.5">
      <c r="A6813" s="341">
        <v>6081</v>
      </c>
      <c r="B6813" s="342" t="s">
        <v>7644</v>
      </c>
      <c r="C6813" s="341" t="s">
        <v>7283</v>
      </c>
      <c r="D6813" s="343">
        <v>29.04</v>
      </c>
    </row>
    <row r="6814" spans="1:4" ht="25.5">
      <c r="A6814" s="341">
        <v>6077</v>
      </c>
      <c r="B6814" s="342" t="s">
        <v>7645</v>
      </c>
      <c r="C6814" s="341" t="s">
        <v>7283</v>
      </c>
      <c r="D6814" s="343">
        <v>16.739999999999998</v>
      </c>
    </row>
    <row r="6815" spans="1:4" ht="38.25">
      <c r="A6815" s="341">
        <v>6079</v>
      </c>
      <c r="B6815" s="342" t="s">
        <v>7646</v>
      </c>
      <c r="C6815" s="341" t="s">
        <v>7283</v>
      </c>
      <c r="D6815" s="343">
        <v>9.56</v>
      </c>
    </row>
    <row r="6816" spans="1:4" ht="38.25">
      <c r="A6816" s="341">
        <v>1091</v>
      </c>
      <c r="B6816" s="342" t="s">
        <v>7647</v>
      </c>
      <c r="C6816" s="341" t="s">
        <v>7278</v>
      </c>
      <c r="D6816" s="343">
        <v>18.600000000000001</v>
      </c>
    </row>
    <row r="6817" spans="1:4" ht="38.25">
      <c r="A6817" s="341">
        <v>1094</v>
      </c>
      <c r="B6817" s="342" t="s">
        <v>7648</v>
      </c>
      <c r="C6817" s="341" t="s">
        <v>7278</v>
      </c>
      <c r="D6817" s="343">
        <v>13.01</v>
      </c>
    </row>
    <row r="6818" spans="1:4" ht="38.25">
      <c r="A6818" s="341">
        <v>1095</v>
      </c>
      <c r="B6818" s="342" t="s">
        <v>7649</v>
      </c>
      <c r="C6818" s="341" t="s">
        <v>7278</v>
      </c>
      <c r="D6818" s="343">
        <v>27.65</v>
      </c>
    </row>
    <row r="6819" spans="1:4" ht="38.25">
      <c r="A6819" s="341">
        <v>1092</v>
      </c>
      <c r="B6819" s="342" t="s">
        <v>7650</v>
      </c>
      <c r="C6819" s="341" t="s">
        <v>7278</v>
      </c>
      <c r="D6819" s="343">
        <v>21.4</v>
      </c>
    </row>
    <row r="6820" spans="1:4" ht="38.25">
      <c r="A6820" s="341">
        <v>1093</v>
      </c>
      <c r="B6820" s="342" t="s">
        <v>7651</v>
      </c>
      <c r="C6820" s="341" t="s">
        <v>7278</v>
      </c>
      <c r="D6820" s="343">
        <v>49.97</v>
      </c>
    </row>
    <row r="6821" spans="1:4" ht="38.25">
      <c r="A6821" s="341">
        <v>1090</v>
      </c>
      <c r="B6821" s="342" t="s">
        <v>7652</v>
      </c>
      <c r="C6821" s="341" t="s">
        <v>7278</v>
      </c>
      <c r="D6821" s="343">
        <v>35.78</v>
      </c>
    </row>
    <row r="6822" spans="1:4" ht="38.25">
      <c r="A6822" s="341">
        <v>1096</v>
      </c>
      <c r="B6822" s="342" t="s">
        <v>7653</v>
      </c>
      <c r="C6822" s="341" t="s">
        <v>7278</v>
      </c>
      <c r="D6822" s="343">
        <v>64.39</v>
      </c>
    </row>
    <row r="6823" spans="1:4" ht="38.25">
      <c r="A6823" s="341">
        <v>1097</v>
      </c>
      <c r="B6823" s="342" t="s">
        <v>7654</v>
      </c>
      <c r="C6823" s="341" t="s">
        <v>7278</v>
      </c>
      <c r="D6823" s="343">
        <v>54.66</v>
      </c>
    </row>
    <row r="6824" spans="1:4">
      <c r="A6824" s="341">
        <v>378</v>
      </c>
      <c r="B6824" s="342" t="s">
        <v>7655</v>
      </c>
      <c r="C6824" s="341" t="s">
        <v>7275</v>
      </c>
      <c r="D6824" s="343">
        <v>12.68</v>
      </c>
    </row>
    <row r="6825" spans="1:4">
      <c r="A6825" s="341">
        <v>40911</v>
      </c>
      <c r="B6825" s="342" t="s">
        <v>7656</v>
      </c>
      <c r="C6825" s="341" t="s">
        <v>7466</v>
      </c>
      <c r="D6825" s="344">
        <v>2236.52</v>
      </c>
    </row>
    <row r="6826" spans="1:4">
      <c r="A6826" s="341">
        <v>33939</v>
      </c>
      <c r="B6826" s="342" t="s">
        <v>7657</v>
      </c>
      <c r="C6826" s="341" t="s">
        <v>7275</v>
      </c>
      <c r="D6826" s="343">
        <v>58.5</v>
      </c>
    </row>
    <row r="6827" spans="1:4">
      <c r="A6827" s="341">
        <v>40815</v>
      </c>
      <c r="B6827" s="342" t="s">
        <v>7658</v>
      </c>
      <c r="C6827" s="341" t="s">
        <v>7466</v>
      </c>
      <c r="D6827" s="344">
        <v>10315.64</v>
      </c>
    </row>
    <row r="6828" spans="1:4">
      <c r="A6828" s="341">
        <v>34760</v>
      </c>
      <c r="B6828" s="342" t="s">
        <v>7659</v>
      </c>
      <c r="C6828" s="341" t="s">
        <v>7275</v>
      </c>
      <c r="D6828" s="343">
        <v>55.24</v>
      </c>
    </row>
    <row r="6829" spans="1:4">
      <c r="A6829" s="341">
        <v>40935</v>
      </c>
      <c r="B6829" s="342" t="s">
        <v>7660</v>
      </c>
      <c r="C6829" s="341" t="s">
        <v>7466</v>
      </c>
      <c r="D6829" s="344">
        <v>9740.48</v>
      </c>
    </row>
    <row r="6830" spans="1:4">
      <c r="A6830" s="341">
        <v>33952</v>
      </c>
      <c r="B6830" s="342" t="s">
        <v>7661</v>
      </c>
      <c r="C6830" s="341" t="s">
        <v>7275</v>
      </c>
      <c r="D6830" s="343">
        <v>83.1</v>
      </c>
    </row>
    <row r="6831" spans="1:4">
      <c r="A6831" s="341">
        <v>40816</v>
      </c>
      <c r="B6831" s="342" t="s">
        <v>7662</v>
      </c>
      <c r="C6831" s="341" t="s">
        <v>7466</v>
      </c>
      <c r="D6831" s="344">
        <v>14652.52</v>
      </c>
    </row>
    <row r="6832" spans="1:4">
      <c r="A6832" s="341">
        <v>33953</v>
      </c>
      <c r="B6832" s="342" t="s">
        <v>7663</v>
      </c>
      <c r="C6832" s="341" t="s">
        <v>7275</v>
      </c>
      <c r="D6832" s="343">
        <v>109.88</v>
      </c>
    </row>
    <row r="6833" spans="1:4">
      <c r="A6833" s="341">
        <v>40817</v>
      </c>
      <c r="B6833" s="342" t="s">
        <v>7664</v>
      </c>
      <c r="C6833" s="341" t="s">
        <v>7466</v>
      </c>
      <c r="D6833" s="344">
        <v>19371.939999999999</v>
      </c>
    </row>
    <row r="6834" spans="1:4" ht="38.25">
      <c r="A6834" s="341">
        <v>13348</v>
      </c>
      <c r="B6834" s="342" t="s">
        <v>7665</v>
      </c>
      <c r="C6834" s="341" t="s">
        <v>7278</v>
      </c>
      <c r="D6834" s="343">
        <v>0.6</v>
      </c>
    </row>
    <row r="6835" spans="1:4" ht="25.5">
      <c r="A6835" s="341">
        <v>39211</v>
      </c>
      <c r="B6835" s="342" t="s">
        <v>7666</v>
      </c>
      <c r="C6835" s="341" t="s">
        <v>7278</v>
      </c>
      <c r="D6835" s="343">
        <v>0.88</v>
      </c>
    </row>
    <row r="6836" spans="1:4" ht="25.5">
      <c r="A6836" s="341">
        <v>39212</v>
      </c>
      <c r="B6836" s="342" t="s">
        <v>7667</v>
      </c>
      <c r="C6836" s="341" t="s">
        <v>7278</v>
      </c>
      <c r="D6836" s="343">
        <v>0.98</v>
      </c>
    </row>
    <row r="6837" spans="1:4" ht="25.5">
      <c r="A6837" s="341">
        <v>39208</v>
      </c>
      <c r="B6837" s="342" t="s">
        <v>7668</v>
      </c>
      <c r="C6837" s="341" t="s">
        <v>7278</v>
      </c>
      <c r="D6837" s="343">
        <v>0.27</v>
      </c>
    </row>
    <row r="6838" spans="1:4" ht="25.5">
      <c r="A6838" s="341">
        <v>39210</v>
      </c>
      <c r="B6838" s="342" t="s">
        <v>7669</v>
      </c>
      <c r="C6838" s="341" t="s">
        <v>7278</v>
      </c>
      <c r="D6838" s="343">
        <v>0.49</v>
      </c>
    </row>
    <row r="6839" spans="1:4" ht="25.5">
      <c r="A6839" s="341">
        <v>39214</v>
      </c>
      <c r="B6839" s="342" t="s">
        <v>7670</v>
      </c>
      <c r="C6839" s="341" t="s">
        <v>7278</v>
      </c>
      <c r="D6839" s="343">
        <v>1.82</v>
      </c>
    </row>
    <row r="6840" spans="1:4" ht="25.5">
      <c r="A6840" s="341">
        <v>39213</v>
      </c>
      <c r="B6840" s="342" t="s">
        <v>7671</v>
      </c>
      <c r="C6840" s="341" t="s">
        <v>7278</v>
      </c>
      <c r="D6840" s="343">
        <v>1.28</v>
      </c>
    </row>
    <row r="6841" spans="1:4" ht="25.5">
      <c r="A6841" s="341">
        <v>39209</v>
      </c>
      <c r="B6841" s="342" t="s">
        <v>7672</v>
      </c>
      <c r="C6841" s="341" t="s">
        <v>7278</v>
      </c>
      <c r="D6841" s="343">
        <v>0.32</v>
      </c>
    </row>
    <row r="6842" spans="1:4" ht="25.5">
      <c r="A6842" s="341">
        <v>39207</v>
      </c>
      <c r="B6842" s="342" t="s">
        <v>7673</v>
      </c>
      <c r="C6842" s="341" t="s">
        <v>7278</v>
      </c>
      <c r="D6842" s="343">
        <v>0.49</v>
      </c>
    </row>
    <row r="6843" spans="1:4" ht="25.5">
      <c r="A6843" s="341">
        <v>39215</v>
      </c>
      <c r="B6843" s="342" t="s">
        <v>7674</v>
      </c>
      <c r="C6843" s="341" t="s">
        <v>7278</v>
      </c>
      <c r="D6843" s="343">
        <v>3.32</v>
      </c>
    </row>
    <row r="6844" spans="1:4" ht="25.5">
      <c r="A6844" s="341">
        <v>39216</v>
      </c>
      <c r="B6844" s="342" t="s">
        <v>7675</v>
      </c>
      <c r="C6844" s="341" t="s">
        <v>7278</v>
      </c>
      <c r="D6844" s="343">
        <v>4.63</v>
      </c>
    </row>
    <row r="6845" spans="1:4" ht="38.25">
      <c r="A6845" s="341">
        <v>379</v>
      </c>
      <c r="B6845" s="342" t="s">
        <v>7676</v>
      </c>
      <c r="C6845" s="341" t="s">
        <v>7278</v>
      </c>
      <c r="D6845" s="343">
        <v>0.52</v>
      </c>
    </row>
    <row r="6846" spans="1:4" ht="38.25">
      <c r="A6846" s="341">
        <v>11267</v>
      </c>
      <c r="B6846" s="342" t="s">
        <v>7677</v>
      </c>
      <c r="C6846" s="341" t="s">
        <v>7278</v>
      </c>
      <c r="D6846" s="343">
        <v>5.26</v>
      </c>
    </row>
    <row r="6847" spans="1:4" ht="25.5">
      <c r="A6847" s="341">
        <v>41901</v>
      </c>
      <c r="B6847" s="342" t="s">
        <v>7678</v>
      </c>
      <c r="C6847" s="341" t="s">
        <v>7338</v>
      </c>
      <c r="D6847" s="343">
        <v>4.08</v>
      </c>
    </row>
    <row r="6848" spans="1:4" ht="38.25">
      <c r="A6848" s="341">
        <v>510</v>
      </c>
      <c r="B6848" s="342" t="s">
        <v>7679</v>
      </c>
      <c r="C6848" s="341" t="s">
        <v>7338</v>
      </c>
      <c r="D6848" s="343">
        <v>5.95</v>
      </c>
    </row>
    <row r="6849" spans="1:4" ht="38.25">
      <c r="A6849" s="341">
        <v>516</v>
      </c>
      <c r="B6849" s="342" t="s">
        <v>7680</v>
      </c>
      <c r="C6849" s="341" t="s">
        <v>7338</v>
      </c>
      <c r="D6849" s="343">
        <v>6.35</v>
      </c>
    </row>
    <row r="6850" spans="1:4" ht="38.25">
      <c r="A6850" s="341">
        <v>509</v>
      </c>
      <c r="B6850" s="342" t="s">
        <v>7681</v>
      </c>
      <c r="C6850" s="341" t="s">
        <v>7338</v>
      </c>
      <c r="D6850" s="343">
        <v>6.48</v>
      </c>
    </row>
    <row r="6851" spans="1:4">
      <c r="A6851" s="341">
        <v>40331</v>
      </c>
      <c r="B6851" s="342" t="s">
        <v>7682</v>
      </c>
      <c r="C6851" s="341" t="s">
        <v>7275</v>
      </c>
      <c r="D6851" s="343">
        <v>11</v>
      </c>
    </row>
    <row r="6852" spans="1:4">
      <c r="A6852" s="341">
        <v>40930</v>
      </c>
      <c r="B6852" s="342" t="s">
        <v>7683</v>
      </c>
      <c r="C6852" s="341" t="s">
        <v>7466</v>
      </c>
      <c r="D6852" s="344">
        <v>1942.45</v>
      </c>
    </row>
    <row r="6853" spans="1:4" ht="25.5">
      <c r="A6853" s="341">
        <v>11761</v>
      </c>
      <c r="B6853" s="342" t="s">
        <v>7684</v>
      </c>
      <c r="C6853" s="341" t="s">
        <v>7278</v>
      </c>
      <c r="D6853" s="343">
        <v>47.47</v>
      </c>
    </row>
    <row r="6854" spans="1:4" ht="25.5">
      <c r="A6854" s="341">
        <v>377</v>
      </c>
      <c r="B6854" s="342" t="s">
        <v>7685</v>
      </c>
      <c r="C6854" s="341" t="s">
        <v>7278</v>
      </c>
      <c r="D6854" s="343">
        <v>22.31</v>
      </c>
    </row>
    <row r="6855" spans="1:4" ht="25.5">
      <c r="A6855" s="341">
        <v>7588</v>
      </c>
      <c r="B6855" s="342" t="s">
        <v>7686</v>
      </c>
      <c r="C6855" s="341" t="s">
        <v>7278</v>
      </c>
      <c r="D6855" s="343">
        <v>34.01</v>
      </c>
    </row>
    <row r="6856" spans="1:4">
      <c r="A6856" s="341">
        <v>34392</v>
      </c>
      <c r="B6856" s="342" t="s">
        <v>7687</v>
      </c>
      <c r="C6856" s="341" t="s">
        <v>7275</v>
      </c>
      <c r="D6856" s="343">
        <v>9.6999999999999993</v>
      </c>
    </row>
    <row r="6857" spans="1:4">
      <c r="A6857" s="341">
        <v>40908</v>
      </c>
      <c r="B6857" s="342" t="s">
        <v>7688</v>
      </c>
      <c r="C6857" s="341" t="s">
        <v>7466</v>
      </c>
      <c r="D6857" s="344">
        <v>1713.73</v>
      </c>
    </row>
    <row r="6858" spans="1:4">
      <c r="A6858" s="341">
        <v>34551</v>
      </c>
      <c r="B6858" s="342" t="s">
        <v>7689</v>
      </c>
      <c r="C6858" s="341" t="s">
        <v>7275</v>
      </c>
      <c r="D6858" s="343">
        <v>9.23</v>
      </c>
    </row>
    <row r="6859" spans="1:4">
      <c r="A6859" s="341">
        <v>41078</v>
      </c>
      <c r="B6859" s="342" t="s">
        <v>7690</v>
      </c>
      <c r="C6859" s="341" t="s">
        <v>7466</v>
      </c>
      <c r="D6859" s="344">
        <v>1630.32</v>
      </c>
    </row>
    <row r="6860" spans="1:4" ht="25.5">
      <c r="A6860" s="341">
        <v>246</v>
      </c>
      <c r="B6860" s="342" t="s">
        <v>7691</v>
      </c>
      <c r="C6860" s="341" t="s">
        <v>7275</v>
      </c>
      <c r="D6860" s="343">
        <v>9.2799999999999994</v>
      </c>
    </row>
    <row r="6861" spans="1:4" ht="25.5">
      <c r="A6861" s="341">
        <v>40927</v>
      </c>
      <c r="B6861" s="342" t="s">
        <v>7692</v>
      </c>
      <c r="C6861" s="341" t="s">
        <v>7466</v>
      </c>
      <c r="D6861" s="344">
        <v>1639.93</v>
      </c>
    </row>
    <row r="6862" spans="1:4">
      <c r="A6862" s="341">
        <v>2350</v>
      </c>
      <c r="B6862" s="342" t="s">
        <v>7693</v>
      </c>
      <c r="C6862" s="341" t="s">
        <v>7275</v>
      </c>
      <c r="D6862" s="343">
        <v>10.210000000000001</v>
      </c>
    </row>
    <row r="6863" spans="1:4">
      <c r="A6863" s="341">
        <v>40812</v>
      </c>
      <c r="B6863" s="342" t="s">
        <v>7694</v>
      </c>
      <c r="C6863" s="341" t="s">
        <v>7466</v>
      </c>
      <c r="D6863" s="344">
        <v>1803.22</v>
      </c>
    </row>
    <row r="6864" spans="1:4" ht="25.5">
      <c r="A6864" s="341">
        <v>245</v>
      </c>
      <c r="B6864" s="342" t="s">
        <v>7695</v>
      </c>
      <c r="C6864" s="341" t="s">
        <v>7275</v>
      </c>
      <c r="D6864" s="343">
        <v>17.399999999999999</v>
      </c>
    </row>
    <row r="6865" spans="1:4" ht="25.5">
      <c r="A6865" s="341">
        <v>41090</v>
      </c>
      <c r="B6865" s="342" t="s">
        <v>7696</v>
      </c>
      <c r="C6865" s="341" t="s">
        <v>7466</v>
      </c>
      <c r="D6865" s="344">
        <v>3068.68</v>
      </c>
    </row>
    <row r="6866" spans="1:4">
      <c r="A6866" s="341">
        <v>251</v>
      </c>
      <c r="B6866" s="342" t="s">
        <v>7697</v>
      </c>
      <c r="C6866" s="341" t="s">
        <v>7275</v>
      </c>
      <c r="D6866" s="343">
        <v>8.2100000000000009</v>
      </c>
    </row>
    <row r="6867" spans="1:4">
      <c r="A6867" s="341">
        <v>40975</v>
      </c>
      <c r="B6867" s="342" t="s">
        <v>7698</v>
      </c>
      <c r="C6867" s="341" t="s">
        <v>7466</v>
      </c>
      <c r="D6867" s="344">
        <v>1450.01</v>
      </c>
    </row>
    <row r="6868" spans="1:4">
      <c r="A6868" s="341">
        <v>6127</v>
      </c>
      <c r="B6868" s="342" t="s">
        <v>7699</v>
      </c>
      <c r="C6868" s="341" t="s">
        <v>7275</v>
      </c>
      <c r="D6868" s="343">
        <v>9.42</v>
      </c>
    </row>
    <row r="6869" spans="1:4">
      <c r="A6869" s="341">
        <v>41072</v>
      </c>
      <c r="B6869" s="342" t="s">
        <v>7700</v>
      </c>
      <c r="C6869" s="341" t="s">
        <v>7466</v>
      </c>
      <c r="D6869" s="344">
        <v>1661.81</v>
      </c>
    </row>
    <row r="6870" spans="1:4">
      <c r="A6870" s="341">
        <v>6121</v>
      </c>
      <c r="B6870" s="342" t="s">
        <v>7701</v>
      </c>
      <c r="C6870" s="341" t="s">
        <v>7275</v>
      </c>
      <c r="D6870" s="343">
        <v>10.15</v>
      </c>
    </row>
    <row r="6871" spans="1:4">
      <c r="A6871" s="341">
        <v>41071</v>
      </c>
      <c r="B6871" s="342" t="s">
        <v>7702</v>
      </c>
      <c r="C6871" s="341" t="s">
        <v>7466</v>
      </c>
      <c r="D6871" s="344">
        <v>1791.53</v>
      </c>
    </row>
    <row r="6872" spans="1:4">
      <c r="A6872" s="341">
        <v>244</v>
      </c>
      <c r="B6872" s="342" t="s">
        <v>7703</v>
      </c>
      <c r="C6872" s="341" t="s">
        <v>7275</v>
      </c>
      <c r="D6872" s="343">
        <v>5.17</v>
      </c>
    </row>
    <row r="6873" spans="1:4">
      <c r="A6873" s="341">
        <v>41093</v>
      </c>
      <c r="B6873" s="342" t="s">
        <v>7704</v>
      </c>
      <c r="C6873" s="341" t="s">
        <v>7466</v>
      </c>
      <c r="D6873" s="343">
        <v>957.72</v>
      </c>
    </row>
    <row r="6874" spans="1:4">
      <c r="A6874" s="341">
        <v>532</v>
      </c>
      <c r="B6874" s="342" t="s">
        <v>7705</v>
      </c>
      <c r="C6874" s="341" t="s">
        <v>7275</v>
      </c>
      <c r="D6874" s="343">
        <v>20.5</v>
      </c>
    </row>
    <row r="6875" spans="1:4" ht="25.5">
      <c r="A6875" s="341">
        <v>40931</v>
      </c>
      <c r="B6875" s="342" t="s">
        <v>7706</v>
      </c>
      <c r="C6875" s="341" t="s">
        <v>7466</v>
      </c>
      <c r="D6875" s="344">
        <v>3615.57</v>
      </c>
    </row>
    <row r="6876" spans="1:4" ht="25.5">
      <c r="A6876" s="341">
        <v>36150</v>
      </c>
      <c r="B6876" s="342" t="s">
        <v>7707</v>
      </c>
      <c r="C6876" s="341" t="s">
        <v>7278</v>
      </c>
      <c r="D6876" s="343">
        <v>41.04</v>
      </c>
    </row>
    <row r="6877" spans="1:4">
      <c r="A6877" s="341">
        <v>41069</v>
      </c>
      <c r="B6877" s="342" t="s">
        <v>7708</v>
      </c>
      <c r="C6877" s="341" t="s">
        <v>7466</v>
      </c>
      <c r="D6877" s="344">
        <v>2236.52</v>
      </c>
    </row>
    <row r="6878" spans="1:4">
      <c r="A6878" s="341">
        <v>4760</v>
      </c>
      <c r="B6878" s="342" t="s">
        <v>7709</v>
      </c>
      <c r="C6878" s="341" t="s">
        <v>7275</v>
      </c>
      <c r="D6878" s="343">
        <v>12.68</v>
      </c>
    </row>
    <row r="6879" spans="1:4" ht="25.5">
      <c r="A6879" s="341">
        <v>10422</v>
      </c>
      <c r="B6879" s="342" t="s">
        <v>7710</v>
      </c>
      <c r="C6879" s="341" t="s">
        <v>7278</v>
      </c>
      <c r="D6879" s="343">
        <v>287.95999999999998</v>
      </c>
    </row>
    <row r="6880" spans="1:4" ht="25.5">
      <c r="A6880" s="341">
        <v>10420</v>
      </c>
      <c r="B6880" s="342" t="s">
        <v>7711</v>
      </c>
      <c r="C6880" s="341" t="s">
        <v>7278</v>
      </c>
      <c r="D6880" s="343">
        <v>108</v>
      </c>
    </row>
    <row r="6881" spans="1:4" ht="25.5">
      <c r="A6881" s="341">
        <v>10421</v>
      </c>
      <c r="B6881" s="342" t="s">
        <v>7712</v>
      </c>
      <c r="C6881" s="341" t="s">
        <v>7278</v>
      </c>
      <c r="D6881" s="343">
        <v>144.54</v>
      </c>
    </row>
    <row r="6882" spans="1:4" ht="38.25">
      <c r="A6882" s="341">
        <v>36520</v>
      </c>
      <c r="B6882" s="342" t="s">
        <v>7713</v>
      </c>
      <c r="C6882" s="341" t="s">
        <v>7278</v>
      </c>
      <c r="D6882" s="343">
        <v>538.07000000000005</v>
      </c>
    </row>
    <row r="6883" spans="1:4" ht="51">
      <c r="A6883" s="341">
        <v>36519</v>
      </c>
      <c r="B6883" s="342" t="s">
        <v>7714</v>
      </c>
      <c r="C6883" s="341" t="s">
        <v>7278</v>
      </c>
      <c r="D6883" s="343">
        <v>751.24</v>
      </c>
    </row>
    <row r="6884" spans="1:4">
      <c r="A6884" s="341">
        <v>11784</v>
      </c>
      <c r="B6884" s="342" t="s">
        <v>7715</v>
      </c>
      <c r="C6884" s="341" t="s">
        <v>7278</v>
      </c>
      <c r="D6884" s="343">
        <v>404.12</v>
      </c>
    </row>
    <row r="6885" spans="1:4">
      <c r="A6885" s="341">
        <v>10</v>
      </c>
      <c r="B6885" s="342" t="s">
        <v>7716</v>
      </c>
      <c r="C6885" s="341" t="s">
        <v>7278</v>
      </c>
      <c r="D6885" s="343">
        <v>6.36</v>
      </c>
    </row>
    <row r="6886" spans="1:4">
      <c r="A6886" s="341">
        <v>4815</v>
      </c>
      <c r="B6886" s="342" t="s">
        <v>7717</v>
      </c>
      <c r="C6886" s="341" t="s">
        <v>7278</v>
      </c>
      <c r="D6886" s="343">
        <v>5.8</v>
      </c>
    </row>
    <row r="6887" spans="1:4" ht="25.5">
      <c r="A6887" s="341">
        <v>541</v>
      </c>
      <c r="B6887" s="342" t="s">
        <v>7718</v>
      </c>
      <c r="C6887" s="341" t="s">
        <v>7278</v>
      </c>
      <c r="D6887" s="343">
        <v>116.85</v>
      </c>
    </row>
    <row r="6888" spans="1:4" ht="25.5">
      <c r="A6888" s="341">
        <v>542</v>
      </c>
      <c r="B6888" s="342" t="s">
        <v>7719</v>
      </c>
      <c r="C6888" s="341" t="s">
        <v>7278</v>
      </c>
      <c r="D6888" s="343">
        <v>146.47</v>
      </c>
    </row>
    <row r="6889" spans="1:4" ht="25.5">
      <c r="A6889" s="341">
        <v>540</v>
      </c>
      <c r="B6889" s="342" t="s">
        <v>7720</v>
      </c>
      <c r="C6889" s="341" t="s">
        <v>7278</v>
      </c>
      <c r="D6889" s="343">
        <v>330.07</v>
      </c>
    </row>
    <row r="6890" spans="1:4" ht="51">
      <c r="A6890" s="341">
        <v>38364</v>
      </c>
      <c r="B6890" s="342" t="s">
        <v>7721</v>
      </c>
      <c r="C6890" s="341" t="s">
        <v>7278</v>
      </c>
      <c r="D6890" s="343">
        <v>670.85</v>
      </c>
    </row>
    <row r="6891" spans="1:4" ht="25.5">
      <c r="A6891" s="341">
        <v>11692</v>
      </c>
      <c r="B6891" s="342" t="s">
        <v>7722</v>
      </c>
      <c r="C6891" s="341" t="s">
        <v>7273</v>
      </c>
      <c r="D6891" s="343">
        <v>348.82</v>
      </c>
    </row>
    <row r="6892" spans="1:4" ht="38.25">
      <c r="A6892" s="341">
        <v>1746</v>
      </c>
      <c r="B6892" s="342" t="s">
        <v>7723</v>
      </c>
      <c r="C6892" s="341" t="s">
        <v>7278</v>
      </c>
      <c r="D6892" s="343">
        <v>148.85</v>
      </c>
    </row>
    <row r="6893" spans="1:4" ht="38.25">
      <c r="A6893" s="341">
        <v>1748</v>
      </c>
      <c r="B6893" s="342" t="s">
        <v>7724</v>
      </c>
      <c r="C6893" s="341" t="s">
        <v>7278</v>
      </c>
      <c r="D6893" s="343">
        <v>197.93</v>
      </c>
    </row>
    <row r="6894" spans="1:4" ht="38.25">
      <c r="A6894" s="341">
        <v>1749</v>
      </c>
      <c r="B6894" s="342" t="s">
        <v>7725</v>
      </c>
      <c r="C6894" s="341" t="s">
        <v>7278</v>
      </c>
      <c r="D6894" s="343">
        <v>286.77</v>
      </c>
    </row>
    <row r="6895" spans="1:4" ht="38.25">
      <c r="A6895" s="341">
        <v>37412</v>
      </c>
      <c r="B6895" s="342" t="s">
        <v>7726</v>
      </c>
      <c r="C6895" s="341" t="s">
        <v>7278</v>
      </c>
      <c r="D6895" s="343">
        <v>145.5</v>
      </c>
    </row>
    <row r="6896" spans="1:4" ht="38.25">
      <c r="A6896" s="341">
        <v>1745</v>
      </c>
      <c r="B6896" s="342" t="s">
        <v>7727</v>
      </c>
      <c r="C6896" s="341" t="s">
        <v>7278</v>
      </c>
      <c r="D6896" s="343">
        <v>173.02</v>
      </c>
    </row>
    <row r="6897" spans="1:4" ht="38.25">
      <c r="A6897" s="341">
        <v>1750</v>
      </c>
      <c r="B6897" s="342" t="s">
        <v>7728</v>
      </c>
      <c r="C6897" s="341" t="s">
        <v>7278</v>
      </c>
      <c r="D6897" s="343">
        <v>404.32</v>
      </c>
    </row>
    <row r="6898" spans="1:4" ht="38.25">
      <c r="A6898" s="341">
        <v>11687</v>
      </c>
      <c r="B6898" s="342" t="s">
        <v>7729</v>
      </c>
      <c r="C6898" s="341" t="s">
        <v>7287</v>
      </c>
      <c r="D6898" s="343">
        <v>644.20000000000005</v>
      </c>
    </row>
    <row r="6899" spans="1:4" ht="38.25">
      <c r="A6899" s="341">
        <v>11689</v>
      </c>
      <c r="B6899" s="342" t="s">
        <v>7730</v>
      </c>
      <c r="C6899" s="341" t="s">
        <v>7287</v>
      </c>
      <c r="D6899" s="343">
        <v>807.15</v>
      </c>
    </row>
    <row r="6900" spans="1:4" ht="25.5">
      <c r="A6900" s="341">
        <v>11693</v>
      </c>
      <c r="B6900" s="342" t="s">
        <v>7731</v>
      </c>
      <c r="C6900" s="341" t="s">
        <v>7273</v>
      </c>
      <c r="D6900" s="343">
        <v>129.56</v>
      </c>
    </row>
    <row r="6901" spans="1:4" ht="25.5">
      <c r="A6901" s="341">
        <v>36215</v>
      </c>
      <c r="B6901" s="342" t="s">
        <v>7732</v>
      </c>
      <c r="C6901" s="341" t="s">
        <v>7278</v>
      </c>
      <c r="D6901" s="343">
        <v>896.36</v>
      </c>
    </row>
    <row r="6902" spans="1:4">
      <c r="A6902" s="341">
        <v>38381</v>
      </c>
      <c r="B6902" s="342" t="s">
        <v>7733</v>
      </c>
      <c r="C6902" s="341" t="s">
        <v>7278</v>
      </c>
      <c r="D6902" s="343">
        <v>7.6</v>
      </c>
    </row>
    <row r="6903" spans="1:4" ht="25.5">
      <c r="A6903" s="341">
        <v>39621</v>
      </c>
      <c r="B6903" s="342" t="s">
        <v>7734</v>
      </c>
      <c r="C6903" s="341" t="s">
        <v>7735</v>
      </c>
      <c r="D6903" s="344">
        <v>1138.99</v>
      </c>
    </row>
    <row r="6904" spans="1:4" ht="25.5">
      <c r="A6904" s="341">
        <v>39624</v>
      </c>
      <c r="B6904" s="342" t="s">
        <v>7736</v>
      </c>
      <c r="C6904" s="341" t="s">
        <v>7735</v>
      </c>
      <c r="D6904" s="344">
        <v>1152.5899999999999</v>
      </c>
    </row>
    <row r="6905" spans="1:4" ht="25.5">
      <c r="A6905" s="341">
        <v>39615</v>
      </c>
      <c r="B6905" s="342" t="s">
        <v>7737</v>
      </c>
      <c r="C6905" s="341" t="s">
        <v>7278</v>
      </c>
      <c r="D6905" s="343">
        <v>397.36</v>
      </c>
    </row>
    <row r="6906" spans="1:4" ht="25.5">
      <c r="A6906" s="341">
        <v>39620</v>
      </c>
      <c r="B6906" s="342" t="s">
        <v>7738</v>
      </c>
      <c r="C6906" s="341" t="s">
        <v>7278</v>
      </c>
      <c r="D6906" s="343">
        <v>607.46</v>
      </c>
    </row>
    <row r="6907" spans="1:4" ht="25.5">
      <c r="A6907" s="341">
        <v>39623</v>
      </c>
      <c r="B6907" s="342" t="s">
        <v>7739</v>
      </c>
      <c r="C6907" s="341" t="s">
        <v>7278</v>
      </c>
      <c r="D6907" s="343">
        <v>588.22</v>
      </c>
    </row>
    <row r="6908" spans="1:4" ht="25.5">
      <c r="A6908" s="341">
        <v>36214</v>
      </c>
      <c r="B6908" s="342" t="s">
        <v>7740</v>
      </c>
      <c r="C6908" s="341" t="s">
        <v>7278</v>
      </c>
      <c r="D6908" s="343">
        <v>288.82</v>
      </c>
    </row>
    <row r="6909" spans="1:4" ht="25.5">
      <c r="A6909" s="341">
        <v>36207</v>
      </c>
      <c r="B6909" s="342" t="s">
        <v>7741</v>
      </c>
      <c r="C6909" s="341" t="s">
        <v>7278</v>
      </c>
      <c r="D6909" s="343">
        <v>397.02</v>
      </c>
    </row>
    <row r="6910" spans="1:4" ht="25.5">
      <c r="A6910" s="341">
        <v>36209</v>
      </c>
      <c r="B6910" s="342" t="s">
        <v>7742</v>
      </c>
      <c r="C6910" s="341" t="s">
        <v>7278</v>
      </c>
      <c r="D6910" s="343">
        <v>455.65</v>
      </c>
    </row>
    <row r="6911" spans="1:4" ht="38.25">
      <c r="A6911" s="341">
        <v>36210</v>
      </c>
      <c r="B6911" s="342" t="s">
        <v>7743</v>
      </c>
      <c r="C6911" s="341" t="s">
        <v>7278</v>
      </c>
      <c r="D6911" s="343">
        <v>492.99</v>
      </c>
    </row>
    <row r="6912" spans="1:4" ht="25.5">
      <c r="A6912" s="341">
        <v>36212</v>
      </c>
      <c r="B6912" s="342" t="s">
        <v>7744</v>
      </c>
      <c r="C6912" s="341" t="s">
        <v>7278</v>
      </c>
      <c r="D6912" s="343">
        <v>486.02</v>
      </c>
    </row>
    <row r="6913" spans="1:4" ht="25.5">
      <c r="A6913" s="341">
        <v>36211</v>
      </c>
      <c r="B6913" s="342" t="s">
        <v>7745</v>
      </c>
      <c r="C6913" s="341" t="s">
        <v>7278</v>
      </c>
      <c r="D6913" s="343">
        <v>457.14</v>
      </c>
    </row>
    <row r="6914" spans="1:4" ht="25.5">
      <c r="A6914" s="341">
        <v>36204</v>
      </c>
      <c r="B6914" s="342" t="s">
        <v>7746</v>
      </c>
      <c r="C6914" s="341" t="s">
        <v>7278</v>
      </c>
      <c r="D6914" s="343">
        <v>174.8</v>
      </c>
    </row>
    <row r="6915" spans="1:4" ht="25.5">
      <c r="A6915" s="341">
        <v>36205</v>
      </c>
      <c r="B6915" s="342" t="s">
        <v>7747</v>
      </c>
      <c r="C6915" s="341" t="s">
        <v>7278</v>
      </c>
      <c r="D6915" s="343">
        <v>194.13</v>
      </c>
    </row>
    <row r="6916" spans="1:4" ht="25.5">
      <c r="A6916" s="341">
        <v>36081</v>
      </c>
      <c r="B6916" s="342" t="s">
        <v>7748</v>
      </c>
      <c r="C6916" s="341" t="s">
        <v>7278</v>
      </c>
      <c r="D6916" s="343">
        <v>206.99</v>
      </c>
    </row>
    <row r="6917" spans="1:4" ht="25.5">
      <c r="A6917" s="341">
        <v>36206</v>
      </c>
      <c r="B6917" s="342" t="s">
        <v>7749</v>
      </c>
      <c r="C6917" s="341" t="s">
        <v>7278</v>
      </c>
      <c r="D6917" s="343">
        <v>216.85</v>
      </c>
    </row>
    <row r="6918" spans="1:4" ht="25.5">
      <c r="A6918" s="341">
        <v>36218</v>
      </c>
      <c r="B6918" s="342" t="s">
        <v>7750</v>
      </c>
      <c r="C6918" s="341" t="s">
        <v>7278</v>
      </c>
      <c r="D6918" s="343">
        <v>103.16</v>
      </c>
    </row>
    <row r="6919" spans="1:4" ht="25.5">
      <c r="A6919" s="341">
        <v>36220</v>
      </c>
      <c r="B6919" s="342" t="s">
        <v>7751</v>
      </c>
      <c r="C6919" s="341" t="s">
        <v>7278</v>
      </c>
      <c r="D6919" s="343">
        <v>118.29</v>
      </c>
    </row>
    <row r="6920" spans="1:4" ht="25.5">
      <c r="A6920" s="341">
        <v>36080</v>
      </c>
      <c r="B6920" s="342" t="s">
        <v>7752</v>
      </c>
      <c r="C6920" s="341" t="s">
        <v>7278</v>
      </c>
      <c r="D6920" s="343">
        <v>127.95</v>
      </c>
    </row>
    <row r="6921" spans="1:4" ht="25.5">
      <c r="A6921" s="341">
        <v>36223</v>
      </c>
      <c r="B6921" s="342" t="s">
        <v>7753</v>
      </c>
      <c r="C6921" s="341" t="s">
        <v>7278</v>
      </c>
      <c r="D6921" s="343">
        <v>133.97999999999999</v>
      </c>
    </row>
    <row r="6922" spans="1:4" ht="25.5">
      <c r="A6922" s="341">
        <v>546</v>
      </c>
      <c r="B6922" s="342" t="s">
        <v>7754</v>
      </c>
      <c r="C6922" s="341" t="s">
        <v>7338</v>
      </c>
      <c r="D6922" s="343">
        <v>6.41</v>
      </c>
    </row>
    <row r="6923" spans="1:4" ht="25.5">
      <c r="A6923" s="341">
        <v>557</v>
      </c>
      <c r="B6923" s="342" t="s">
        <v>7755</v>
      </c>
      <c r="C6923" s="341" t="s">
        <v>7287</v>
      </c>
      <c r="D6923" s="343">
        <v>24.6</v>
      </c>
    </row>
    <row r="6924" spans="1:4" ht="25.5">
      <c r="A6924" s="341">
        <v>552</v>
      </c>
      <c r="B6924" s="342" t="s">
        <v>7756</v>
      </c>
      <c r="C6924" s="341" t="s">
        <v>7287</v>
      </c>
      <c r="D6924" s="343">
        <v>12.11</v>
      </c>
    </row>
    <row r="6925" spans="1:4" ht="25.5">
      <c r="A6925" s="341">
        <v>555</v>
      </c>
      <c r="B6925" s="342" t="s">
        <v>7757</v>
      </c>
      <c r="C6925" s="341" t="s">
        <v>7287</v>
      </c>
      <c r="D6925" s="343">
        <v>7.42</v>
      </c>
    </row>
    <row r="6926" spans="1:4" ht="25.5">
      <c r="A6926" s="341">
        <v>565</v>
      </c>
      <c r="B6926" s="342" t="s">
        <v>7758</v>
      </c>
      <c r="C6926" s="341" t="s">
        <v>7287</v>
      </c>
      <c r="D6926" s="343">
        <v>11.34</v>
      </c>
    </row>
    <row r="6927" spans="1:4" ht="25.5">
      <c r="A6927" s="341">
        <v>549</v>
      </c>
      <c r="B6927" s="342" t="s">
        <v>7759</v>
      </c>
      <c r="C6927" s="341" t="s">
        <v>7287</v>
      </c>
      <c r="D6927" s="343">
        <v>32.43</v>
      </c>
    </row>
    <row r="6928" spans="1:4" ht="25.5">
      <c r="A6928" s="341">
        <v>559</v>
      </c>
      <c r="B6928" s="342" t="s">
        <v>7760</v>
      </c>
      <c r="C6928" s="341" t="s">
        <v>7287</v>
      </c>
      <c r="D6928" s="343">
        <v>16.21</v>
      </c>
    </row>
    <row r="6929" spans="1:4" ht="25.5">
      <c r="A6929" s="341">
        <v>551</v>
      </c>
      <c r="B6929" s="342" t="s">
        <v>7761</v>
      </c>
      <c r="C6929" s="341" t="s">
        <v>7287</v>
      </c>
      <c r="D6929" s="343">
        <v>63.37</v>
      </c>
    </row>
    <row r="6930" spans="1:4" ht="25.5">
      <c r="A6930" s="341">
        <v>547</v>
      </c>
      <c r="B6930" s="342" t="s">
        <v>7762</v>
      </c>
      <c r="C6930" s="341" t="s">
        <v>7287</v>
      </c>
      <c r="D6930" s="343">
        <v>24.29</v>
      </c>
    </row>
    <row r="6931" spans="1:4" ht="25.5">
      <c r="A6931" s="341">
        <v>560</v>
      </c>
      <c r="B6931" s="342" t="s">
        <v>7763</v>
      </c>
      <c r="C6931" s="341" t="s">
        <v>7287</v>
      </c>
      <c r="D6931" s="343">
        <v>20.52</v>
      </c>
    </row>
    <row r="6932" spans="1:4" ht="25.5">
      <c r="A6932" s="341">
        <v>566</v>
      </c>
      <c r="B6932" s="342" t="s">
        <v>7764</v>
      </c>
      <c r="C6932" s="341" t="s">
        <v>7287</v>
      </c>
      <c r="D6932" s="343">
        <v>3.29</v>
      </c>
    </row>
    <row r="6933" spans="1:4" ht="25.5">
      <c r="A6933" s="341">
        <v>563</v>
      </c>
      <c r="B6933" s="342" t="s">
        <v>7765</v>
      </c>
      <c r="C6933" s="341" t="s">
        <v>7287</v>
      </c>
      <c r="D6933" s="343">
        <v>18.43</v>
      </c>
    </row>
    <row r="6934" spans="1:4" ht="25.5">
      <c r="A6934" s="341">
        <v>38127</v>
      </c>
      <c r="B6934" s="342" t="s">
        <v>7766</v>
      </c>
      <c r="C6934" s="341" t="s">
        <v>7278</v>
      </c>
      <c r="D6934" s="343">
        <v>370.97</v>
      </c>
    </row>
    <row r="6935" spans="1:4" ht="25.5">
      <c r="A6935" s="341">
        <v>38060</v>
      </c>
      <c r="B6935" s="342" t="s">
        <v>7767</v>
      </c>
      <c r="C6935" s="341" t="s">
        <v>7278</v>
      </c>
      <c r="D6935" s="343">
        <v>53.94</v>
      </c>
    </row>
    <row r="6936" spans="1:4" ht="25.5">
      <c r="A6936" s="341">
        <v>10956</v>
      </c>
      <c r="B6936" s="342" t="s">
        <v>7768</v>
      </c>
      <c r="C6936" s="341" t="s">
        <v>7278</v>
      </c>
      <c r="D6936" s="343">
        <v>56.03</v>
      </c>
    </row>
    <row r="6937" spans="1:4">
      <c r="A6937" s="341">
        <v>39380</v>
      </c>
      <c r="B6937" s="342" t="s">
        <v>7769</v>
      </c>
      <c r="C6937" s="341" t="s">
        <v>7278</v>
      </c>
      <c r="D6937" s="343">
        <v>8.44</v>
      </c>
    </row>
    <row r="6938" spans="1:4" ht="25.5">
      <c r="A6938" s="341">
        <v>13374</v>
      </c>
      <c r="B6938" s="342" t="s">
        <v>7770</v>
      </c>
      <c r="C6938" s="341" t="s">
        <v>7278</v>
      </c>
      <c r="D6938" s="343">
        <v>79.41</v>
      </c>
    </row>
    <row r="6939" spans="1:4" ht="25.5">
      <c r="A6939" s="341">
        <v>37597</v>
      </c>
      <c r="B6939" s="342" t="s">
        <v>7771</v>
      </c>
      <c r="C6939" s="341" t="s">
        <v>7278</v>
      </c>
      <c r="D6939" s="344">
        <v>299062.5</v>
      </c>
    </row>
    <row r="6940" spans="1:4" ht="63.75">
      <c r="A6940" s="341">
        <v>183</v>
      </c>
      <c r="B6940" s="342" t="s">
        <v>7772</v>
      </c>
      <c r="C6940" s="341" t="s">
        <v>7773</v>
      </c>
      <c r="D6940" s="343">
        <v>89</v>
      </c>
    </row>
    <row r="6941" spans="1:4" ht="51">
      <c r="A6941" s="341">
        <v>184</v>
      </c>
      <c r="B6941" s="342" t="s">
        <v>7774</v>
      </c>
      <c r="C6941" s="341" t="s">
        <v>7773</v>
      </c>
      <c r="D6941" s="343">
        <v>58.82</v>
      </c>
    </row>
    <row r="6942" spans="1:4" ht="63.75">
      <c r="A6942" s="341">
        <v>195</v>
      </c>
      <c r="B6942" s="342" t="s">
        <v>7775</v>
      </c>
      <c r="C6942" s="341" t="s">
        <v>7773</v>
      </c>
      <c r="D6942" s="343">
        <v>72.3</v>
      </c>
    </row>
    <row r="6943" spans="1:4" ht="51">
      <c r="A6943" s="341">
        <v>194</v>
      </c>
      <c r="B6943" s="342" t="s">
        <v>7776</v>
      </c>
      <c r="C6943" s="341" t="s">
        <v>7773</v>
      </c>
      <c r="D6943" s="343">
        <v>39.299999999999997</v>
      </c>
    </row>
    <row r="6944" spans="1:4" ht="51">
      <c r="A6944" s="341">
        <v>20001</v>
      </c>
      <c r="B6944" s="342" t="s">
        <v>7777</v>
      </c>
      <c r="C6944" s="341" t="s">
        <v>7773</v>
      </c>
      <c r="D6944" s="343">
        <v>72.040000000000006</v>
      </c>
    </row>
    <row r="6945" spans="1:4" ht="63.75">
      <c r="A6945" s="341">
        <v>181</v>
      </c>
      <c r="B6945" s="342" t="s">
        <v>7778</v>
      </c>
      <c r="C6945" s="341" t="s">
        <v>7773</v>
      </c>
      <c r="D6945" s="343">
        <v>97.47</v>
      </c>
    </row>
    <row r="6946" spans="1:4" ht="51">
      <c r="A6946" s="341">
        <v>39837</v>
      </c>
      <c r="B6946" s="342" t="s">
        <v>7779</v>
      </c>
      <c r="C6946" s="341" t="s">
        <v>7773</v>
      </c>
      <c r="D6946" s="343">
        <v>172.11</v>
      </c>
    </row>
    <row r="6947" spans="1:4" ht="51">
      <c r="A6947" s="341">
        <v>10535</v>
      </c>
      <c r="B6947" s="342" t="s">
        <v>7780</v>
      </c>
      <c r="C6947" s="341" t="s">
        <v>7278</v>
      </c>
      <c r="D6947" s="344">
        <v>3410.58</v>
      </c>
    </row>
    <row r="6948" spans="1:4" ht="38.25">
      <c r="A6948" s="341">
        <v>10537</v>
      </c>
      <c r="B6948" s="342" t="s">
        <v>7781</v>
      </c>
      <c r="C6948" s="341" t="s">
        <v>7278</v>
      </c>
      <c r="D6948" s="344">
        <v>4651.1000000000004</v>
      </c>
    </row>
    <row r="6949" spans="1:4" ht="38.25">
      <c r="A6949" s="341">
        <v>13891</v>
      </c>
      <c r="B6949" s="342" t="s">
        <v>7782</v>
      </c>
      <c r="C6949" s="341" t="s">
        <v>7278</v>
      </c>
      <c r="D6949" s="344">
        <v>4266.1099999999997</v>
      </c>
    </row>
    <row r="6950" spans="1:4" ht="38.25">
      <c r="A6950" s="341">
        <v>25975</v>
      </c>
      <c r="B6950" s="342" t="s">
        <v>7783</v>
      </c>
      <c r="C6950" s="341" t="s">
        <v>7278</v>
      </c>
      <c r="D6950" s="344">
        <v>18555.86</v>
      </c>
    </row>
    <row r="6951" spans="1:4" ht="51">
      <c r="A6951" s="341">
        <v>36396</v>
      </c>
      <c r="B6951" s="342" t="s">
        <v>7784</v>
      </c>
      <c r="C6951" s="341" t="s">
        <v>7278</v>
      </c>
      <c r="D6951" s="344">
        <v>3901.93</v>
      </c>
    </row>
    <row r="6952" spans="1:4" ht="51">
      <c r="A6952" s="341">
        <v>36397</v>
      </c>
      <c r="B6952" s="342" t="s">
        <v>7785</v>
      </c>
      <c r="C6952" s="341" t="s">
        <v>7278</v>
      </c>
      <c r="D6952" s="344">
        <v>13873.54</v>
      </c>
    </row>
    <row r="6953" spans="1:4" ht="38.25">
      <c r="A6953" s="341">
        <v>36398</v>
      </c>
      <c r="B6953" s="342" t="s">
        <v>7786</v>
      </c>
      <c r="C6953" s="341" t="s">
        <v>7278</v>
      </c>
      <c r="D6953" s="344">
        <v>16862.13</v>
      </c>
    </row>
    <row r="6954" spans="1:4">
      <c r="A6954" s="341">
        <v>647</v>
      </c>
      <c r="B6954" s="342" t="s">
        <v>7787</v>
      </c>
      <c r="C6954" s="341" t="s">
        <v>7275</v>
      </c>
      <c r="D6954" s="343">
        <v>9.02</v>
      </c>
    </row>
    <row r="6955" spans="1:4" ht="25.5">
      <c r="A6955" s="341">
        <v>40920</v>
      </c>
      <c r="B6955" s="342" t="s">
        <v>7788</v>
      </c>
      <c r="C6955" s="341" t="s">
        <v>7466</v>
      </c>
      <c r="D6955" s="344">
        <v>1590.89</v>
      </c>
    </row>
    <row r="6956" spans="1:4" ht="25.5">
      <c r="A6956" s="341">
        <v>7266</v>
      </c>
      <c r="B6956" s="342" t="s">
        <v>7789</v>
      </c>
      <c r="C6956" s="341" t="s">
        <v>7790</v>
      </c>
      <c r="D6956" s="343">
        <v>530</v>
      </c>
    </row>
    <row r="6957" spans="1:4" ht="25.5">
      <c r="A6957" s="341">
        <v>7270</v>
      </c>
      <c r="B6957" s="342" t="s">
        <v>7791</v>
      </c>
      <c r="C6957" s="341" t="s">
        <v>7278</v>
      </c>
      <c r="D6957" s="343">
        <v>0.5</v>
      </c>
    </row>
    <row r="6958" spans="1:4" ht="25.5">
      <c r="A6958" s="341">
        <v>7269</v>
      </c>
      <c r="B6958" s="342" t="s">
        <v>7792</v>
      </c>
      <c r="C6958" s="341" t="s">
        <v>7278</v>
      </c>
      <c r="D6958" s="343">
        <v>0.36</v>
      </c>
    </row>
    <row r="6959" spans="1:4" ht="25.5">
      <c r="A6959" s="341">
        <v>7271</v>
      </c>
      <c r="B6959" s="342" t="s">
        <v>7793</v>
      </c>
      <c r="C6959" s="341" t="s">
        <v>7278</v>
      </c>
      <c r="D6959" s="343">
        <v>0.53</v>
      </c>
    </row>
    <row r="6960" spans="1:4" ht="25.5">
      <c r="A6960" s="341">
        <v>7268</v>
      </c>
      <c r="B6960" s="342" t="s">
        <v>7794</v>
      </c>
      <c r="C6960" s="341" t="s">
        <v>7278</v>
      </c>
      <c r="D6960" s="343">
        <v>0.75</v>
      </c>
    </row>
    <row r="6961" spans="1:4" ht="25.5">
      <c r="A6961" s="341">
        <v>7267</v>
      </c>
      <c r="B6961" s="342" t="s">
        <v>7795</v>
      </c>
      <c r="C6961" s="341" t="s">
        <v>7278</v>
      </c>
      <c r="D6961" s="343">
        <v>0.36</v>
      </c>
    </row>
    <row r="6962" spans="1:4" ht="38.25">
      <c r="A6962" s="341">
        <v>38783</v>
      </c>
      <c r="B6962" s="342" t="s">
        <v>7796</v>
      </c>
      <c r="C6962" s="341" t="s">
        <v>7278</v>
      </c>
      <c r="D6962" s="343">
        <v>0.66</v>
      </c>
    </row>
    <row r="6963" spans="1:4" ht="25.5">
      <c r="A6963" s="341">
        <v>37593</v>
      </c>
      <c r="B6963" s="342" t="s">
        <v>7797</v>
      </c>
      <c r="C6963" s="341" t="s">
        <v>7278</v>
      </c>
      <c r="D6963" s="343">
        <v>1.73</v>
      </c>
    </row>
    <row r="6964" spans="1:4" ht="25.5">
      <c r="A6964" s="341">
        <v>37594</v>
      </c>
      <c r="B6964" s="342" t="s">
        <v>7798</v>
      </c>
      <c r="C6964" s="341" t="s">
        <v>7278</v>
      </c>
      <c r="D6964" s="343">
        <v>2.12</v>
      </c>
    </row>
    <row r="6965" spans="1:4" ht="25.5">
      <c r="A6965" s="341">
        <v>37592</v>
      </c>
      <c r="B6965" s="342" t="s">
        <v>7799</v>
      </c>
      <c r="C6965" s="341" t="s">
        <v>7278</v>
      </c>
      <c r="D6965" s="343">
        <v>1.29</v>
      </c>
    </row>
    <row r="6966" spans="1:4" ht="25.5">
      <c r="A6966" s="341">
        <v>34556</v>
      </c>
      <c r="B6966" s="342" t="s">
        <v>7800</v>
      </c>
      <c r="C6966" s="341" t="s">
        <v>7278</v>
      </c>
      <c r="D6966" s="343">
        <v>2.77</v>
      </c>
    </row>
    <row r="6967" spans="1:4" ht="25.5">
      <c r="A6967" s="341">
        <v>37873</v>
      </c>
      <c r="B6967" s="342" t="s">
        <v>7801</v>
      </c>
      <c r="C6967" s="341" t="s">
        <v>7278</v>
      </c>
      <c r="D6967" s="343">
        <v>3.03</v>
      </c>
    </row>
    <row r="6968" spans="1:4" ht="25.5">
      <c r="A6968" s="341">
        <v>34564</v>
      </c>
      <c r="B6968" s="342" t="s">
        <v>7802</v>
      </c>
      <c r="C6968" s="341" t="s">
        <v>7278</v>
      </c>
      <c r="D6968" s="343">
        <v>3.47</v>
      </c>
    </row>
    <row r="6969" spans="1:4" ht="25.5">
      <c r="A6969" s="341">
        <v>34565</v>
      </c>
      <c r="B6969" s="342" t="s">
        <v>7803</v>
      </c>
      <c r="C6969" s="341" t="s">
        <v>7278</v>
      </c>
      <c r="D6969" s="343">
        <v>4</v>
      </c>
    </row>
    <row r="6970" spans="1:4" ht="25.5">
      <c r="A6970" s="341">
        <v>38590</v>
      </c>
      <c r="B6970" s="342" t="s">
        <v>7804</v>
      </c>
      <c r="C6970" s="341" t="s">
        <v>7278</v>
      </c>
      <c r="D6970" s="343">
        <v>2.3199999999999998</v>
      </c>
    </row>
    <row r="6971" spans="1:4" ht="25.5">
      <c r="A6971" s="341">
        <v>34566</v>
      </c>
      <c r="B6971" s="342" t="s">
        <v>7805</v>
      </c>
      <c r="C6971" s="341" t="s">
        <v>7278</v>
      </c>
      <c r="D6971" s="343">
        <v>2.17</v>
      </c>
    </row>
    <row r="6972" spans="1:4" ht="25.5">
      <c r="A6972" s="341">
        <v>34567</v>
      </c>
      <c r="B6972" s="342" t="s">
        <v>7806</v>
      </c>
      <c r="C6972" s="341" t="s">
        <v>7278</v>
      </c>
      <c r="D6972" s="343">
        <v>2.4300000000000002</v>
      </c>
    </row>
    <row r="6973" spans="1:4" ht="25.5">
      <c r="A6973" s="341">
        <v>38591</v>
      </c>
      <c r="B6973" s="342" t="s">
        <v>7807</v>
      </c>
      <c r="C6973" s="341" t="s">
        <v>7278</v>
      </c>
      <c r="D6973" s="343">
        <v>2.63</v>
      </c>
    </row>
    <row r="6974" spans="1:4" ht="25.5">
      <c r="A6974" s="341">
        <v>34568</v>
      </c>
      <c r="B6974" s="342" t="s">
        <v>7808</v>
      </c>
      <c r="C6974" s="341" t="s">
        <v>7278</v>
      </c>
      <c r="D6974" s="343">
        <v>3.18</v>
      </c>
    </row>
    <row r="6975" spans="1:4" ht="25.5">
      <c r="A6975" s="341">
        <v>34569</v>
      </c>
      <c r="B6975" s="342" t="s">
        <v>7809</v>
      </c>
      <c r="C6975" s="341" t="s">
        <v>7278</v>
      </c>
      <c r="D6975" s="343">
        <v>3.25</v>
      </c>
    </row>
    <row r="6976" spans="1:4" ht="25.5">
      <c r="A6976" s="341">
        <v>34570</v>
      </c>
      <c r="B6976" s="342" t="s">
        <v>7810</v>
      </c>
      <c r="C6976" s="341" t="s">
        <v>7278</v>
      </c>
      <c r="D6976" s="343">
        <v>3.48</v>
      </c>
    </row>
    <row r="6977" spans="1:4" ht="25.5">
      <c r="A6977" s="341">
        <v>25070</v>
      </c>
      <c r="B6977" s="342" t="s">
        <v>7811</v>
      </c>
      <c r="C6977" s="341" t="s">
        <v>7278</v>
      </c>
      <c r="D6977" s="343">
        <v>2.66</v>
      </c>
    </row>
    <row r="6978" spans="1:4" ht="25.5">
      <c r="A6978" s="341">
        <v>34571</v>
      </c>
      <c r="B6978" s="342" t="s">
        <v>7812</v>
      </c>
      <c r="C6978" s="341" t="s">
        <v>7278</v>
      </c>
      <c r="D6978" s="343">
        <v>2.71</v>
      </c>
    </row>
    <row r="6979" spans="1:4" ht="25.5">
      <c r="A6979" s="341">
        <v>34573</v>
      </c>
      <c r="B6979" s="342" t="s">
        <v>7813</v>
      </c>
      <c r="C6979" s="341" t="s">
        <v>7278</v>
      </c>
      <c r="D6979" s="343">
        <v>2.86</v>
      </c>
    </row>
    <row r="6980" spans="1:4" ht="25.5">
      <c r="A6980" s="341">
        <v>37107</v>
      </c>
      <c r="B6980" s="342" t="s">
        <v>7814</v>
      </c>
      <c r="C6980" s="341" t="s">
        <v>7278</v>
      </c>
      <c r="D6980" s="343">
        <v>4.22</v>
      </c>
    </row>
    <row r="6981" spans="1:4" ht="25.5">
      <c r="A6981" s="341">
        <v>34576</v>
      </c>
      <c r="B6981" s="342" t="s">
        <v>7815</v>
      </c>
      <c r="C6981" s="341" t="s">
        <v>7278</v>
      </c>
      <c r="D6981" s="343">
        <v>3.96</v>
      </c>
    </row>
    <row r="6982" spans="1:4" ht="25.5">
      <c r="A6982" s="341">
        <v>34577</v>
      </c>
      <c r="B6982" s="342" t="s">
        <v>7816</v>
      </c>
      <c r="C6982" s="341" t="s">
        <v>7278</v>
      </c>
      <c r="D6982" s="343">
        <v>4.22</v>
      </c>
    </row>
    <row r="6983" spans="1:4" ht="25.5">
      <c r="A6983" s="341">
        <v>34578</v>
      </c>
      <c r="B6983" s="342" t="s">
        <v>7817</v>
      </c>
      <c r="C6983" s="341" t="s">
        <v>7278</v>
      </c>
      <c r="D6983" s="343">
        <v>4.6900000000000004</v>
      </c>
    </row>
    <row r="6984" spans="1:4" ht="25.5">
      <c r="A6984" s="341">
        <v>34579</v>
      </c>
      <c r="B6984" s="342" t="s">
        <v>7818</v>
      </c>
      <c r="C6984" s="341" t="s">
        <v>7278</v>
      </c>
      <c r="D6984" s="343">
        <v>6</v>
      </c>
    </row>
    <row r="6985" spans="1:4" ht="25.5">
      <c r="A6985" s="341">
        <v>25067</v>
      </c>
      <c r="B6985" s="342" t="s">
        <v>7819</v>
      </c>
      <c r="C6985" s="341" t="s">
        <v>7278</v>
      </c>
      <c r="D6985" s="343">
        <v>3.47</v>
      </c>
    </row>
    <row r="6986" spans="1:4" ht="25.5">
      <c r="A6986" s="341">
        <v>34580</v>
      </c>
      <c r="B6986" s="342" t="s">
        <v>7820</v>
      </c>
      <c r="C6986" s="341" t="s">
        <v>7278</v>
      </c>
      <c r="D6986" s="343">
        <v>3.77</v>
      </c>
    </row>
    <row r="6987" spans="1:4" ht="25.5">
      <c r="A6987" s="341">
        <v>25071</v>
      </c>
      <c r="B6987" s="342" t="s">
        <v>7821</v>
      </c>
      <c r="C6987" s="341" t="s">
        <v>7278</v>
      </c>
      <c r="D6987" s="343">
        <v>1.82</v>
      </c>
    </row>
    <row r="6988" spans="1:4">
      <c r="A6988" s="341">
        <v>38395</v>
      </c>
      <c r="B6988" s="342" t="s">
        <v>7822</v>
      </c>
      <c r="C6988" s="341" t="s">
        <v>7278</v>
      </c>
      <c r="D6988" s="343">
        <v>6.34</v>
      </c>
    </row>
    <row r="6989" spans="1:4" ht="25.5">
      <c r="A6989" s="341">
        <v>34583</v>
      </c>
      <c r="B6989" s="342" t="s">
        <v>7823</v>
      </c>
      <c r="C6989" s="341" t="s">
        <v>7273</v>
      </c>
      <c r="D6989" s="343">
        <v>66.84</v>
      </c>
    </row>
    <row r="6990" spans="1:4" ht="25.5">
      <c r="A6990" s="341">
        <v>34584</v>
      </c>
      <c r="B6990" s="342" t="s">
        <v>7824</v>
      </c>
      <c r="C6990" s="341" t="s">
        <v>7273</v>
      </c>
      <c r="D6990" s="343">
        <v>37.409999999999997</v>
      </c>
    </row>
    <row r="6991" spans="1:4" ht="51">
      <c r="A6991" s="341">
        <v>709</v>
      </c>
      <c r="B6991" s="342" t="s">
        <v>7825</v>
      </c>
      <c r="C6991" s="341" t="s">
        <v>7273</v>
      </c>
      <c r="D6991" s="343">
        <v>490.02</v>
      </c>
    </row>
    <row r="6992" spans="1:4" ht="25.5">
      <c r="A6992" s="341">
        <v>716</v>
      </c>
      <c r="B6992" s="342" t="s">
        <v>7826</v>
      </c>
      <c r="C6992" s="341" t="s">
        <v>7278</v>
      </c>
      <c r="D6992" s="343">
        <v>14.49</v>
      </c>
    </row>
    <row r="6993" spans="1:4" ht="25.5">
      <c r="A6993" s="341">
        <v>715</v>
      </c>
      <c r="B6993" s="342" t="s">
        <v>7827</v>
      </c>
      <c r="C6993" s="341" t="s">
        <v>7278</v>
      </c>
      <c r="D6993" s="343">
        <v>14.33</v>
      </c>
    </row>
    <row r="6994" spans="1:4" ht="25.5">
      <c r="A6994" s="341">
        <v>718</v>
      </c>
      <c r="B6994" s="342" t="s">
        <v>7828</v>
      </c>
      <c r="C6994" s="341" t="s">
        <v>7278</v>
      </c>
      <c r="D6994" s="343">
        <v>21.35</v>
      </c>
    </row>
    <row r="6995" spans="1:4" ht="25.5">
      <c r="A6995" s="341">
        <v>11981</v>
      </c>
      <c r="B6995" s="342" t="s">
        <v>7829</v>
      </c>
      <c r="C6995" s="341" t="s">
        <v>7278</v>
      </c>
      <c r="D6995" s="343">
        <v>14.64</v>
      </c>
    </row>
    <row r="6996" spans="1:4" ht="25.5">
      <c r="A6996" s="341">
        <v>10610</v>
      </c>
      <c r="B6996" s="342" t="s">
        <v>7830</v>
      </c>
      <c r="C6996" s="341" t="s">
        <v>7278</v>
      </c>
      <c r="D6996" s="343">
        <v>1.43</v>
      </c>
    </row>
    <row r="6997" spans="1:4" ht="25.5">
      <c r="A6997" s="341">
        <v>34585</v>
      </c>
      <c r="B6997" s="342" t="s">
        <v>7831</v>
      </c>
      <c r="C6997" s="341" t="s">
        <v>7278</v>
      </c>
      <c r="D6997" s="343">
        <v>1.45</v>
      </c>
    </row>
    <row r="6998" spans="1:4" ht="25.5">
      <c r="A6998" s="341">
        <v>34586</v>
      </c>
      <c r="B6998" s="342" t="s">
        <v>7832</v>
      </c>
      <c r="C6998" s="341" t="s">
        <v>7278</v>
      </c>
      <c r="D6998" s="343">
        <v>1.47</v>
      </c>
    </row>
    <row r="6999" spans="1:4" ht="25.5">
      <c r="A6999" s="341">
        <v>38603</v>
      </c>
      <c r="B6999" s="342" t="s">
        <v>7833</v>
      </c>
      <c r="C6999" s="341" t="s">
        <v>7278</v>
      </c>
      <c r="D6999" s="343">
        <v>1.7</v>
      </c>
    </row>
    <row r="7000" spans="1:4" ht="25.5">
      <c r="A7000" s="341">
        <v>34588</v>
      </c>
      <c r="B7000" s="342" t="s">
        <v>7834</v>
      </c>
      <c r="C7000" s="341" t="s">
        <v>7278</v>
      </c>
      <c r="D7000" s="343">
        <v>1.89</v>
      </c>
    </row>
    <row r="7001" spans="1:4" ht="25.5">
      <c r="A7001" s="341">
        <v>34590</v>
      </c>
      <c r="B7001" s="342" t="s">
        <v>7835</v>
      </c>
      <c r="C7001" s="341" t="s">
        <v>7278</v>
      </c>
      <c r="D7001" s="343">
        <v>2.04</v>
      </c>
    </row>
    <row r="7002" spans="1:4" ht="25.5">
      <c r="A7002" s="341">
        <v>34591</v>
      </c>
      <c r="B7002" s="342" t="s">
        <v>7836</v>
      </c>
      <c r="C7002" s="341" t="s">
        <v>7278</v>
      </c>
      <c r="D7002" s="343">
        <v>2.5499999999999998</v>
      </c>
    </row>
    <row r="7003" spans="1:4" ht="25.5">
      <c r="A7003" s="341">
        <v>37103</v>
      </c>
      <c r="B7003" s="342" t="s">
        <v>7837</v>
      </c>
      <c r="C7003" s="341" t="s">
        <v>7278</v>
      </c>
      <c r="D7003" s="343">
        <v>2.2599999999999998</v>
      </c>
    </row>
    <row r="7004" spans="1:4" ht="25.5">
      <c r="A7004" s="341">
        <v>34555</v>
      </c>
      <c r="B7004" s="342" t="s">
        <v>7838</v>
      </c>
      <c r="C7004" s="341" t="s">
        <v>7278</v>
      </c>
      <c r="D7004" s="343">
        <v>2.84</v>
      </c>
    </row>
    <row r="7005" spans="1:4" ht="25.5">
      <c r="A7005" s="341">
        <v>34599</v>
      </c>
      <c r="B7005" s="342" t="s">
        <v>7839</v>
      </c>
      <c r="C7005" s="341" t="s">
        <v>7278</v>
      </c>
      <c r="D7005" s="343">
        <v>2.0299999999999998</v>
      </c>
    </row>
    <row r="7006" spans="1:4" ht="25.5">
      <c r="A7006" s="341">
        <v>674</v>
      </c>
      <c r="B7006" s="342" t="s">
        <v>7840</v>
      </c>
      <c r="C7006" s="341" t="s">
        <v>7273</v>
      </c>
      <c r="D7006" s="343">
        <v>44.27</v>
      </c>
    </row>
    <row r="7007" spans="1:4" ht="25.5">
      <c r="A7007" s="341">
        <v>34600</v>
      </c>
      <c r="B7007" s="342" t="s">
        <v>7841</v>
      </c>
      <c r="C7007" s="341" t="s">
        <v>7273</v>
      </c>
      <c r="D7007" s="343">
        <v>71.94</v>
      </c>
    </row>
    <row r="7008" spans="1:4" ht="25.5">
      <c r="A7008" s="341">
        <v>652</v>
      </c>
      <c r="B7008" s="342" t="s">
        <v>7842</v>
      </c>
      <c r="C7008" s="341" t="s">
        <v>7273</v>
      </c>
      <c r="D7008" s="343">
        <v>91.62</v>
      </c>
    </row>
    <row r="7009" spans="1:4" ht="25.5">
      <c r="A7009" s="341">
        <v>34592</v>
      </c>
      <c r="B7009" s="342" t="s">
        <v>7843</v>
      </c>
      <c r="C7009" s="341" t="s">
        <v>7278</v>
      </c>
      <c r="D7009" s="343">
        <v>1.93</v>
      </c>
    </row>
    <row r="7010" spans="1:4" ht="25.5">
      <c r="A7010" s="341">
        <v>651</v>
      </c>
      <c r="B7010" s="342" t="s">
        <v>7844</v>
      </c>
      <c r="C7010" s="341" t="s">
        <v>7278</v>
      </c>
      <c r="D7010" s="343">
        <v>2.21</v>
      </c>
    </row>
    <row r="7011" spans="1:4" ht="25.5">
      <c r="A7011" s="341">
        <v>654</v>
      </c>
      <c r="B7011" s="342" t="s">
        <v>7845</v>
      </c>
      <c r="C7011" s="341" t="s">
        <v>7278</v>
      </c>
      <c r="D7011" s="343">
        <v>2.85</v>
      </c>
    </row>
    <row r="7012" spans="1:4" ht="25.5">
      <c r="A7012" s="341">
        <v>650</v>
      </c>
      <c r="B7012" s="342" t="s">
        <v>7846</v>
      </c>
      <c r="C7012" s="341" t="s">
        <v>7278</v>
      </c>
      <c r="D7012" s="343">
        <v>1.88</v>
      </c>
    </row>
    <row r="7013" spans="1:4" ht="38.25">
      <c r="A7013" s="341">
        <v>40517</v>
      </c>
      <c r="B7013" s="342" t="s">
        <v>7847</v>
      </c>
      <c r="C7013" s="341" t="s">
        <v>7273</v>
      </c>
      <c r="D7013" s="343">
        <v>52.55</v>
      </c>
    </row>
    <row r="7014" spans="1:4" ht="38.25">
      <c r="A7014" s="341">
        <v>40520</v>
      </c>
      <c r="B7014" s="342" t="s">
        <v>7848</v>
      </c>
      <c r="C7014" s="341" t="s">
        <v>7273</v>
      </c>
      <c r="D7014" s="343">
        <v>55.05</v>
      </c>
    </row>
    <row r="7015" spans="1:4" ht="51">
      <c r="A7015" s="341">
        <v>40515</v>
      </c>
      <c r="B7015" s="342" t="s">
        <v>7849</v>
      </c>
      <c r="C7015" s="341" t="s">
        <v>7273</v>
      </c>
      <c r="D7015" s="343">
        <v>66.47</v>
      </c>
    </row>
    <row r="7016" spans="1:4" ht="51">
      <c r="A7016" s="341">
        <v>40516</v>
      </c>
      <c r="B7016" s="342" t="s">
        <v>7850</v>
      </c>
      <c r="C7016" s="341" t="s">
        <v>7273</v>
      </c>
      <c r="D7016" s="343">
        <v>79.16</v>
      </c>
    </row>
    <row r="7017" spans="1:4" ht="51">
      <c r="A7017" s="341">
        <v>40525</v>
      </c>
      <c r="B7017" s="342" t="s">
        <v>7851</v>
      </c>
      <c r="C7017" s="341" t="s">
        <v>7273</v>
      </c>
      <c r="D7017" s="343">
        <v>56.31</v>
      </c>
    </row>
    <row r="7018" spans="1:4" ht="51">
      <c r="A7018" s="341">
        <v>40529</v>
      </c>
      <c r="B7018" s="342" t="s">
        <v>7852</v>
      </c>
      <c r="C7018" s="341" t="s">
        <v>7273</v>
      </c>
      <c r="D7018" s="343">
        <v>61.81</v>
      </c>
    </row>
    <row r="7019" spans="1:4" ht="51">
      <c r="A7019" s="341">
        <v>695</v>
      </c>
      <c r="B7019" s="342" t="s">
        <v>7853</v>
      </c>
      <c r="C7019" s="341" t="s">
        <v>7273</v>
      </c>
      <c r="D7019" s="343">
        <v>42.45</v>
      </c>
    </row>
    <row r="7020" spans="1:4" ht="76.5">
      <c r="A7020" s="341">
        <v>40524</v>
      </c>
      <c r="B7020" s="342" t="s">
        <v>7854</v>
      </c>
      <c r="C7020" s="341" t="s">
        <v>7273</v>
      </c>
      <c r="D7020" s="343">
        <v>56.31</v>
      </c>
    </row>
    <row r="7021" spans="1:4" ht="63.75">
      <c r="A7021" s="341">
        <v>36156</v>
      </c>
      <c r="B7021" s="342" t="s">
        <v>7855</v>
      </c>
      <c r="C7021" s="341" t="s">
        <v>7273</v>
      </c>
      <c r="D7021" s="343">
        <v>48.8</v>
      </c>
    </row>
    <row r="7022" spans="1:4" ht="76.5">
      <c r="A7022" s="341">
        <v>36155</v>
      </c>
      <c r="B7022" s="342" t="s">
        <v>7856</v>
      </c>
      <c r="C7022" s="341" t="s">
        <v>7273</v>
      </c>
      <c r="D7022" s="343">
        <v>43.23</v>
      </c>
    </row>
    <row r="7023" spans="1:4" ht="63.75">
      <c r="A7023" s="341">
        <v>36154</v>
      </c>
      <c r="B7023" s="342" t="s">
        <v>7857</v>
      </c>
      <c r="C7023" s="341" t="s">
        <v>7273</v>
      </c>
      <c r="D7023" s="343">
        <v>57.43</v>
      </c>
    </row>
    <row r="7024" spans="1:4" ht="76.5">
      <c r="A7024" s="341">
        <v>36196</v>
      </c>
      <c r="B7024" s="342" t="s">
        <v>7858</v>
      </c>
      <c r="C7024" s="341" t="s">
        <v>7273</v>
      </c>
      <c r="D7024" s="343">
        <v>48.8</v>
      </c>
    </row>
    <row r="7025" spans="1:4" ht="51">
      <c r="A7025" s="341">
        <v>679</v>
      </c>
      <c r="B7025" s="342" t="s">
        <v>7859</v>
      </c>
      <c r="C7025" s="341" t="s">
        <v>7273</v>
      </c>
      <c r="D7025" s="343">
        <v>58.18</v>
      </c>
    </row>
    <row r="7026" spans="1:4" ht="51">
      <c r="A7026" s="341">
        <v>711</v>
      </c>
      <c r="B7026" s="342" t="s">
        <v>7860</v>
      </c>
      <c r="C7026" s="341" t="s">
        <v>7273</v>
      </c>
      <c r="D7026" s="343">
        <v>44.42</v>
      </c>
    </row>
    <row r="7027" spans="1:4" ht="51">
      <c r="A7027" s="341">
        <v>712</v>
      </c>
      <c r="B7027" s="342" t="s">
        <v>7861</v>
      </c>
      <c r="C7027" s="341" t="s">
        <v>7273</v>
      </c>
      <c r="D7027" s="343">
        <v>46.3</v>
      </c>
    </row>
    <row r="7028" spans="1:4" ht="51">
      <c r="A7028" s="341">
        <v>36191</v>
      </c>
      <c r="B7028" s="342" t="s">
        <v>7861</v>
      </c>
      <c r="C7028" s="341" t="s">
        <v>7278</v>
      </c>
      <c r="D7028" s="343">
        <v>3.23</v>
      </c>
    </row>
    <row r="7029" spans="1:4" ht="51">
      <c r="A7029" s="341">
        <v>36169</v>
      </c>
      <c r="B7029" s="342" t="s">
        <v>7862</v>
      </c>
      <c r="C7029" s="341" t="s">
        <v>7273</v>
      </c>
      <c r="D7029" s="343">
        <v>47.3</v>
      </c>
    </row>
    <row r="7030" spans="1:4" ht="51">
      <c r="A7030" s="341">
        <v>36172</v>
      </c>
      <c r="B7030" s="342" t="s">
        <v>7863</v>
      </c>
      <c r="C7030" s="341" t="s">
        <v>7273</v>
      </c>
      <c r="D7030" s="343">
        <v>41.29</v>
      </c>
    </row>
    <row r="7031" spans="1:4" ht="51">
      <c r="A7031" s="341">
        <v>36174</v>
      </c>
      <c r="B7031" s="342" t="s">
        <v>7864</v>
      </c>
      <c r="C7031" s="341" t="s">
        <v>7273</v>
      </c>
      <c r="D7031" s="343">
        <v>54.21</v>
      </c>
    </row>
    <row r="7032" spans="1:4" ht="51">
      <c r="A7032" s="341">
        <v>36170</v>
      </c>
      <c r="B7032" s="342" t="s">
        <v>7865</v>
      </c>
      <c r="C7032" s="341" t="s">
        <v>7273</v>
      </c>
      <c r="D7032" s="343">
        <v>46.3</v>
      </c>
    </row>
    <row r="7033" spans="1:4" ht="38.25">
      <c r="A7033" s="341">
        <v>12614</v>
      </c>
      <c r="B7033" s="342" t="s">
        <v>7866</v>
      </c>
      <c r="C7033" s="341" t="s">
        <v>7278</v>
      </c>
      <c r="D7033" s="343">
        <v>18.399999999999999</v>
      </c>
    </row>
    <row r="7034" spans="1:4" ht="25.5">
      <c r="A7034" s="341">
        <v>6140</v>
      </c>
      <c r="B7034" s="342" t="s">
        <v>7867</v>
      </c>
      <c r="C7034" s="341" t="s">
        <v>7278</v>
      </c>
      <c r="D7034" s="343">
        <v>2.4900000000000002</v>
      </c>
    </row>
    <row r="7035" spans="1:4" ht="25.5">
      <c r="A7035" s="341">
        <v>38399</v>
      </c>
      <c r="B7035" s="342" t="s">
        <v>7868</v>
      </c>
      <c r="C7035" s="341" t="s">
        <v>7278</v>
      </c>
      <c r="D7035" s="343">
        <v>123.44</v>
      </c>
    </row>
    <row r="7036" spans="1:4" ht="63.75">
      <c r="A7036" s="341">
        <v>735</v>
      </c>
      <c r="B7036" s="342" t="s">
        <v>7869</v>
      </c>
      <c r="C7036" s="341" t="s">
        <v>7278</v>
      </c>
      <c r="D7036" s="344">
        <v>1528.64</v>
      </c>
    </row>
    <row r="7037" spans="1:4" ht="63.75">
      <c r="A7037" s="341">
        <v>736</v>
      </c>
      <c r="B7037" s="342" t="s">
        <v>7870</v>
      </c>
      <c r="C7037" s="341" t="s">
        <v>7278</v>
      </c>
      <c r="D7037" s="344">
        <v>1285.31</v>
      </c>
    </row>
    <row r="7038" spans="1:4" ht="51">
      <c r="A7038" s="341">
        <v>729</v>
      </c>
      <c r="B7038" s="342" t="s">
        <v>7871</v>
      </c>
      <c r="C7038" s="341" t="s">
        <v>7278</v>
      </c>
      <c r="D7038" s="343">
        <v>523.78</v>
      </c>
    </row>
    <row r="7039" spans="1:4" ht="51">
      <c r="A7039" s="341">
        <v>39925</v>
      </c>
      <c r="B7039" s="342" t="s">
        <v>7872</v>
      </c>
      <c r="C7039" s="341" t="s">
        <v>7278</v>
      </c>
      <c r="D7039" s="344">
        <v>7568.57</v>
      </c>
    </row>
    <row r="7040" spans="1:4" ht="51">
      <c r="A7040" s="341">
        <v>731</v>
      </c>
      <c r="B7040" s="342" t="s">
        <v>7873</v>
      </c>
      <c r="C7040" s="341" t="s">
        <v>7278</v>
      </c>
      <c r="D7040" s="343">
        <v>509.76</v>
      </c>
    </row>
    <row r="7041" spans="1:4" ht="63.75">
      <c r="A7041" s="341">
        <v>10575</v>
      </c>
      <c r="B7041" s="342" t="s">
        <v>7874</v>
      </c>
      <c r="C7041" s="341" t="s">
        <v>7278</v>
      </c>
      <c r="D7041" s="343">
        <v>795.53</v>
      </c>
    </row>
    <row r="7042" spans="1:4" ht="51">
      <c r="A7042" s="341">
        <v>733</v>
      </c>
      <c r="B7042" s="342" t="s">
        <v>7875</v>
      </c>
      <c r="C7042" s="341" t="s">
        <v>7278</v>
      </c>
      <c r="D7042" s="343">
        <v>871.01</v>
      </c>
    </row>
    <row r="7043" spans="1:4" ht="51">
      <c r="A7043" s="341">
        <v>732</v>
      </c>
      <c r="B7043" s="342" t="s">
        <v>7876</v>
      </c>
      <c r="C7043" s="341" t="s">
        <v>7278</v>
      </c>
      <c r="D7043" s="343">
        <v>859.3</v>
      </c>
    </row>
    <row r="7044" spans="1:4" ht="51">
      <c r="A7044" s="341">
        <v>737</v>
      </c>
      <c r="B7044" s="342" t="s">
        <v>7877</v>
      </c>
      <c r="C7044" s="341" t="s">
        <v>7278</v>
      </c>
      <c r="D7044" s="344">
        <v>4818.6899999999996</v>
      </c>
    </row>
    <row r="7045" spans="1:4" ht="51">
      <c r="A7045" s="341">
        <v>738</v>
      </c>
      <c r="B7045" s="342" t="s">
        <v>7878</v>
      </c>
      <c r="C7045" s="341" t="s">
        <v>7278</v>
      </c>
      <c r="D7045" s="344">
        <v>2234.39</v>
      </c>
    </row>
    <row r="7046" spans="1:4" ht="63.75">
      <c r="A7046" s="341">
        <v>740</v>
      </c>
      <c r="B7046" s="342" t="s">
        <v>7879</v>
      </c>
      <c r="C7046" s="341" t="s">
        <v>7278</v>
      </c>
      <c r="D7046" s="344">
        <v>4533.12</v>
      </c>
    </row>
    <row r="7047" spans="1:4" ht="51">
      <c r="A7047" s="341">
        <v>734</v>
      </c>
      <c r="B7047" s="342" t="s">
        <v>7880</v>
      </c>
      <c r="C7047" s="341" t="s">
        <v>7278</v>
      </c>
      <c r="D7047" s="343">
        <v>921.16</v>
      </c>
    </row>
    <row r="7048" spans="1:4" ht="25.5">
      <c r="A7048" s="341">
        <v>39008</v>
      </c>
      <c r="B7048" s="342" t="s">
        <v>7881</v>
      </c>
      <c r="C7048" s="341" t="s">
        <v>7278</v>
      </c>
      <c r="D7048" s="344">
        <v>41576.01</v>
      </c>
    </row>
    <row r="7049" spans="1:4" ht="25.5">
      <c r="A7049" s="341">
        <v>39009</v>
      </c>
      <c r="B7049" s="342" t="s">
        <v>7882</v>
      </c>
      <c r="C7049" s="341" t="s">
        <v>7278</v>
      </c>
      <c r="D7049" s="344">
        <v>44543.54</v>
      </c>
    </row>
    <row r="7050" spans="1:4" ht="76.5">
      <c r="A7050" s="341">
        <v>10587</v>
      </c>
      <c r="B7050" s="342" t="s">
        <v>7883</v>
      </c>
      <c r="C7050" s="341" t="s">
        <v>7278</v>
      </c>
      <c r="D7050" s="344">
        <v>2477.83</v>
      </c>
    </row>
    <row r="7051" spans="1:4" ht="76.5">
      <c r="A7051" s="341">
        <v>759</v>
      </c>
      <c r="B7051" s="342" t="s">
        <v>7884</v>
      </c>
      <c r="C7051" s="341" t="s">
        <v>7278</v>
      </c>
      <c r="D7051" s="344">
        <v>3562.63</v>
      </c>
    </row>
    <row r="7052" spans="1:4" ht="76.5">
      <c r="A7052" s="341">
        <v>761</v>
      </c>
      <c r="B7052" s="342" t="s">
        <v>7885</v>
      </c>
      <c r="C7052" s="341" t="s">
        <v>7278</v>
      </c>
      <c r="D7052" s="344">
        <v>6038.95</v>
      </c>
    </row>
    <row r="7053" spans="1:4" ht="76.5">
      <c r="A7053" s="341">
        <v>750</v>
      </c>
      <c r="B7053" s="342" t="s">
        <v>7886</v>
      </c>
      <c r="C7053" s="341" t="s">
        <v>7278</v>
      </c>
      <c r="D7053" s="344">
        <v>5733.51</v>
      </c>
    </row>
    <row r="7054" spans="1:4" ht="76.5">
      <c r="A7054" s="341">
        <v>755</v>
      </c>
      <c r="B7054" s="342" t="s">
        <v>7887</v>
      </c>
      <c r="C7054" s="341" t="s">
        <v>7278</v>
      </c>
      <c r="D7054" s="344">
        <v>23527.54</v>
      </c>
    </row>
    <row r="7055" spans="1:4" ht="76.5">
      <c r="A7055" s="341">
        <v>749</v>
      </c>
      <c r="B7055" s="342" t="s">
        <v>7888</v>
      </c>
      <c r="C7055" s="341" t="s">
        <v>7278</v>
      </c>
      <c r="D7055" s="344">
        <v>8652.99</v>
      </c>
    </row>
    <row r="7056" spans="1:4" ht="76.5">
      <c r="A7056" s="341">
        <v>756</v>
      </c>
      <c r="B7056" s="342" t="s">
        <v>7889</v>
      </c>
      <c r="C7056" s="341" t="s">
        <v>7278</v>
      </c>
      <c r="D7056" s="344">
        <v>25659.93</v>
      </c>
    </row>
    <row r="7057" spans="1:4" ht="51">
      <c r="A7057" s="341">
        <v>757</v>
      </c>
      <c r="B7057" s="342" t="s">
        <v>7890</v>
      </c>
      <c r="C7057" s="341" t="s">
        <v>7278</v>
      </c>
      <c r="D7057" s="344">
        <v>11651.25</v>
      </c>
    </row>
    <row r="7058" spans="1:4" ht="63.75">
      <c r="A7058" s="341">
        <v>10588</v>
      </c>
      <c r="B7058" s="342" t="s">
        <v>7891</v>
      </c>
      <c r="C7058" s="341" t="s">
        <v>7278</v>
      </c>
      <c r="D7058" s="344">
        <v>2572.3000000000002</v>
      </c>
    </row>
    <row r="7059" spans="1:4" ht="63.75">
      <c r="A7059" s="341">
        <v>10592</v>
      </c>
      <c r="B7059" s="342" t="s">
        <v>7892</v>
      </c>
      <c r="C7059" s="341" t="s">
        <v>7278</v>
      </c>
      <c r="D7059" s="344">
        <v>3107</v>
      </c>
    </row>
    <row r="7060" spans="1:4" ht="63.75">
      <c r="A7060" s="341">
        <v>10589</v>
      </c>
      <c r="B7060" s="342" t="s">
        <v>7893</v>
      </c>
      <c r="C7060" s="341" t="s">
        <v>7278</v>
      </c>
      <c r="D7060" s="344">
        <v>4174.0600000000004</v>
      </c>
    </row>
    <row r="7061" spans="1:4" ht="51">
      <c r="A7061" s="341">
        <v>760</v>
      </c>
      <c r="B7061" s="342" t="s">
        <v>7894</v>
      </c>
      <c r="C7061" s="341" t="s">
        <v>7278</v>
      </c>
      <c r="D7061" s="344">
        <v>23302.5</v>
      </c>
    </row>
    <row r="7062" spans="1:4" ht="63.75">
      <c r="A7062" s="341">
        <v>751</v>
      </c>
      <c r="B7062" s="342" t="s">
        <v>7895</v>
      </c>
      <c r="C7062" s="341" t="s">
        <v>7278</v>
      </c>
      <c r="D7062" s="344">
        <v>3670.14</v>
      </c>
    </row>
    <row r="7063" spans="1:4" ht="63.75">
      <c r="A7063" s="341">
        <v>754</v>
      </c>
      <c r="B7063" s="342" t="s">
        <v>7896</v>
      </c>
      <c r="C7063" s="341" t="s">
        <v>7278</v>
      </c>
      <c r="D7063" s="344">
        <v>5825.62</v>
      </c>
    </row>
    <row r="7064" spans="1:4" ht="25.5">
      <c r="A7064" s="341">
        <v>14013</v>
      </c>
      <c r="B7064" s="342" t="s">
        <v>7897</v>
      </c>
      <c r="C7064" s="341" t="s">
        <v>7278</v>
      </c>
      <c r="D7064" s="344">
        <v>130211.47</v>
      </c>
    </row>
    <row r="7065" spans="1:4" ht="51">
      <c r="A7065" s="341">
        <v>39917</v>
      </c>
      <c r="B7065" s="342" t="s">
        <v>7898</v>
      </c>
      <c r="C7065" s="341" t="s">
        <v>7278</v>
      </c>
      <c r="D7065" s="344">
        <v>63863.75</v>
      </c>
    </row>
    <row r="7066" spans="1:4" ht="25.5">
      <c r="A7066" s="341">
        <v>5081</v>
      </c>
      <c r="B7066" s="342" t="s">
        <v>7899</v>
      </c>
      <c r="C7066" s="341" t="s">
        <v>7735</v>
      </c>
      <c r="D7066" s="343">
        <v>19.420000000000002</v>
      </c>
    </row>
    <row r="7067" spans="1:4" ht="25.5">
      <c r="A7067" s="341">
        <v>38167</v>
      </c>
      <c r="B7067" s="342" t="s">
        <v>7900</v>
      </c>
      <c r="C7067" s="341" t="s">
        <v>7735</v>
      </c>
      <c r="D7067" s="343">
        <v>16.739999999999998</v>
      </c>
    </row>
    <row r="7068" spans="1:4">
      <c r="A7068" s="341">
        <v>36145</v>
      </c>
      <c r="B7068" s="342" t="s">
        <v>7901</v>
      </c>
      <c r="C7068" s="341" t="s">
        <v>7735</v>
      </c>
      <c r="D7068" s="343">
        <v>39.799999999999997</v>
      </c>
    </row>
    <row r="7069" spans="1:4" ht="25.5">
      <c r="A7069" s="341">
        <v>12893</v>
      </c>
      <c r="B7069" s="342" t="s">
        <v>7902</v>
      </c>
      <c r="C7069" s="341" t="s">
        <v>7735</v>
      </c>
      <c r="D7069" s="343">
        <v>66.33</v>
      </c>
    </row>
    <row r="7070" spans="1:4" ht="25.5">
      <c r="A7070" s="341">
        <v>11685</v>
      </c>
      <c r="B7070" s="342" t="s">
        <v>7903</v>
      </c>
      <c r="C7070" s="341" t="s">
        <v>7278</v>
      </c>
      <c r="D7070" s="343">
        <v>20.77</v>
      </c>
    </row>
    <row r="7071" spans="1:4" ht="25.5">
      <c r="A7071" s="341">
        <v>11679</v>
      </c>
      <c r="B7071" s="342" t="s">
        <v>7904</v>
      </c>
      <c r="C7071" s="341" t="s">
        <v>7278</v>
      </c>
      <c r="D7071" s="343">
        <v>5.52</v>
      </c>
    </row>
    <row r="7072" spans="1:4" ht="25.5">
      <c r="A7072" s="341">
        <v>11680</v>
      </c>
      <c r="B7072" s="342" t="s">
        <v>7905</v>
      </c>
      <c r="C7072" s="341" t="s">
        <v>7278</v>
      </c>
      <c r="D7072" s="343">
        <v>4.54</v>
      </c>
    </row>
    <row r="7073" spans="1:4" ht="25.5">
      <c r="A7073" s="341">
        <v>2512</v>
      </c>
      <c r="B7073" s="342" t="s">
        <v>7906</v>
      </c>
      <c r="C7073" s="341" t="s">
        <v>7278</v>
      </c>
      <c r="D7073" s="343">
        <v>16.23</v>
      </c>
    </row>
    <row r="7074" spans="1:4">
      <c r="A7074" s="341">
        <v>4374</v>
      </c>
      <c r="B7074" s="342" t="s">
        <v>7907</v>
      </c>
      <c r="C7074" s="341" t="s">
        <v>7278</v>
      </c>
      <c r="D7074" s="343">
        <v>0.37</v>
      </c>
    </row>
    <row r="7075" spans="1:4" ht="51">
      <c r="A7075" s="341">
        <v>7568</v>
      </c>
      <c r="B7075" s="342" t="s">
        <v>7908</v>
      </c>
      <c r="C7075" s="341" t="s">
        <v>7278</v>
      </c>
      <c r="D7075" s="343">
        <v>0.61</v>
      </c>
    </row>
    <row r="7076" spans="1:4" ht="38.25">
      <c r="A7076" s="341">
        <v>7584</v>
      </c>
      <c r="B7076" s="342" t="s">
        <v>7909</v>
      </c>
      <c r="C7076" s="341" t="s">
        <v>7278</v>
      </c>
      <c r="D7076" s="343">
        <v>0.93</v>
      </c>
    </row>
    <row r="7077" spans="1:4">
      <c r="A7077" s="341">
        <v>11945</v>
      </c>
      <c r="B7077" s="342" t="s">
        <v>7910</v>
      </c>
      <c r="C7077" s="341" t="s">
        <v>7278</v>
      </c>
      <c r="D7077" s="343">
        <v>0.06</v>
      </c>
    </row>
    <row r="7078" spans="1:4">
      <c r="A7078" s="341">
        <v>11946</v>
      </c>
      <c r="B7078" s="342" t="s">
        <v>7911</v>
      </c>
      <c r="C7078" s="341" t="s">
        <v>7278</v>
      </c>
      <c r="D7078" s="343">
        <v>0.06</v>
      </c>
    </row>
    <row r="7079" spans="1:4">
      <c r="A7079" s="341">
        <v>4375</v>
      </c>
      <c r="B7079" s="342" t="s">
        <v>7912</v>
      </c>
      <c r="C7079" s="341" t="s">
        <v>7278</v>
      </c>
      <c r="D7079" s="343">
        <v>0.1</v>
      </c>
    </row>
    <row r="7080" spans="1:4" ht="38.25">
      <c r="A7080" s="341">
        <v>11950</v>
      </c>
      <c r="B7080" s="342" t="s">
        <v>7913</v>
      </c>
      <c r="C7080" s="341" t="s">
        <v>7278</v>
      </c>
      <c r="D7080" s="343">
        <v>0.2</v>
      </c>
    </row>
    <row r="7081" spans="1:4">
      <c r="A7081" s="341">
        <v>4376</v>
      </c>
      <c r="B7081" s="342" t="s">
        <v>7914</v>
      </c>
      <c r="C7081" s="341" t="s">
        <v>7278</v>
      </c>
      <c r="D7081" s="343">
        <v>0.19</v>
      </c>
    </row>
    <row r="7082" spans="1:4" ht="38.25">
      <c r="A7082" s="341">
        <v>7583</v>
      </c>
      <c r="B7082" s="342" t="s">
        <v>7915</v>
      </c>
      <c r="C7082" s="341" t="s">
        <v>7278</v>
      </c>
      <c r="D7082" s="343">
        <v>0.41</v>
      </c>
    </row>
    <row r="7083" spans="1:4" ht="51">
      <c r="A7083" s="341">
        <v>4350</v>
      </c>
      <c r="B7083" s="342" t="s">
        <v>7916</v>
      </c>
      <c r="C7083" s="341" t="s">
        <v>7278</v>
      </c>
      <c r="D7083" s="343">
        <v>0.34</v>
      </c>
    </row>
    <row r="7084" spans="1:4" ht="25.5">
      <c r="A7084" s="341">
        <v>39886</v>
      </c>
      <c r="B7084" s="342" t="s">
        <v>7917</v>
      </c>
      <c r="C7084" s="341" t="s">
        <v>7278</v>
      </c>
      <c r="D7084" s="343">
        <v>2.67</v>
      </c>
    </row>
    <row r="7085" spans="1:4" ht="25.5">
      <c r="A7085" s="341">
        <v>39887</v>
      </c>
      <c r="B7085" s="342" t="s">
        <v>7918</v>
      </c>
      <c r="C7085" s="341" t="s">
        <v>7278</v>
      </c>
      <c r="D7085" s="343">
        <v>4</v>
      </c>
    </row>
    <row r="7086" spans="1:4" ht="25.5">
      <c r="A7086" s="341">
        <v>39888</v>
      </c>
      <c r="B7086" s="342" t="s">
        <v>7919</v>
      </c>
      <c r="C7086" s="341" t="s">
        <v>7278</v>
      </c>
      <c r="D7086" s="343">
        <v>9.16</v>
      </c>
    </row>
    <row r="7087" spans="1:4" ht="25.5">
      <c r="A7087" s="341">
        <v>39890</v>
      </c>
      <c r="B7087" s="342" t="s">
        <v>7920</v>
      </c>
      <c r="C7087" s="341" t="s">
        <v>7278</v>
      </c>
      <c r="D7087" s="343">
        <v>15.63</v>
      </c>
    </row>
    <row r="7088" spans="1:4" ht="25.5">
      <c r="A7088" s="341">
        <v>39891</v>
      </c>
      <c r="B7088" s="342" t="s">
        <v>7921</v>
      </c>
      <c r="C7088" s="341" t="s">
        <v>7278</v>
      </c>
      <c r="D7088" s="343">
        <v>22.04</v>
      </c>
    </row>
    <row r="7089" spans="1:4" ht="25.5">
      <c r="A7089" s="341">
        <v>39892</v>
      </c>
      <c r="B7089" s="342" t="s">
        <v>7922</v>
      </c>
      <c r="C7089" s="341" t="s">
        <v>7278</v>
      </c>
      <c r="D7089" s="343">
        <v>68.709999999999994</v>
      </c>
    </row>
    <row r="7090" spans="1:4" ht="25.5">
      <c r="A7090" s="341">
        <v>790</v>
      </c>
      <c r="B7090" s="342" t="s">
        <v>7923</v>
      </c>
      <c r="C7090" s="341" t="s">
        <v>7278</v>
      </c>
      <c r="D7090" s="343">
        <v>10.47</v>
      </c>
    </row>
    <row r="7091" spans="1:4" ht="25.5">
      <c r="A7091" s="341">
        <v>766</v>
      </c>
      <c r="B7091" s="342" t="s">
        <v>7924</v>
      </c>
      <c r="C7091" s="341" t="s">
        <v>7278</v>
      </c>
      <c r="D7091" s="343">
        <v>10.47</v>
      </c>
    </row>
    <row r="7092" spans="1:4" ht="25.5">
      <c r="A7092" s="341">
        <v>791</v>
      </c>
      <c r="B7092" s="342" t="s">
        <v>7925</v>
      </c>
      <c r="C7092" s="341" t="s">
        <v>7278</v>
      </c>
      <c r="D7092" s="343">
        <v>10.47</v>
      </c>
    </row>
    <row r="7093" spans="1:4" ht="25.5">
      <c r="A7093" s="341">
        <v>767</v>
      </c>
      <c r="B7093" s="342" t="s">
        <v>7926</v>
      </c>
      <c r="C7093" s="341" t="s">
        <v>7278</v>
      </c>
      <c r="D7093" s="343">
        <v>10.47</v>
      </c>
    </row>
    <row r="7094" spans="1:4" ht="25.5">
      <c r="A7094" s="341">
        <v>768</v>
      </c>
      <c r="B7094" s="342" t="s">
        <v>7927</v>
      </c>
      <c r="C7094" s="341" t="s">
        <v>7278</v>
      </c>
      <c r="D7094" s="343">
        <v>8.2200000000000006</v>
      </c>
    </row>
    <row r="7095" spans="1:4" ht="25.5">
      <c r="A7095" s="341">
        <v>789</v>
      </c>
      <c r="B7095" s="342" t="s">
        <v>7928</v>
      </c>
      <c r="C7095" s="341" t="s">
        <v>7278</v>
      </c>
      <c r="D7095" s="343">
        <v>8.0399999999999991</v>
      </c>
    </row>
    <row r="7096" spans="1:4" ht="25.5">
      <c r="A7096" s="341">
        <v>769</v>
      </c>
      <c r="B7096" s="342" t="s">
        <v>7929</v>
      </c>
      <c r="C7096" s="341" t="s">
        <v>7278</v>
      </c>
      <c r="D7096" s="343">
        <v>8.2200000000000006</v>
      </c>
    </row>
    <row r="7097" spans="1:4" ht="25.5">
      <c r="A7097" s="341">
        <v>770</v>
      </c>
      <c r="B7097" s="342" t="s">
        <v>7930</v>
      </c>
      <c r="C7097" s="341" t="s">
        <v>7278</v>
      </c>
      <c r="D7097" s="343">
        <v>2.9</v>
      </c>
    </row>
    <row r="7098" spans="1:4" ht="25.5">
      <c r="A7098" s="341">
        <v>12394</v>
      </c>
      <c r="B7098" s="342" t="s">
        <v>7931</v>
      </c>
      <c r="C7098" s="341" t="s">
        <v>7278</v>
      </c>
      <c r="D7098" s="343">
        <v>2.9</v>
      </c>
    </row>
    <row r="7099" spans="1:4" ht="25.5">
      <c r="A7099" s="341">
        <v>764</v>
      </c>
      <c r="B7099" s="342" t="s">
        <v>7932</v>
      </c>
      <c r="C7099" s="341" t="s">
        <v>7278</v>
      </c>
      <c r="D7099" s="343">
        <v>5.0599999999999996</v>
      </c>
    </row>
    <row r="7100" spans="1:4" ht="25.5">
      <c r="A7100" s="341">
        <v>765</v>
      </c>
      <c r="B7100" s="342" t="s">
        <v>7933</v>
      </c>
      <c r="C7100" s="341" t="s">
        <v>7278</v>
      </c>
      <c r="D7100" s="343">
        <v>5.0599999999999996</v>
      </c>
    </row>
    <row r="7101" spans="1:4" ht="25.5">
      <c r="A7101" s="341">
        <v>787</v>
      </c>
      <c r="B7101" s="342" t="s">
        <v>7934</v>
      </c>
      <c r="C7101" s="341" t="s">
        <v>7278</v>
      </c>
      <c r="D7101" s="343">
        <v>22.6</v>
      </c>
    </row>
    <row r="7102" spans="1:4" ht="25.5">
      <c r="A7102" s="341">
        <v>774</v>
      </c>
      <c r="B7102" s="342" t="s">
        <v>7935</v>
      </c>
      <c r="C7102" s="341" t="s">
        <v>7278</v>
      </c>
      <c r="D7102" s="343">
        <v>22.6</v>
      </c>
    </row>
    <row r="7103" spans="1:4" ht="25.5">
      <c r="A7103" s="341">
        <v>773</v>
      </c>
      <c r="B7103" s="342" t="s">
        <v>7936</v>
      </c>
      <c r="C7103" s="341" t="s">
        <v>7278</v>
      </c>
      <c r="D7103" s="343">
        <v>22.6</v>
      </c>
    </row>
    <row r="7104" spans="1:4" ht="25.5">
      <c r="A7104" s="341">
        <v>775</v>
      </c>
      <c r="B7104" s="342" t="s">
        <v>7937</v>
      </c>
      <c r="C7104" s="341" t="s">
        <v>7278</v>
      </c>
      <c r="D7104" s="343">
        <v>22.6</v>
      </c>
    </row>
    <row r="7105" spans="1:4" ht="25.5">
      <c r="A7105" s="341">
        <v>788</v>
      </c>
      <c r="B7105" s="342" t="s">
        <v>7938</v>
      </c>
      <c r="C7105" s="341" t="s">
        <v>7278</v>
      </c>
      <c r="D7105" s="343">
        <v>14.04</v>
      </c>
    </row>
    <row r="7106" spans="1:4" ht="25.5">
      <c r="A7106" s="341">
        <v>772</v>
      </c>
      <c r="B7106" s="342" t="s">
        <v>7939</v>
      </c>
      <c r="C7106" s="341" t="s">
        <v>7278</v>
      </c>
      <c r="D7106" s="343">
        <v>14.04</v>
      </c>
    </row>
    <row r="7107" spans="1:4" ht="25.5">
      <c r="A7107" s="341">
        <v>771</v>
      </c>
      <c r="B7107" s="342" t="s">
        <v>7940</v>
      </c>
      <c r="C7107" s="341" t="s">
        <v>7278</v>
      </c>
      <c r="D7107" s="343">
        <v>14.04</v>
      </c>
    </row>
    <row r="7108" spans="1:4" ht="25.5">
      <c r="A7108" s="341">
        <v>779</v>
      </c>
      <c r="B7108" s="342" t="s">
        <v>7941</v>
      </c>
      <c r="C7108" s="341" t="s">
        <v>7278</v>
      </c>
      <c r="D7108" s="343">
        <v>3.49</v>
      </c>
    </row>
    <row r="7109" spans="1:4" ht="25.5">
      <c r="A7109" s="341">
        <v>776</v>
      </c>
      <c r="B7109" s="342" t="s">
        <v>7942</v>
      </c>
      <c r="C7109" s="341" t="s">
        <v>7278</v>
      </c>
      <c r="D7109" s="343">
        <v>33.32</v>
      </c>
    </row>
    <row r="7110" spans="1:4" ht="25.5">
      <c r="A7110" s="341">
        <v>777</v>
      </c>
      <c r="B7110" s="342" t="s">
        <v>7943</v>
      </c>
      <c r="C7110" s="341" t="s">
        <v>7278</v>
      </c>
      <c r="D7110" s="343">
        <v>32.39</v>
      </c>
    </row>
    <row r="7111" spans="1:4" ht="25.5">
      <c r="A7111" s="341">
        <v>780</v>
      </c>
      <c r="B7111" s="342" t="s">
        <v>7944</v>
      </c>
      <c r="C7111" s="341" t="s">
        <v>7278</v>
      </c>
      <c r="D7111" s="343">
        <v>32.549999999999997</v>
      </c>
    </row>
    <row r="7112" spans="1:4" ht="25.5">
      <c r="A7112" s="341">
        <v>778</v>
      </c>
      <c r="B7112" s="342" t="s">
        <v>7945</v>
      </c>
      <c r="C7112" s="341" t="s">
        <v>7278</v>
      </c>
      <c r="D7112" s="343">
        <v>33.32</v>
      </c>
    </row>
    <row r="7113" spans="1:4" ht="25.5">
      <c r="A7113" s="341">
        <v>781</v>
      </c>
      <c r="B7113" s="342" t="s">
        <v>7946</v>
      </c>
      <c r="C7113" s="341" t="s">
        <v>7278</v>
      </c>
      <c r="D7113" s="343">
        <v>61.56</v>
      </c>
    </row>
    <row r="7114" spans="1:4" ht="25.5">
      <c r="A7114" s="341">
        <v>786</v>
      </c>
      <c r="B7114" s="342" t="s">
        <v>7947</v>
      </c>
      <c r="C7114" s="341" t="s">
        <v>7278</v>
      </c>
      <c r="D7114" s="343">
        <v>61.56</v>
      </c>
    </row>
    <row r="7115" spans="1:4" ht="25.5">
      <c r="A7115" s="341">
        <v>782</v>
      </c>
      <c r="B7115" s="342" t="s">
        <v>7948</v>
      </c>
      <c r="C7115" s="341" t="s">
        <v>7278</v>
      </c>
      <c r="D7115" s="343">
        <v>61.56</v>
      </c>
    </row>
    <row r="7116" spans="1:4" ht="25.5">
      <c r="A7116" s="341">
        <v>783</v>
      </c>
      <c r="B7116" s="342" t="s">
        <v>7949</v>
      </c>
      <c r="C7116" s="341" t="s">
        <v>7278</v>
      </c>
      <c r="D7116" s="343">
        <v>168.49</v>
      </c>
    </row>
    <row r="7117" spans="1:4" ht="25.5">
      <c r="A7117" s="341">
        <v>785</v>
      </c>
      <c r="B7117" s="342" t="s">
        <v>7950</v>
      </c>
      <c r="C7117" s="341" t="s">
        <v>7278</v>
      </c>
      <c r="D7117" s="343">
        <v>178.02</v>
      </c>
    </row>
    <row r="7118" spans="1:4" ht="25.5">
      <c r="A7118" s="341">
        <v>784</v>
      </c>
      <c r="B7118" s="342" t="s">
        <v>7951</v>
      </c>
      <c r="C7118" s="341" t="s">
        <v>7278</v>
      </c>
      <c r="D7118" s="343">
        <v>190.98</v>
      </c>
    </row>
    <row r="7119" spans="1:4" ht="38.25">
      <c r="A7119" s="341">
        <v>831</v>
      </c>
      <c r="B7119" s="342" t="s">
        <v>7952</v>
      </c>
      <c r="C7119" s="341" t="s">
        <v>7278</v>
      </c>
      <c r="D7119" s="343">
        <v>55.49</v>
      </c>
    </row>
    <row r="7120" spans="1:4" ht="38.25">
      <c r="A7120" s="341">
        <v>828</v>
      </c>
      <c r="B7120" s="342" t="s">
        <v>7953</v>
      </c>
      <c r="C7120" s="341" t="s">
        <v>7278</v>
      </c>
      <c r="D7120" s="343">
        <v>0.4</v>
      </c>
    </row>
    <row r="7121" spans="1:4" ht="38.25">
      <c r="A7121" s="341">
        <v>829</v>
      </c>
      <c r="B7121" s="342" t="s">
        <v>7954</v>
      </c>
      <c r="C7121" s="341" t="s">
        <v>7278</v>
      </c>
      <c r="D7121" s="343">
        <v>0.78</v>
      </c>
    </row>
    <row r="7122" spans="1:4" ht="38.25">
      <c r="A7122" s="341">
        <v>812</v>
      </c>
      <c r="B7122" s="342" t="s">
        <v>7955</v>
      </c>
      <c r="C7122" s="341" t="s">
        <v>7278</v>
      </c>
      <c r="D7122" s="343">
        <v>1.65</v>
      </c>
    </row>
    <row r="7123" spans="1:4" ht="38.25">
      <c r="A7123" s="341">
        <v>819</v>
      </c>
      <c r="B7123" s="342" t="s">
        <v>7956</v>
      </c>
      <c r="C7123" s="341" t="s">
        <v>7278</v>
      </c>
      <c r="D7123" s="343">
        <v>2.92</v>
      </c>
    </row>
    <row r="7124" spans="1:4" ht="38.25">
      <c r="A7124" s="341">
        <v>818</v>
      </c>
      <c r="B7124" s="342" t="s">
        <v>7957</v>
      </c>
      <c r="C7124" s="341" t="s">
        <v>7278</v>
      </c>
      <c r="D7124" s="343">
        <v>5.47</v>
      </c>
    </row>
    <row r="7125" spans="1:4" ht="38.25">
      <c r="A7125" s="341">
        <v>823</v>
      </c>
      <c r="B7125" s="342" t="s">
        <v>7958</v>
      </c>
      <c r="C7125" s="341" t="s">
        <v>7278</v>
      </c>
      <c r="D7125" s="343">
        <v>13.52</v>
      </c>
    </row>
    <row r="7126" spans="1:4" ht="38.25">
      <c r="A7126" s="341">
        <v>830</v>
      </c>
      <c r="B7126" s="342" t="s">
        <v>7959</v>
      </c>
      <c r="C7126" s="341" t="s">
        <v>7278</v>
      </c>
      <c r="D7126" s="343">
        <v>10.91</v>
      </c>
    </row>
    <row r="7127" spans="1:4" ht="38.25">
      <c r="A7127" s="341">
        <v>826</v>
      </c>
      <c r="B7127" s="342" t="s">
        <v>7960</v>
      </c>
      <c r="C7127" s="341" t="s">
        <v>7278</v>
      </c>
      <c r="D7127" s="343">
        <v>32.49</v>
      </c>
    </row>
    <row r="7128" spans="1:4" ht="38.25">
      <c r="A7128" s="341">
        <v>827</v>
      </c>
      <c r="B7128" s="342" t="s">
        <v>7961</v>
      </c>
      <c r="C7128" s="341" t="s">
        <v>7278</v>
      </c>
      <c r="D7128" s="343">
        <v>27.39</v>
      </c>
    </row>
    <row r="7129" spans="1:4" ht="38.25">
      <c r="A7129" s="341">
        <v>832</v>
      </c>
      <c r="B7129" s="342" t="s">
        <v>7962</v>
      </c>
      <c r="C7129" s="341" t="s">
        <v>7278</v>
      </c>
      <c r="D7129" s="343">
        <v>1.75</v>
      </c>
    </row>
    <row r="7130" spans="1:4" ht="38.25">
      <c r="A7130" s="341">
        <v>833</v>
      </c>
      <c r="B7130" s="342" t="s">
        <v>7963</v>
      </c>
      <c r="C7130" s="341" t="s">
        <v>7278</v>
      </c>
      <c r="D7130" s="343">
        <v>2.56</v>
      </c>
    </row>
    <row r="7131" spans="1:4" ht="38.25">
      <c r="A7131" s="341">
        <v>834</v>
      </c>
      <c r="B7131" s="342" t="s">
        <v>7964</v>
      </c>
      <c r="C7131" s="341" t="s">
        <v>7278</v>
      </c>
      <c r="D7131" s="343">
        <v>2.83</v>
      </c>
    </row>
    <row r="7132" spans="1:4" ht="38.25">
      <c r="A7132" s="341">
        <v>825</v>
      </c>
      <c r="B7132" s="342" t="s">
        <v>7965</v>
      </c>
      <c r="C7132" s="341" t="s">
        <v>7278</v>
      </c>
      <c r="D7132" s="343">
        <v>3.03</v>
      </c>
    </row>
    <row r="7133" spans="1:4" ht="38.25">
      <c r="A7133" s="341">
        <v>813</v>
      </c>
      <c r="B7133" s="342" t="s">
        <v>7966</v>
      </c>
      <c r="C7133" s="341" t="s">
        <v>7278</v>
      </c>
      <c r="D7133" s="343">
        <v>3.7</v>
      </c>
    </row>
    <row r="7134" spans="1:4" ht="38.25">
      <c r="A7134" s="341">
        <v>820</v>
      </c>
      <c r="B7134" s="342" t="s">
        <v>7967</v>
      </c>
      <c r="C7134" s="341" t="s">
        <v>7278</v>
      </c>
      <c r="D7134" s="343">
        <v>4.05</v>
      </c>
    </row>
    <row r="7135" spans="1:4" ht="38.25">
      <c r="A7135" s="341">
        <v>816</v>
      </c>
      <c r="B7135" s="342" t="s">
        <v>7968</v>
      </c>
      <c r="C7135" s="341" t="s">
        <v>7278</v>
      </c>
      <c r="D7135" s="343">
        <v>6.93</v>
      </c>
    </row>
    <row r="7136" spans="1:4" ht="38.25">
      <c r="A7136" s="341">
        <v>814</v>
      </c>
      <c r="B7136" s="342" t="s">
        <v>7969</v>
      </c>
      <c r="C7136" s="341" t="s">
        <v>7278</v>
      </c>
      <c r="D7136" s="343">
        <v>8.64</v>
      </c>
    </row>
    <row r="7137" spans="1:4" ht="38.25">
      <c r="A7137" s="341">
        <v>815</v>
      </c>
      <c r="B7137" s="342" t="s">
        <v>7970</v>
      </c>
      <c r="C7137" s="341" t="s">
        <v>7278</v>
      </c>
      <c r="D7137" s="343">
        <v>8.8699999999999992</v>
      </c>
    </row>
    <row r="7138" spans="1:4" ht="38.25">
      <c r="A7138" s="341">
        <v>822</v>
      </c>
      <c r="B7138" s="342" t="s">
        <v>7971</v>
      </c>
      <c r="C7138" s="341" t="s">
        <v>7278</v>
      </c>
      <c r="D7138" s="343">
        <v>10.26</v>
      </c>
    </row>
    <row r="7139" spans="1:4" ht="38.25">
      <c r="A7139" s="341">
        <v>821</v>
      </c>
      <c r="B7139" s="342" t="s">
        <v>7972</v>
      </c>
      <c r="C7139" s="341" t="s">
        <v>7278</v>
      </c>
      <c r="D7139" s="343">
        <v>12.28</v>
      </c>
    </row>
    <row r="7140" spans="1:4" ht="38.25">
      <c r="A7140" s="341">
        <v>817</v>
      </c>
      <c r="B7140" s="342" t="s">
        <v>7973</v>
      </c>
      <c r="C7140" s="341" t="s">
        <v>7278</v>
      </c>
      <c r="D7140" s="343">
        <v>16.78</v>
      </c>
    </row>
    <row r="7141" spans="1:4" ht="25.5">
      <c r="A7141" s="341">
        <v>20086</v>
      </c>
      <c r="B7141" s="342" t="s">
        <v>7974</v>
      </c>
      <c r="C7141" s="341" t="s">
        <v>7278</v>
      </c>
      <c r="D7141" s="343">
        <v>2.31</v>
      </c>
    </row>
    <row r="7142" spans="1:4" ht="25.5">
      <c r="A7142" s="341">
        <v>39191</v>
      </c>
      <c r="B7142" s="342" t="s">
        <v>7975</v>
      </c>
      <c r="C7142" s="341" t="s">
        <v>7278</v>
      </c>
      <c r="D7142" s="343">
        <v>10.35</v>
      </c>
    </row>
    <row r="7143" spans="1:4" ht="25.5">
      <c r="A7143" s="341">
        <v>39190</v>
      </c>
      <c r="B7143" s="342" t="s">
        <v>7976</v>
      </c>
      <c r="C7143" s="341" t="s">
        <v>7278</v>
      </c>
      <c r="D7143" s="343">
        <v>10.81</v>
      </c>
    </row>
    <row r="7144" spans="1:4" ht="25.5">
      <c r="A7144" s="341">
        <v>39189</v>
      </c>
      <c r="B7144" s="342" t="s">
        <v>7977</v>
      </c>
      <c r="C7144" s="341" t="s">
        <v>7278</v>
      </c>
      <c r="D7144" s="343">
        <v>11.44</v>
      </c>
    </row>
    <row r="7145" spans="1:4" ht="25.5">
      <c r="A7145" s="341">
        <v>39186</v>
      </c>
      <c r="B7145" s="342" t="s">
        <v>7978</v>
      </c>
      <c r="C7145" s="341" t="s">
        <v>7278</v>
      </c>
      <c r="D7145" s="343">
        <v>10.23</v>
      </c>
    </row>
    <row r="7146" spans="1:4" ht="25.5">
      <c r="A7146" s="341">
        <v>39188</v>
      </c>
      <c r="B7146" s="342" t="s">
        <v>7979</v>
      </c>
      <c r="C7146" s="341" t="s">
        <v>7278</v>
      </c>
      <c r="D7146" s="343">
        <v>8.42</v>
      </c>
    </row>
    <row r="7147" spans="1:4" ht="25.5">
      <c r="A7147" s="341">
        <v>39187</v>
      </c>
      <c r="B7147" s="342" t="s">
        <v>7980</v>
      </c>
      <c r="C7147" s="341" t="s">
        <v>7278</v>
      </c>
      <c r="D7147" s="343">
        <v>8.83</v>
      </c>
    </row>
    <row r="7148" spans="1:4" ht="25.5">
      <c r="A7148" s="341">
        <v>39184</v>
      </c>
      <c r="B7148" s="342" t="s">
        <v>7981</v>
      </c>
      <c r="C7148" s="341" t="s">
        <v>7278</v>
      </c>
      <c r="D7148" s="343">
        <v>3.32</v>
      </c>
    </row>
    <row r="7149" spans="1:4" ht="25.5">
      <c r="A7149" s="341">
        <v>39185</v>
      </c>
      <c r="B7149" s="342" t="s">
        <v>7982</v>
      </c>
      <c r="C7149" s="341" t="s">
        <v>7278</v>
      </c>
      <c r="D7149" s="343">
        <v>3.02</v>
      </c>
    </row>
    <row r="7150" spans="1:4" ht="25.5">
      <c r="A7150" s="341">
        <v>39198</v>
      </c>
      <c r="B7150" s="342" t="s">
        <v>7983</v>
      </c>
      <c r="C7150" s="341" t="s">
        <v>7278</v>
      </c>
      <c r="D7150" s="343">
        <v>33.950000000000003</v>
      </c>
    </row>
    <row r="7151" spans="1:4" ht="25.5">
      <c r="A7151" s="341">
        <v>39197</v>
      </c>
      <c r="B7151" s="342" t="s">
        <v>7984</v>
      </c>
      <c r="C7151" s="341" t="s">
        <v>7278</v>
      </c>
      <c r="D7151" s="343">
        <v>35.46</v>
      </c>
    </row>
    <row r="7152" spans="1:4" ht="25.5">
      <c r="A7152" s="341">
        <v>39196</v>
      </c>
      <c r="B7152" s="342" t="s">
        <v>7985</v>
      </c>
      <c r="C7152" s="341" t="s">
        <v>7278</v>
      </c>
      <c r="D7152" s="343">
        <v>36.57</v>
      </c>
    </row>
    <row r="7153" spans="1:4" ht="25.5">
      <c r="A7153" s="341">
        <v>39199</v>
      </c>
      <c r="B7153" s="342" t="s">
        <v>7986</v>
      </c>
      <c r="C7153" s="341" t="s">
        <v>7278</v>
      </c>
      <c r="D7153" s="343">
        <v>32.67</v>
      </c>
    </row>
    <row r="7154" spans="1:4" ht="25.5">
      <c r="A7154" s="341">
        <v>39195</v>
      </c>
      <c r="B7154" s="342" t="s">
        <v>7987</v>
      </c>
      <c r="C7154" s="341" t="s">
        <v>7278</v>
      </c>
      <c r="D7154" s="343">
        <v>18.86</v>
      </c>
    </row>
    <row r="7155" spans="1:4" ht="25.5">
      <c r="A7155" s="341">
        <v>39194</v>
      </c>
      <c r="B7155" s="342" t="s">
        <v>7988</v>
      </c>
      <c r="C7155" s="341" t="s">
        <v>7278</v>
      </c>
      <c r="D7155" s="343">
        <v>20.18</v>
      </c>
    </row>
    <row r="7156" spans="1:4" ht="25.5">
      <c r="A7156" s="341">
        <v>39193</v>
      </c>
      <c r="B7156" s="342" t="s">
        <v>7989</v>
      </c>
      <c r="C7156" s="341" t="s">
        <v>7278</v>
      </c>
      <c r="D7156" s="343">
        <v>22.12</v>
      </c>
    </row>
    <row r="7157" spans="1:4" ht="25.5">
      <c r="A7157" s="341">
        <v>39192</v>
      </c>
      <c r="B7157" s="342" t="s">
        <v>7990</v>
      </c>
      <c r="C7157" s="341" t="s">
        <v>7278</v>
      </c>
      <c r="D7157" s="343">
        <v>23.01</v>
      </c>
    </row>
    <row r="7158" spans="1:4" ht="25.5">
      <c r="A7158" s="341">
        <v>39920</v>
      </c>
      <c r="B7158" s="342" t="s">
        <v>7991</v>
      </c>
      <c r="C7158" s="341" t="s">
        <v>7278</v>
      </c>
      <c r="D7158" s="343">
        <v>2.78</v>
      </c>
    </row>
    <row r="7159" spans="1:4" ht="25.5">
      <c r="A7159" s="341">
        <v>39201</v>
      </c>
      <c r="B7159" s="342" t="s">
        <v>7992</v>
      </c>
      <c r="C7159" s="341" t="s">
        <v>7278</v>
      </c>
      <c r="D7159" s="343">
        <v>40.590000000000003</v>
      </c>
    </row>
    <row r="7160" spans="1:4" ht="25.5">
      <c r="A7160" s="341">
        <v>39200</v>
      </c>
      <c r="B7160" s="342" t="s">
        <v>7993</v>
      </c>
      <c r="C7160" s="341" t="s">
        <v>7278</v>
      </c>
      <c r="D7160" s="343">
        <v>40.92</v>
      </c>
    </row>
    <row r="7161" spans="1:4" ht="25.5">
      <c r="A7161" s="341">
        <v>39203</v>
      </c>
      <c r="B7161" s="342" t="s">
        <v>7994</v>
      </c>
      <c r="C7161" s="341" t="s">
        <v>7278</v>
      </c>
      <c r="D7161" s="343">
        <v>33.04</v>
      </c>
    </row>
    <row r="7162" spans="1:4" ht="25.5">
      <c r="A7162" s="341">
        <v>39202</v>
      </c>
      <c r="B7162" s="342" t="s">
        <v>7995</v>
      </c>
      <c r="C7162" s="341" t="s">
        <v>7278</v>
      </c>
      <c r="D7162" s="343">
        <v>38.81</v>
      </c>
    </row>
    <row r="7163" spans="1:4" ht="25.5">
      <c r="A7163" s="341">
        <v>39205</v>
      </c>
      <c r="B7163" s="342" t="s">
        <v>7996</v>
      </c>
      <c r="C7163" s="341" t="s">
        <v>7278</v>
      </c>
      <c r="D7163" s="343">
        <v>64.75</v>
      </c>
    </row>
    <row r="7164" spans="1:4" ht="25.5">
      <c r="A7164" s="341">
        <v>39204</v>
      </c>
      <c r="B7164" s="342" t="s">
        <v>7997</v>
      </c>
      <c r="C7164" s="341" t="s">
        <v>7278</v>
      </c>
      <c r="D7164" s="343">
        <v>66.319999999999993</v>
      </c>
    </row>
    <row r="7165" spans="1:4" ht="25.5">
      <c r="A7165" s="341">
        <v>39206</v>
      </c>
      <c r="B7165" s="342" t="s">
        <v>7998</v>
      </c>
      <c r="C7165" s="341" t="s">
        <v>7278</v>
      </c>
      <c r="D7165" s="343">
        <v>62.91</v>
      </c>
    </row>
    <row r="7166" spans="1:4">
      <c r="A7166" s="341">
        <v>797</v>
      </c>
      <c r="B7166" s="342" t="s">
        <v>7999</v>
      </c>
      <c r="C7166" s="341" t="s">
        <v>7278</v>
      </c>
      <c r="D7166" s="343">
        <v>5.31</v>
      </c>
    </row>
    <row r="7167" spans="1:4">
      <c r="A7167" s="341">
        <v>798</v>
      </c>
      <c r="B7167" s="342" t="s">
        <v>8000</v>
      </c>
      <c r="C7167" s="341" t="s">
        <v>7278</v>
      </c>
      <c r="D7167" s="343">
        <v>0.78</v>
      </c>
    </row>
    <row r="7168" spans="1:4" ht="25.5">
      <c r="A7168" s="341">
        <v>796</v>
      </c>
      <c r="B7168" s="342" t="s">
        <v>8001</v>
      </c>
      <c r="C7168" s="341" t="s">
        <v>7278</v>
      </c>
      <c r="D7168" s="343">
        <v>5.23</v>
      </c>
    </row>
    <row r="7169" spans="1:4">
      <c r="A7169" s="341">
        <v>799</v>
      </c>
      <c r="B7169" s="342" t="s">
        <v>8002</v>
      </c>
      <c r="C7169" s="341" t="s">
        <v>7278</v>
      </c>
      <c r="D7169" s="343">
        <v>2.4</v>
      </c>
    </row>
    <row r="7170" spans="1:4">
      <c r="A7170" s="341">
        <v>792</v>
      </c>
      <c r="B7170" s="342" t="s">
        <v>8003</v>
      </c>
      <c r="C7170" s="341" t="s">
        <v>7278</v>
      </c>
      <c r="D7170" s="343">
        <v>2.2799999999999998</v>
      </c>
    </row>
    <row r="7171" spans="1:4" ht="25.5">
      <c r="A7171" s="341">
        <v>804</v>
      </c>
      <c r="B7171" s="342" t="s">
        <v>8004</v>
      </c>
      <c r="C7171" s="341" t="s">
        <v>7278</v>
      </c>
      <c r="D7171" s="343">
        <v>8.01</v>
      </c>
    </row>
    <row r="7172" spans="1:4" ht="25.5">
      <c r="A7172" s="341">
        <v>793</v>
      </c>
      <c r="B7172" s="342" t="s">
        <v>8005</v>
      </c>
      <c r="C7172" s="341" t="s">
        <v>7278</v>
      </c>
      <c r="D7172" s="343">
        <v>3.96</v>
      </c>
    </row>
    <row r="7173" spans="1:4" ht="25.5">
      <c r="A7173" s="341">
        <v>801</v>
      </c>
      <c r="B7173" s="342" t="s">
        <v>8006</v>
      </c>
      <c r="C7173" s="341" t="s">
        <v>7278</v>
      </c>
      <c r="D7173" s="343">
        <v>2.68</v>
      </c>
    </row>
    <row r="7174" spans="1:4">
      <c r="A7174" s="341">
        <v>794</v>
      </c>
      <c r="B7174" s="342" t="s">
        <v>8007</v>
      </c>
      <c r="C7174" s="341" t="s">
        <v>7278</v>
      </c>
      <c r="D7174" s="343">
        <v>2.81</v>
      </c>
    </row>
    <row r="7175" spans="1:4">
      <c r="A7175" s="341">
        <v>802</v>
      </c>
      <c r="B7175" s="342" t="s">
        <v>8008</v>
      </c>
      <c r="C7175" s="341" t="s">
        <v>7278</v>
      </c>
      <c r="D7175" s="343">
        <v>8.4600000000000009</v>
      </c>
    </row>
    <row r="7176" spans="1:4" ht="25.5">
      <c r="A7176" s="341">
        <v>803</v>
      </c>
      <c r="B7176" s="342" t="s">
        <v>8009</v>
      </c>
      <c r="C7176" s="341" t="s">
        <v>7278</v>
      </c>
      <c r="D7176" s="343">
        <v>8.82</v>
      </c>
    </row>
    <row r="7177" spans="1:4" ht="25.5">
      <c r="A7177" s="341">
        <v>38001</v>
      </c>
      <c r="B7177" s="342" t="s">
        <v>8010</v>
      </c>
      <c r="C7177" s="341" t="s">
        <v>7278</v>
      </c>
      <c r="D7177" s="343">
        <v>0.92</v>
      </c>
    </row>
    <row r="7178" spans="1:4" ht="25.5">
      <c r="A7178" s="341">
        <v>38002</v>
      </c>
      <c r="B7178" s="342" t="s">
        <v>8011</v>
      </c>
      <c r="C7178" s="341" t="s">
        <v>7278</v>
      </c>
      <c r="D7178" s="343">
        <v>1.71</v>
      </c>
    </row>
    <row r="7179" spans="1:4" ht="25.5">
      <c r="A7179" s="341">
        <v>38003</v>
      </c>
      <c r="B7179" s="342" t="s">
        <v>8012</v>
      </c>
      <c r="C7179" s="341" t="s">
        <v>7278</v>
      </c>
      <c r="D7179" s="343">
        <v>20.6</v>
      </c>
    </row>
    <row r="7180" spans="1:4" ht="25.5">
      <c r="A7180" s="341">
        <v>38004</v>
      </c>
      <c r="B7180" s="342" t="s">
        <v>8013</v>
      </c>
      <c r="C7180" s="341" t="s">
        <v>7278</v>
      </c>
      <c r="D7180" s="343">
        <v>27.54</v>
      </c>
    </row>
    <row r="7181" spans="1:4" ht="25.5">
      <c r="A7181" s="341">
        <v>36327</v>
      </c>
      <c r="B7181" s="342" t="s">
        <v>8014</v>
      </c>
      <c r="C7181" s="341" t="s">
        <v>7278</v>
      </c>
      <c r="D7181" s="343">
        <v>1.21</v>
      </c>
    </row>
    <row r="7182" spans="1:4" ht="25.5">
      <c r="A7182" s="341">
        <v>38992</v>
      </c>
      <c r="B7182" s="342" t="s">
        <v>8015</v>
      </c>
      <c r="C7182" s="341" t="s">
        <v>7278</v>
      </c>
      <c r="D7182" s="343">
        <v>1.94</v>
      </c>
    </row>
    <row r="7183" spans="1:4" ht="25.5">
      <c r="A7183" s="341">
        <v>38993</v>
      </c>
      <c r="B7183" s="342" t="s">
        <v>8016</v>
      </c>
      <c r="C7183" s="341" t="s">
        <v>7278</v>
      </c>
      <c r="D7183" s="343">
        <v>5.53</v>
      </c>
    </row>
    <row r="7184" spans="1:4" ht="25.5">
      <c r="A7184" s="341">
        <v>38418</v>
      </c>
      <c r="B7184" s="342" t="s">
        <v>8017</v>
      </c>
      <c r="C7184" s="341" t="s">
        <v>7278</v>
      </c>
      <c r="D7184" s="343">
        <v>3.31</v>
      </c>
    </row>
    <row r="7185" spans="1:4" ht="25.5">
      <c r="A7185" s="341">
        <v>39178</v>
      </c>
      <c r="B7185" s="342" t="s">
        <v>8018</v>
      </c>
      <c r="C7185" s="341" t="s">
        <v>7278</v>
      </c>
      <c r="D7185" s="343">
        <v>1.1200000000000001</v>
      </c>
    </row>
    <row r="7186" spans="1:4" ht="25.5">
      <c r="A7186" s="341">
        <v>39177</v>
      </c>
      <c r="B7186" s="342" t="s">
        <v>8019</v>
      </c>
      <c r="C7186" s="341" t="s">
        <v>7278</v>
      </c>
      <c r="D7186" s="343">
        <v>1.01</v>
      </c>
    </row>
    <row r="7187" spans="1:4" ht="25.5">
      <c r="A7187" s="341">
        <v>39174</v>
      </c>
      <c r="B7187" s="342" t="s">
        <v>8020</v>
      </c>
      <c r="C7187" s="341" t="s">
        <v>7278</v>
      </c>
      <c r="D7187" s="343">
        <v>0.5</v>
      </c>
    </row>
    <row r="7188" spans="1:4" ht="25.5">
      <c r="A7188" s="341">
        <v>39176</v>
      </c>
      <c r="B7188" s="342" t="s">
        <v>8021</v>
      </c>
      <c r="C7188" s="341" t="s">
        <v>7278</v>
      </c>
      <c r="D7188" s="343">
        <v>0.66</v>
      </c>
    </row>
    <row r="7189" spans="1:4" ht="25.5">
      <c r="A7189" s="341">
        <v>39180</v>
      </c>
      <c r="B7189" s="342" t="s">
        <v>8022</v>
      </c>
      <c r="C7189" s="341" t="s">
        <v>7278</v>
      </c>
      <c r="D7189" s="343">
        <v>3.04</v>
      </c>
    </row>
    <row r="7190" spans="1:4" ht="25.5">
      <c r="A7190" s="341">
        <v>39179</v>
      </c>
      <c r="B7190" s="342" t="s">
        <v>8023</v>
      </c>
      <c r="C7190" s="341" t="s">
        <v>7278</v>
      </c>
      <c r="D7190" s="343">
        <v>2.69</v>
      </c>
    </row>
    <row r="7191" spans="1:4" ht="25.5">
      <c r="A7191" s="341">
        <v>39175</v>
      </c>
      <c r="B7191" s="342" t="s">
        <v>8024</v>
      </c>
      <c r="C7191" s="341" t="s">
        <v>7278</v>
      </c>
      <c r="D7191" s="343">
        <v>0.61</v>
      </c>
    </row>
    <row r="7192" spans="1:4" ht="25.5">
      <c r="A7192" s="341">
        <v>39217</v>
      </c>
      <c r="B7192" s="342" t="s">
        <v>8025</v>
      </c>
      <c r="C7192" s="341" t="s">
        <v>7278</v>
      </c>
      <c r="D7192" s="343">
        <v>0.47</v>
      </c>
    </row>
    <row r="7193" spans="1:4" ht="25.5">
      <c r="A7193" s="341">
        <v>39181</v>
      </c>
      <c r="B7193" s="342" t="s">
        <v>8026</v>
      </c>
      <c r="C7193" s="341" t="s">
        <v>7278</v>
      </c>
      <c r="D7193" s="343">
        <v>4.07</v>
      </c>
    </row>
    <row r="7194" spans="1:4" ht="25.5">
      <c r="A7194" s="341">
        <v>39182</v>
      </c>
      <c r="B7194" s="342" t="s">
        <v>8027</v>
      </c>
      <c r="C7194" s="341" t="s">
        <v>7278</v>
      </c>
      <c r="D7194" s="343">
        <v>5.73</v>
      </c>
    </row>
    <row r="7195" spans="1:4" ht="38.25">
      <c r="A7195" s="341">
        <v>12616</v>
      </c>
      <c r="B7195" s="342" t="s">
        <v>8028</v>
      </c>
      <c r="C7195" s="341" t="s">
        <v>7278</v>
      </c>
      <c r="D7195" s="343">
        <v>5.46</v>
      </c>
    </row>
    <row r="7196" spans="1:4" ht="63.75">
      <c r="A7196" s="341">
        <v>1049</v>
      </c>
      <c r="B7196" s="342" t="s">
        <v>8029</v>
      </c>
      <c r="C7196" s="341" t="s">
        <v>7278</v>
      </c>
      <c r="D7196" s="343">
        <v>4.79</v>
      </c>
    </row>
    <row r="7197" spans="1:4" ht="63.75">
      <c r="A7197" s="341">
        <v>1099</v>
      </c>
      <c r="B7197" s="342" t="s">
        <v>8030</v>
      </c>
      <c r="C7197" s="341" t="s">
        <v>7278</v>
      </c>
      <c r="D7197" s="343">
        <v>3.67</v>
      </c>
    </row>
    <row r="7198" spans="1:4" ht="63.75">
      <c r="A7198" s="341">
        <v>39678</v>
      </c>
      <c r="B7198" s="342" t="s">
        <v>8031</v>
      </c>
      <c r="C7198" s="341" t="s">
        <v>7278</v>
      </c>
      <c r="D7198" s="343">
        <v>1.48</v>
      </c>
    </row>
    <row r="7199" spans="1:4" ht="63.75">
      <c r="A7199" s="341">
        <v>1050</v>
      </c>
      <c r="B7199" s="342" t="s">
        <v>8032</v>
      </c>
      <c r="C7199" s="341" t="s">
        <v>7278</v>
      </c>
      <c r="D7199" s="343">
        <v>2.5099999999999998</v>
      </c>
    </row>
    <row r="7200" spans="1:4" ht="63.75">
      <c r="A7200" s="341">
        <v>1101</v>
      </c>
      <c r="B7200" s="342" t="s">
        <v>8033</v>
      </c>
      <c r="C7200" s="341" t="s">
        <v>7278</v>
      </c>
      <c r="D7200" s="343">
        <v>15.82</v>
      </c>
    </row>
    <row r="7201" spans="1:4" ht="63.75">
      <c r="A7201" s="341">
        <v>1100</v>
      </c>
      <c r="B7201" s="342" t="s">
        <v>8034</v>
      </c>
      <c r="C7201" s="341" t="s">
        <v>7278</v>
      </c>
      <c r="D7201" s="343">
        <v>8.16</v>
      </c>
    </row>
    <row r="7202" spans="1:4" ht="63.75">
      <c r="A7202" s="341">
        <v>39679</v>
      </c>
      <c r="B7202" s="342" t="s">
        <v>8035</v>
      </c>
      <c r="C7202" s="341" t="s">
        <v>7278</v>
      </c>
      <c r="D7202" s="343">
        <v>31.53</v>
      </c>
    </row>
    <row r="7203" spans="1:4" ht="63.75">
      <c r="A7203" s="341">
        <v>1098</v>
      </c>
      <c r="B7203" s="342" t="s">
        <v>8036</v>
      </c>
      <c r="C7203" s="341" t="s">
        <v>7278</v>
      </c>
      <c r="D7203" s="343">
        <v>1.95</v>
      </c>
    </row>
    <row r="7204" spans="1:4" ht="63.75">
      <c r="A7204" s="341">
        <v>1102</v>
      </c>
      <c r="B7204" s="342" t="s">
        <v>8037</v>
      </c>
      <c r="C7204" s="341" t="s">
        <v>7278</v>
      </c>
      <c r="D7204" s="343">
        <v>23.59</v>
      </c>
    </row>
    <row r="7205" spans="1:4" ht="63.75">
      <c r="A7205" s="341">
        <v>1051</v>
      </c>
      <c r="B7205" s="342" t="s">
        <v>8038</v>
      </c>
      <c r="C7205" s="341" t="s">
        <v>7278</v>
      </c>
      <c r="D7205" s="343">
        <v>34.29</v>
      </c>
    </row>
    <row r="7206" spans="1:4" ht="25.5">
      <c r="A7206" s="341">
        <v>37399</v>
      </c>
      <c r="B7206" s="342" t="s">
        <v>8039</v>
      </c>
      <c r="C7206" s="341" t="s">
        <v>7278</v>
      </c>
      <c r="D7206" s="343">
        <v>30.5</v>
      </c>
    </row>
    <row r="7207" spans="1:4" ht="38.25">
      <c r="A7207" s="341">
        <v>42655</v>
      </c>
      <c r="B7207" s="342" t="s">
        <v>8040</v>
      </c>
      <c r="C7207" s="341" t="s">
        <v>7338</v>
      </c>
      <c r="D7207" s="343">
        <v>10.16</v>
      </c>
    </row>
    <row r="7208" spans="1:4" ht="25.5">
      <c r="A7208" s="341">
        <v>25004</v>
      </c>
      <c r="B7208" s="342" t="s">
        <v>8041</v>
      </c>
      <c r="C7208" s="341" t="s">
        <v>7338</v>
      </c>
      <c r="D7208" s="343">
        <v>21.69</v>
      </c>
    </row>
    <row r="7209" spans="1:4" ht="25.5">
      <c r="A7209" s="341">
        <v>25002</v>
      </c>
      <c r="B7209" s="342" t="s">
        <v>8042</v>
      </c>
      <c r="C7209" s="341" t="s">
        <v>7338</v>
      </c>
      <c r="D7209" s="343">
        <v>21.87</v>
      </c>
    </row>
    <row r="7210" spans="1:4" ht="25.5">
      <c r="A7210" s="341">
        <v>37409</v>
      </c>
      <c r="B7210" s="342" t="s">
        <v>8043</v>
      </c>
      <c r="C7210" s="341" t="s">
        <v>7338</v>
      </c>
      <c r="D7210" s="343">
        <v>21.51</v>
      </c>
    </row>
    <row r="7211" spans="1:4" ht="25.5">
      <c r="A7211" s="341">
        <v>841</v>
      </c>
      <c r="B7211" s="342" t="s">
        <v>8044</v>
      </c>
      <c r="C7211" s="341" t="s">
        <v>7338</v>
      </c>
      <c r="D7211" s="343">
        <v>22.22</v>
      </c>
    </row>
    <row r="7212" spans="1:4" ht="25.5">
      <c r="A7212" s="341">
        <v>25005</v>
      </c>
      <c r="B7212" s="342" t="s">
        <v>8045</v>
      </c>
      <c r="C7212" s="341" t="s">
        <v>7338</v>
      </c>
      <c r="D7212" s="343">
        <v>24.36</v>
      </c>
    </row>
    <row r="7213" spans="1:4" ht="25.5">
      <c r="A7213" s="341">
        <v>25003</v>
      </c>
      <c r="B7213" s="342" t="s">
        <v>8046</v>
      </c>
      <c r="C7213" s="341" t="s">
        <v>7338</v>
      </c>
      <c r="D7213" s="343">
        <v>26.02</v>
      </c>
    </row>
    <row r="7214" spans="1:4" ht="25.5">
      <c r="A7214" s="341">
        <v>37410</v>
      </c>
      <c r="B7214" s="342" t="s">
        <v>8047</v>
      </c>
      <c r="C7214" s="341" t="s">
        <v>7338</v>
      </c>
      <c r="D7214" s="343">
        <v>24.36</v>
      </c>
    </row>
    <row r="7215" spans="1:4" ht="25.5">
      <c r="A7215" s="341">
        <v>842</v>
      </c>
      <c r="B7215" s="342" t="s">
        <v>8048</v>
      </c>
      <c r="C7215" s="341" t="s">
        <v>7338</v>
      </c>
      <c r="D7215" s="343">
        <v>27.41</v>
      </c>
    </row>
    <row r="7216" spans="1:4">
      <c r="A7216" s="341">
        <v>862</v>
      </c>
      <c r="B7216" s="342" t="s">
        <v>8049</v>
      </c>
      <c r="C7216" s="341" t="s">
        <v>7287</v>
      </c>
      <c r="D7216" s="343">
        <v>5.12</v>
      </c>
    </row>
    <row r="7217" spans="1:4">
      <c r="A7217" s="341">
        <v>866</v>
      </c>
      <c r="B7217" s="342" t="s">
        <v>8050</v>
      </c>
      <c r="C7217" s="341" t="s">
        <v>7287</v>
      </c>
      <c r="D7217" s="343">
        <v>63.03</v>
      </c>
    </row>
    <row r="7218" spans="1:4">
      <c r="A7218" s="341">
        <v>892</v>
      </c>
      <c r="B7218" s="342" t="s">
        <v>8051</v>
      </c>
      <c r="C7218" s="341" t="s">
        <v>7287</v>
      </c>
      <c r="D7218" s="343">
        <v>80.150000000000006</v>
      </c>
    </row>
    <row r="7219" spans="1:4">
      <c r="A7219" s="341">
        <v>857</v>
      </c>
      <c r="B7219" s="342" t="s">
        <v>8052</v>
      </c>
      <c r="C7219" s="341" t="s">
        <v>7287</v>
      </c>
      <c r="D7219" s="343">
        <v>8.16</v>
      </c>
    </row>
    <row r="7220" spans="1:4">
      <c r="A7220" s="341">
        <v>37404</v>
      </c>
      <c r="B7220" s="342" t="s">
        <v>8053</v>
      </c>
      <c r="C7220" s="341" t="s">
        <v>7287</v>
      </c>
      <c r="D7220" s="343">
        <v>96.38</v>
      </c>
    </row>
    <row r="7221" spans="1:4">
      <c r="A7221" s="341">
        <v>868</v>
      </c>
      <c r="B7221" s="342" t="s">
        <v>8054</v>
      </c>
      <c r="C7221" s="341" t="s">
        <v>7287</v>
      </c>
      <c r="D7221" s="343">
        <v>12.6</v>
      </c>
    </row>
    <row r="7222" spans="1:4">
      <c r="A7222" s="341">
        <v>870</v>
      </c>
      <c r="B7222" s="342" t="s">
        <v>8055</v>
      </c>
      <c r="C7222" s="341" t="s">
        <v>7287</v>
      </c>
      <c r="D7222" s="343">
        <v>166.09</v>
      </c>
    </row>
    <row r="7223" spans="1:4">
      <c r="A7223" s="341">
        <v>863</v>
      </c>
      <c r="B7223" s="342" t="s">
        <v>8056</v>
      </c>
      <c r="C7223" s="341" t="s">
        <v>7287</v>
      </c>
      <c r="D7223" s="343">
        <v>17.41</v>
      </c>
    </row>
    <row r="7224" spans="1:4">
      <c r="A7224" s="341">
        <v>867</v>
      </c>
      <c r="B7224" s="342" t="s">
        <v>8057</v>
      </c>
      <c r="C7224" s="341" t="s">
        <v>7287</v>
      </c>
      <c r="D7224" s="343">
        <v>24.25</v>
      </c>
    </row>
    <row r="7225" spans="1:4">
      <c r="A7225" s="341">
        <v>891</v>
      </c>
      <c r="B7225" s="342" t="s">
        <v>8058</v>
      </c>
      <c r="C7225" s="341" t="s">
        <v>7287</v>
      </c>
      <c r="D7225" s="343">
        <v>278.93</v>
      </c>
    </row>
    <row r="7226" spans="1:4">
      <c r="A7226" s="341">
        <v>864</v>
      </c>
      <c r="B7226" s="342" t="s">
        <v>8059</v>
      </c>
      <c r="C7226" s="341" t="s">
        <v>7287</v>
      </c>
      <c r="D7226" s="343">
        <v>34.159999999999997</v>
      </c>
    </row>
    <row r="7227" spans="1:4">
      <c r="A7227" s="341">
        <v>865</v>
      </c>
      <c r="B7227" s="342" t="s">
        <v>8060</v>
      </c>
      <c r="C7227" s="341" t="s">
        <v>7287</v>
      </c>
      <c r="D7227" s="343">
        <v>48.11</v>
      </c>
    </row>
    <row r="7228" spans="1:4" ht="38.25">
      <c r="A7228" s="341">
        <v>1006</v>
      </c>
      <c r="B7228" s="342" t="s">
        <v>8061</v>
      </c>
      <c r="C7228" s="341" t="s">
        <v>7287</v>
      </c>
      <c r="D7228" s="343">
        <v>63.24</v>
      </c>
    </row>
    <row r="7229" spans="1:4" ht="25.5">
      <c r="A7229" s="341">
        <v>948</v>
      </c>
      <c r="B7229" s="342" t="s">
        <v>8062</v>
      </c>
      <c r="C7229" s="341" t="s">
        <v>7287</v>
      </c>
      <c r="D7229" s="343">
        <v>25.5</v>
      </c>
    </row>
    <row r="7230" spans="1:4" ht="25.5">
      <c r="A7230" s="341">
        <v>947</v>
      </c>
      <c r="B7230" s="342" t="s">
        <v>8063</v>
      </c>
      <c r="C7230" s="341" t="s">
        <v>7287</v>
      </c>
      <c r="D7230" s="343">
        <v>25.94</v>
      </c>
    </row>
    <row r="7231" spans="1:4" ht="25.5">
      <c r="A7231" s="341">
        <v>911</v>
      </c>
      <c r="B7231" s="342" t="s">
        <v>8064</v>
      </c>
      <c r="C7231" s="341" t="s">
        <v>7287</v>
      </c>
      <c r="D7231" s="343">
        <v>37.72</v>
      </c>
    </row>
    <row r="7232" spans="1:4" ht="25.5">
      <c r="A7232" s="341">
        <v>925</v>
      </c>
      <c r="B7232" s="342" t="s">
        <v>8065</v>
      </c>
      <c r="C7232" s="341" t="s">
        <v>7287</v>
      </c>
      <c r="D7232" s="343">
        <v>34.869999999999997</v>
      </c>
    </row>
    <row r="7233" spans="1:4" ht="25.5">
      <c r="A7233" s="341">
        <v>954</v>
      </c>
      <c r="B7233" s="342" t="s">
        <v>8066</v>
      </c>
      <c r="C7233" s="341" t="s">
        <v>7287</v>
      </c>
      <c r="D7233" s="343">
        <v>38.520000000000003</v>
      </c>
    </row>
    <row r="7234" spans="1:4" ht="25.5">
      <c r="A7234" s="341">
        <v>901</v>
      </c>
      <c r="B7234" s="342" t="s">
        <v>8067</v>
      </c>
      <c r="C7234" s="341" t="s">
        <v>7287</v>
      </c>
      <c r="D7234" s="343">
        <v>41.23</v>
      </c>
    </row>
    <row r="7235" spans="1:4" ht="25.5">
      <c r="A7235" s="341">
        <v>926</v>
      </c>
      <c r="B7235" s="342" t="s">
        <v>8068</v>
      </c>
      <c r="C7235" s="341" t="s">
        <v>7287</v>
      </c>
      <c r="D7235" s="343">
        <v>43.57</v>
      </c>
    </row>
    <row r="7236" spans="1:4" ht="25.5">
      <c r="A7236" s="341">
        <v>912</v>
      </c>
      <c r="B7236" s="342" t="s">
        <v>8069</v>
      </c>
      <c r="C7236" s="341" t="s">
        <v>7287</v>
      </c>
      <c r="D7236" s="343">
        <v>43.84</v>
      </c>
    </row>
    <row r="7237" spans="1:4" ht="25.5">
      <c r="A7237" s="341">
        <v>955</v>
      </c>
      <c r="B7237" s="342" t="s">
        <v>8070</v>
      </c>
      <c r="C7237" s="341" t="s">
        <v>7287</v>
      </c>
      <c r="D7237" s="343">
        <v>52.32</v>
      </c>
    </row>
    <row r="7238" spans="1:4" ht="25.5">
      <c r="A7238" s="341">
        <v>946</v>
      </c>
      <c r="B7238" s="342" t="s">
        <v>8071</v>
      </c>
      <c r="C7238" s="341" t="s">
        <v>7287</v>
      </c>
      <c r="D7238" s="343">
        <v>58.83</v>
      </c>
    </row>
    <row r="7239" spans="1:4" ht="25.5">
      <c r="A7239" s="341">
        <v>953</v>
      </c>
      <c r="B7239" s="342" t="s">
        <v>8072</v>
      </c>
      <c r="C7239" s="341" t="s">
        <v>7287</v>
      </c>
      <c r="D7239" s="343">
        <v>53.53</v>
      </c>
    </row>
    <row r="7240" spans="1:4" ht="25.5">
      <c r="A7240" s="341">
        <v>902</v>
      </c>
      <c r="B7240" s="342" t="s">
        <v>8073</v>
      </c>
      <c r="C7240" s="341" t="s">
        <v>7287</v>
      </c>
      <c r="D7240" s="343">
        <v>65.08</v>
      </c>
    </row>
    <row r="7241" spans="1:4" ht="25.5">
      <c r="A7241" s="341">
        <v>927</v>
      </c>
      <c r="B7241" s="342" t="s">
        <v>8074</v>
      </c>
      <c r="C7241" s="341" t="s">
        <v>7287</v>
      </c>
      <c r="D7241" s="343">
        <v>63.08</v>
      </c>
    </row>
    <row r="7242" spans="1:4" ht="25.5">
      <c r="A7242" s="341">
        <v>913</v>
      </c>
      <c r="B7242" s="342" t="s">
        <v>8075</v>
      </c>
      <c r="C7242" s="341" t="s">
        <v>7287</v>
      </c>
      <c r="D7242" s="343">
        <v>70.41</v>
      </c>
    </row>
    <row r="7243" spans="1:4" ht="25.5">
      <c r="A7243" s="341">
        <v>903</v>
      </c>
      <c r="B7243" s="342" t="s">
        <v>8076</v>
      </c>
      <c r="C7243" s="341" t="s">
        <v>7287</v>
      </c>
      <c r="D7243" s="343">
        <v>79.680000000000007</v>
      </c>
    </row>
    <row r="7244" spans="1:4" ht="25.5">
      <c r="A7244" s="341">
        <v>945</v>
      </c>
      <c r="B7244" s="342" t="s">
        <v>8077</v>
      </c>
      <c r="C7244" s="341" t="s">
        <v>7287</v>
      </c>
      <c r="D7244" s="343">
        <v>84.29</v>
      </c>
    </row>
    <row r="7245" spans="1:4" ht="25.5">
      <c r="A7245" s="341">
        <v>914</v>
      </c>
      <c r="B7245" s="342" t="s">
        <v>8078</v>
      </c>
      <c r="C7245" s="341" t="s">
        <v>7287</v>
      </c>
      <c r="D7245" s="343">
        <v>86.35</v>
      </c>
    </row>
    <row r="7246" spans="1:4" ht="51">
      <c r="A7246" s="341">
        <v>993</v>
      </c>
      <c r="B7246" s="342" t="s">
        <v>8079</v>
      </c>
      <c r="C7246" s="341" t="s">
        <v>7287</v>
      </c>
      <c r="D7246" s="343">
        <v>1.36</v>
      </c>
    </row>
    <row r="7247" spans="1:4" ht="51">
      <c r="A7247" s="341">
        <v>1020</v>
      </c>
      <c r="B7247" s="342" t="s">
        <v>8080</v>
      </c>
      <c r="C7247" s="341" t="s">
        <v>7287</v>
      </c>
      <c r="D7247" s="343">
        <v>5.93</v>
      </c>
    </row>
    <row r="7248" spans="1:4" ht="51">
      <c r="A7248" s="341">
        <v>1017</v>
      </c>
      <c r="B7248" s="342" t="s">
        <v>8081</v>
      </c>
      <c r="C7248" s="341" t="s">
        <v>7287</v>
      </c>
      <c r="D7248" s="343">
        <v>65.150000000000006</v>
      </c>
    </row>
    <row r="7249" spans="1:4" ht="51">
      <c r="A7249" s="341">
        <v>999</v>
      </c>
      <c r="B7249" s="342" t="s">
        <v>8082</v>
      </c>
      <c r="C7249" s="341" t="s">
        <v>7287</v>
      </c>
      <c r="D7249" s="343">
        <v>80.73</v>
      </c>
    </row>
    <row r="7250" spans="1:4" ht="51">
      <c r="A7250" s="341">
        <v>995</v>
      </c>
      <c r="B7250" s="342" t="s">
        <v>8083</v>
      </c>
      <c r="C7250" s="341" t="s">
        <v>7287</v>
      </c>
      <c r="D7250" s="343">
        <v>9.09</v>
      </c>
    </row>
    <row r="7251" spans="1:4" ht="51">
      <c r="A7251" s="341">
        <v>1000</v>
      </c>
      <c r="B7251" s="342" t="s">
        <v>8084</v>
      </c>
      <c r="C7251" s="341" t="s">
        <v>7287</v>
      </c>
      <c r="D7251" s="343">
        <v>98.96</v>
      </c>
    </row>
    <row r="7252" spans="1:4" ht="51">
      <c r="A7252" s="341">
        <v>1022</v>
      </c>
      <c r="B7252" s="342" t="s">
        <v>8085</v>
      </c>
      <c r="C7252" s="341" t="s">
        <v>7287</v>
      </c>
      <c r="D7252" s="343">
        <v>1.89</v>
      </c>
    </row>
    <row r="7253" spans="1:4" ht="51">
      <c r="A7253" s="341">
        <v>1015</v>
      </c>
      <c r="B7253" s="342" t="s">
        <v>8086</v>
      </c>
      <c r="C7253" s="341" t="s">
        <v>7287</v>
      </c>
      <c r="D7253" s="343">
        <v>130.31</v>
      </c>
    </row>
    <row r="7254" spans="1:4" ht="51">
      <c r="A7254" s="341">
        <v>996</v>
      </c>
      <c r="B7254" s="342" t="s">
        <v>8087</v>
      </c>
      <c r="C7254" s="341" t="s">
        <v>7287</v>
      </c>
      <c r="D7254" s="343">
        <v>13.84</v>
      </c>
    </row>
    <row r="7255" spans="1:4" ht="51">
      <c r="A7255" s="341">
        <v>1001</v>
      </c>
      <c r="B7255" s="342" t="s">
        <v>8088</v>
      </c>
      <c r="C7255" s="341" t="s">
        <v>7287</v>
      </c>
      <c r="D7255" s="343">
        <v>163.07</v>
      </c>
    </row>
    <row r="7256" spans="1:4" ht="51">
      <c r="A7256" s="341">
        <v>1019</v>
      </c>
      <c r="B7256" s="342" t="s">
        <v>8089</v>
      </c>
      <c r="C7256" s="341" t="s">
        <v>7287</v>
      </c>
      <c r="D7256" s="343">
        <v>19.079999999999998</v>
      </c>
    </row>
    <row r="7257" spans="1:4" ht="51">
      <c r="A7257" s="341">
        <v>1021</v>
      </c>
      <c r="B7257" s="342" t="s">
        <v>8090</v>
      </c>
      <c r="C7257" s="341" t="s">
        <v>7287</v>
      </c>
      <c r="D7257" s="343">
        <v>2.71</v>
      </c>
    </row>
    <row r="7258" spans="1:4" ht="51">
      <c r="A7258" s="341">
        <v>39249</v>
      </c>
      <c r="B7258" s="342" t="s">
        <v>8091</v>
      </c>
      <c r="C7258" s="341" t="s">
        <v>7287</v>
      </c>
      <c r="D7258" s="343">
        <v>212.73</v>
      </c>
    </row>
    <row r="7259" spans="1:4" ht="51">
      <c r="A7259" s="341">
        <v>1018</v>
      </c>
      <c r="B7259" s="342" t="s">
        <v>8092</v>
      </c>
      <c r="C7259" s="341" t="s">
        <v>7287</v>
      </c>
      <c r="D7259" s="343">
        <v>27.2</v>
      </c>
    </row>
    <row r="7260" spans="1:4" ht="51">
      <c r="A7260" s="341">
        <v>39250</v>
      </c>
      <c r="B7260" s="342" t="s">
        <v>8093</v>
      </c>
      <c r="C7260" s="341" t="s">
        <v>7287</v>
      </c>
      <c r="D7260" s="343">
        <v>273.27</v>
      </c>
    </row>
    <row r="7261" spans="1:4" ht="51">
      <c r="A7261" s="341">
        <v>994</v>
      </c>
      <c r="B7261" s="342" t="s">
        <v>8094</v>
      </c>
      <c r="C7261" s="341" t="s">
        <v>7287</v>
      </c>
      <c r="D7261" s="343">
        <v>3.7</v>
      </c>
    </row>
    <row r="7262" spans="1:4" ht="51">
      <c r="A7262" s="341">
        <v>977</v>
      </c>
      <c r="B7262" s="342" t="s">
        <v>8095</v>
      </c>
      <c r="C7262" s="341" t="s">
        <v>7287</v>
      </c>
      <c r="D7262" s="343">
        <v>37.68</v>
      </c>
    </row>
    <row r="7263" spans="1:4" ht="51">
      <c r="A7263" s="341">
        <v>998</v>
      </c>
      <c r="B7263" s="342" t="s">
        <v>8096</v>
      </c>
      <c r="C7263" s="341" t="s">
        <v>7287</v>
      </c>
      <c r="D7263" s="343">
        <v>50.05</v>
      </c>
    </row>
    <row r="7264" spans="1:4" ht="38.25">
      <c r="A7264" s="341">
        <v>39251</v>
      </c>
      <c r="B7264" s="342" t="s">
        <v>8097</v>
      </c>
      <c r="C7264" s="341" t="s">
        <v>7287</v>
      </c>
      <c r="D7264" s="343">
        <v>0.36</v>
      </c>
    </row>
    <row r="7265" spans="1:4" ht="38.25">
      <c r="A7265" s="341">
        <v>1011</v>
      </c>
      <c r="B7265" s="342" t="s">
        <v>8098</v>
      </c>
      <c r="C7265" s="341" t="s">
        <v>7287</v>
      </c>
      <c r="D7265" s="343">
        <v>0.5</v>
      </c>
    </row>
    <row r="7266" spans="1:4" ht="38.25">
      <c r="A7266" s="341">
        <v>39252</v>
      </c>
      <c r="B7266" s="342" t="s">
        <v>8099</v>
      </c>
      <c r="C7266" s="341" t="s">
        <v>7287</v>
      </c>
      <c r="D7266" s="343">
        <v>0.6</v>
      </c>
    </row>
    <row r="7267" spans="1:4" ht="38.25">
      <c r="A7267" s="341">
        <v>1013</v>
      </c>
      <c r="B7267" s="342" t="s">
        <v>8100</v>
      </c>
      <c r="C7267" s="341" t="s">
        <v>7287</v>
      </c>
      <c r="D7267" s="343">
        <v>0.8</v>
      </c>
    </row>
    <row r="7268" spans="1:4" ht="38.25">
      <c r="A7268" s="341">
        <v>980</v>
      </c>
      <c r="B7268" s="342" t="s">
        <v>8101</v>
      </c>
      <c r="C7268" s="341" t="s">
        <v>7287</v>
      </c>
      <c r="D7268" s="343">
        <v>5.44</v>
      </c>
    </row>
    <row r="7269" spans="1:4" ht="38.25">
      <c r="A7269" s="341">
        <v>39237</v>
      </c>
      <c r="B7269" s="342" t="s">
        <v>8102</v>
      </c>
      <c r="C7269" s="341" t="s">
        <v>7287</v>
      </c>
      <c r="D7269" s="343">
        <v>64.47</v>
      </c>
    </row>
    <row r="7270" spans="1:4" ht="38.25">
      <c r="A7270" s="341">
        <v>39238</v>
      </c>
      <c r="B7270" s="342" t="s">
        <v>8103</v>
      </c>
      <c r="C7270" s="341" t="s">
        <v>7287</v>
      </c>
      <c r="D7270" s="343">
        <v>80.489999999999995</v>
      </c>
    </row>
    <row r="7271" spans="1:4" ht="38.25">
      <c r="A7271" s="341">
        <v>979</v>
      </c>
      <c r="B7271" s="342" t="s">
        <v>8104</v>
      </c>
      <c r="C7271" s="341" t="s">
        <v>7287</v>
      </c>
      <c r="D7271" s="343">
        <v>8.3800000000000008</v>
      </c>
    </row>
    <row r="7272" spans="1:4" ht="38.25">
      <c r="A7272" s="341">
        <v>39239</v>
      </c>
      <c r="B7272" s="342" t="s">
        <v>8105</v>
      </c>
      <c r="C7272" s="341" t="s">
        <v>7287</v>
      </c>
      <c r="D7272" s="343">
        <v>97.96</v>
      </c>
    </row>
    <row r="7273" spans="1:4" ht="38.25">
      <c r="A7273" s="341">
        <v>1014</v>
      </c>
      <c r="B7273" s="342" t="s">
        <v>8106</v>
      </c>
      <c r="C7273" s="341" t="s">
        <v>7287</v>
      </c>
      <c r="D7273" s="343">
        <v>1.27</v>
      </c>
    </row>
    <row r="7274" spans="1:4" ht="38.25">
      <c r="A7274" s="341">
        <v>39240</v>
      </c>
      <c r="B7274" s="342" t="s">
        <v>8107</v>
      </c>
      <c r="C7274" s="341" t="s">
        <v>7287</v>
      </c>
      <c r="D7274" s="343">
        <v>129.47</v>
      </c>
    </row>
    <row r="7275" spans="1:4" ht="38.25">
      <c r="A7275" s="341">
        <v>39232</v>
      </c>
      <c r="B7275" s="342" t="s">
        <v>8108</v>
      </c>
      <c r="C7275" s="341" t="s">
        <v>7287</v>
      </c>
      <c r="D7275" s="343">
        <v>13.44</v>
      </c>
    </row>
    <row r="7276" spans="1:4" ht="38.25">
      <c r="A7276" s="341">
        <v>39233</v>
      </c>
      <c r="B7276" s="342" t="s">
        <v>8109</v>
      </c>
      <c r="C7276" s="341" t="s">
        <v>7287</v>
      </c>
      <c r="D7276" s="343">
        <v>18.48</v>
      </c>
    </row>
    <row r="7277" spans="1:4" ht="38.25">
      <c r="A7277" s="341">
        <v>981</v>
      </c>
      <c r="B7277" s="342" t="s">
        <v>8110</v>
      </c>
      <c r="C7277" s="341" t="s">
        <v>7287</v>
      </c>
      <c r="D7277" s="343">
        <v>2.27</v>
      </c>
    </row>
    <row r="7278" spans="1:4" ht="38.25">
      <c r="A7278" s="341">
        <v>39234</v>
      </c>
      <c r="B7278" s="342" t="s">
        <v>8111</v>
      </c>
      <c r="C7278" s="341" t="s">
        <v>7287</v>
      </c>
      <c r="D7278" s="343">
        <v>27.12</v>
      </c>
    </row>
    <row r="7279" spans="1:4" ht="38.25">
      <c r="A7279" s="341">
        <v>982</v>
      </c>
      <c r="B7279" s="342" t="s">
        <v>8112</v>
      </c>
      <c r="C7279" s="341" t="s">
        <v>7287</v>
      </c>
      <c r="D7279" s="343">
        <v>3.18</v>
      </c>
    </row>
    <row r="7280" spans="1:4" ht="38.25">
      <c r="A7280" s="341">
        <v>39235</v>
      </c>
      <c r="B7280" s="342" t="s">
        <v>8113</v>
      </c>
      <c r="C7280" s="341" t="s">
        <v>7287</v>
      </c>
      <c r="D7280" s="343">
        <v>38.15</v>
      </c>
    </row>
    <row r="7281" spans="1:4" ht="38.25">
      <c r="A7281" s="341">
        <v>39236</v>
      </c>
      <c r="B7281" s="342" t="s">
        <v>8114</v>
      </c>
      <c r="C7281" s="341" t="s">
        <v>7287</v>
      </c>
      <c r="D7281" s="343">
        <v>50.01</v>
      </c>
    </row>
    <row r="7282" spans="1:4" ht="63.75">
      <c r="A7282" s="341">
        <v>876</v>
      </c>
      <c r="B7282" s="342" t="s">
        <v>8115</v>
      </c>
      <c r="C7282" s="341" t="s">
        <v>7287</v>
      </c>
      <c r="D7282" s="343">
        <v>129.11000000000001</v>
      </c>
    </row>
    <row r="7283" spans="1:4" ht="63.75">
      <c r="A7283" s="341">
        <v>877</v>
      </c>
      <c r="B7283" s="342" t="s">
        <v>8116</v>
      </c>
      <c r="C7283" s="341" t="s">
        <v>7287</v>
      </c>
      <c r="D7283" s="343">
        <v>151.78</v>
      </c>
    </row>
    <row r="7284" spans="1:4" ht="63.75">
      <c r="A7284" s="341">
        <v>882</v>
      </c>
      <c r="B7284" s="342" t="s">
        <v>8117</v>
      </c>
      <c r="C7284" s="341" t="s">
        <v>7287</v>
      </c>
      <c r="D7284" s="343">
        <v>165.39</v>
      </c>
    </row>
    <row r="7285" spans="1:4" ht="63.75">
      <c r="A7285" s="341">
        <v>878</v>
      </c>
      <c r="B7285" s="342" t="s">
        <v>8118</v>
      </c>
      <c r="C7285" s="341" t="s">
        <v>7287</v>
      </c>
      <c r="D7285" s="343">
        <v>205.62</v>
      </c>
    </row>
    <row r="7286" spans="1:4" ht="63.75">
      <c r="A7286" s="341">
        <v>879</v>
      </c>
      <c r="B7286" s="342" t="s">
        <v>8119</v>
      </c>
      <c r="C7286" s="341" t="s">
        <v>7287</v>
      </c>
      <c r="D7286" s="343">
        <v>242.35</v>
      </c>
    </row>
    <row r="7287" spans="1:4" ht="63.75">
      <c r="A7287" s="341">
        <v>880</v>
      </c>
      <c r="B7287" s="342" t="s">
        <v>8120</v>
      </c>
      <c r="C7287" s="341" t="s">
        <v>7287</v>
      </c>
      <c r="D7287" s="343">
        <v>285.16000000000003</v>
      </c>
    </row>
    <row r="7288" spans="1:4" ht="63.75">
      <c r="A7288" s="341">
        <v>873</v>
      </c>
      <c r="B7288" s="342" t="s">
        <v>8121</v>
      </c>
      <c r="C7288" s="341" t="s">
        <v>7287</v>
      </c>
      <c r="D7288" s="343">
        <v>86.7</v>
      </c>
    </row>
    <row r="7289" spans="1:4" ht="63.75">
      <c r="A7289" s="341">
        <v>881</v>
      </c>
      <c r="B7289" s="342" t="s">
        <v>8122</v>
      </c>
      <c r="C7289" s="341" t="s">
        <v>7287</v>
      </c>
      <c r="D7289" s="343">
        <v>389.76</v>
      </c>
    </row>
    <row r="7290" spans="1:4" ht="63.75">
      <c r="A7290" s="341">
        <v>874</v>
      </c>
      <c r="B7290" s="342" t="s">
        <v>8123</v>
      </c>
      <c r="C7290" s="341" t="s">
        <v>7287</v>
      </c>
      <c r="D7290" s="343">
        <v>102.9</v>
      </c>
    </row>
    <row r="7291" spans="1:4" ht="63.75">
      <c r="A7291" s="341">
        <v>875</v>
      </c>
      <c r="B7291" s="342" t="s">
        <v>8124</v>
      </c>
      <c r="C7291" s="341" t="s">
        <v>7287</v>
      </c>
      <c r="D7291" s="343">
        <v>122.77</v>
      </c>
    </row>
    <row r="7292" spans="1:4" ht="38.25">
      <c r="A7292" s="341">
        <v>983</v>
      </c>
      <c r="B7292" s="342" t="s">
        <v>8125</v>
      </c>
      <c r="C7292" s="341" t="s">
        <v>7287</v>
      </c>
      <c r="D7292" s="343">
        <v>0.77</v>
      </c>
    </row>
    <row r="7293" spans="1:4" ht="38.25">
      <c r="A7293" s="341">
        <v>985</v>
      </c>
      <c r="B7293" s="342" t="s">
        <v>8126</v>
      </c>
      <c r="C7293" s="341" t="s">
        <v>7287</v>
      </c>
      <c r="D7293" s="343">
        <v>5.76</v>
      </c>
    </row>
    <row r="7294" spans="1:4" ht="38.25">
      <c r="A7294" s="341">
        <v>990</v>
      </c>
      <c r="B7294" s="342" t="s">
        <v>8127</v>
      </c>
      <c r="C7294" s="341" t="s">
        <v>7287</v>
      </c>
      <c r="D7294" s="343">
        <v>78.92</v>
      </c>
    </row>
    <row r="7295" spans="1:4" ht="38.25">
      <c r="A7295" s="341">
        <v>39241</v>
      </c>
      <c r="B7295" s="342" t="s">
        <v>8128</v>
      </c>
      <c r="C7295" s="341" t="s">
        <v>7287</v>
      </c>
      <c r="D7295" s="343">
        <v>9.02</v>
      </c>
    </row>
    <row r="7296" spans="1:4" ht="38.25">
      <c r="A7296" s="341">
        <v>1005</v>
      </c>
      <c r="B7296" s="342" t="s">
        <v>8129</v>
      </c>
      <c r="C7296" s="341" t="s">
        <v>7287</v>
      </c>
      <c r="D7296" s="343">
        <v>96.87</v>
      </c>
    </row>
    <row r="7297" spans="1:4" ht="38.25">
      <c r="A7297" s="341">
        <v>984</v>
      </c>
      <c r="B7297" s="342" t="s">
        <v>8130</v>
      </c>
      <c r="C7297" s="341" t="s">
        <v>7287</v>
      </c>
      <c r="D7297" s="343">
        <v>1.99</v>
      </c>
    </row>
    <row r="7298" spans="1:4" ht="38.25">
      <c r="A7298" s="341">
        <v>991</v>
      </c>
      <c r="B7298" s="342" t="s">
        <v>8131</v>
      </c>
      <c r="C7298" s="341" t="s">
        <v>7287</v>
      </c>
      <c r="D7298" s="343">
        <v>128</v>
      </c>
    </row>
    <row r="7299" spans="1:4" ht="38.25">
      <c r="A7299" s="341">
        <v>986</v>
      </c>
      <c r="B7299" s="342" t="s">
        <v>8132</v>
      </c>
      <c r="C7299" s="341" t="s">
        <v>7287</v>
      </c>
      <c r="D7299" s="343">
        <v>13.79</v>
      </c>
    </row>
    <row r="7300" spans="1:4" ht="38.25">
      <c r="A7300" s="341">
        <v>1024</v>
      </c>
      <c r="B7300" s="342" t="s">
        <v>8133</v>
      </c>
      <c r="C7300" s="341" t="s">
        <v>7287</v>
      </c>
      <c r="D7300" s="343">
        <v>158.41999999999999</v>
      </c>
    </row>
    <row r="7301" spans="1:4" ht="38.25">
      <c r="A7301" s="341">
        <v>987</v>
      </c>
      <c r="B7301" s="342" t="s">
        <v>8134</v>
      </c>
      <c r="C7301" s="341" t="s">
        <v>7287</v>
      </c>
      <c r="D7301" s="343">
        <v>18.739999999999998</v>
      </c>
    </row>
    <row r="7302" spans="1:4" ht="38.25">
      <c r="A7302" s="341">
        <v>1003</v>
      </c>
      <c r="B7302" s="342" t="s">
        <v>8135</v>
      </c>
      <c r="C7302" s="341" t="s">
        <v>7287</v>
      </c>
      <c r="D7302" s="343">
        <v>2.91</v>
      </c>
    </row>
    <row r="7303" spans="1:4" ht="38.25">
      <c r="A7303" s="341">
        <v>992</v>
      </c>
      <c r="B7303" s="342" t="s">
        <v>8136</v>
      </c>
      <c r="C7303" s="341" t="s">
        <v>7287</v>
      </c>
      <c r="D7303" s="343">
        <v>204.96</v>
      </c>
    </row>
    <row r="7304" spans="1:4" ht="38.25">
      <c r="A7304" s="341">
        <v>1007</v>
      </c>
      <c r="B7304" s="342" t="s">
        <v>8137</v>
      </c>
      <c r="C7304" s="341" t="s">
        <v>7287</v>
      </c>
      <c r="D7304" s="343">
        <v>26.58</v>
      </c>
    </row>
    <row r="7305" spans="1:4" ht="38.25">
      <c r="A7305" s="341">
        <v>39242</v>
      </c>
      <c r="B7305" s="342" t="s">
        <v>8138</v>
      </c>
      <c r="C7305" s="341" t="s">
        <v>7287</v>
      </c>
      <c r="D7305" s="343">
        <v>253.95</v>
      </c>
    </row>
    <row r="7306" spans="1:4" ht="38.25">
      <c r="A7306" s="341">
        <v>1008</v>
      </c>
      <c r="B7306" s="342" t="s">
        <v>8139</v>
      </c>
      <c r="C7306" s="341" t="s">
        <v>7287</v>
      </c>
      <c r="D7306" s="343">
        <v>3.31</v>
      </c>
    </row>
    <row r="7307" spans="1:4" ht="38.25">
      <c r="A7307" s="341">
        <v>988</v>
      </c>
      <c r="B7307" s="342" t="s">
        <v>8140</v>
      </c>
      <c r="C7307" s="341" t="s">
        <v>7287</v>
      </c>
      <c r="D7307" s="343">
        <v>36.71</v>
      </c>
    </row>
    <row r="7308" spans="1:4" ht="38.25">
      <c r="A7308" s="341">
        <v>989</v>
      </c>
      <c r="B7308" s="342" t="s">
        <v>8141</v>
      </c>
      <c r="C7308" s="341" t="s">
        <v>7287</v>
      </c>
      <c r="D7308" s="343">
        <v>49.73</v>
      </c>
    </row>
    <row r="7309" spans="1:4" ht="25.5">
      <c r="A7309" s="341">
        <v>39598</v>
      </c>
      <c r="B7309" s="342" t="s">
        <v>8142</v>
      </c>
      <c r="C7309" s="341" t="s">
        <v>7287</v>
      </c>
      <c r="D7309" s="343">
        <v>1.1200000000000001</v>
      </c>
    </row>
    <row r="7310" spans="1:4" ht="25.5">
      <c r="A7310" s="341">
        <v>39599</v>
      </c>
      <c r="B7310" s="342" t="s">
        <v>8143</v>
      </c>
      <c r="C7310" s="341" t="s">
        <v>7287</v>
      </c>
      <c r="D7310" s="343">
        <v>1.69</v>
      </c>
    </row>
    <row r="7311" spans="1:4" ht="25.5">
      <c r="A7311" s="341">
        <v>34602</v>
      </c>
      <c r="B7311" s="342" t="s">
        <v>8144</v>
      </c>
      <c r="C7311" s="341" t="s">
        <v>7287</v>
      </c>
      <c r="D7311" s="343">
        <v>2.4</v>
      </c>
    </row>
    <row r="7312" spans="1:4" ht="25.5">
      <c r="A7312" s="341">
        <v>34603</v>
      </c>
      <c r="B7312" s="342" t="s">
        <v>8145</v>
      </c>
      <c r="C7312" s="341" t="s">
        <v>7287</v>
      </c>
      <c r="D7312" s="343">
        <v>11.55</v>
      </c>
    </row>
    <row r="7313" spans="1:4" ht="25.5">
      <c r="A7313" s="341">
        <v>34607</v>
      </c>
      <c r="B7313" s="342" t="s">
        <v>8146</v>
      </c>
      <c r="C7313" s="341" t="s">
        <v>7287</v>
      </c>
      <c r="D7313" s="343">
        <v>5.15</v>
      </c>
    </row>
    <row r="7314" spans="1:4" ht="25.5">
      <c r="A7314" s="341">
        <v>34609</v>
      </c>
      <c r="B7314" s="342" t="s">
        <v>8147</v>
      </c>
      <c r="C7314" s="341" t="s">
        <v>7287</v>
      </c>
      <c r="D7314" s="343">
        <v>7.73</v>
      </c>
    </row>
    <row r="7315" spans="1:4" ht="25.5">
      <c r="A7315" s="341">
        <v>34618</v>
      </c>
      <c r="B7315" s="342" t="s">
        <v>8148</v>
      </c>
      <c r="C7315" s="341" t="s">
        <v>7287</v>
      </c>
      <c r="D7315" s="343">
        <v>3.18</v>
      </c>
    </row>
    <row r="7316" spans="1:4" ht="25.5">
      <c r="A7316" s="341">
        <v>34620</v>
      </c>
      <c r="B7316" s="342" t="s">
        <v>8149</v>
      </c>
      <c r="C7316" s="341" t="s">
        <v>7287</v>
      </c>
      <c r="D7316" s="343">
        <v>15.94</v>
      </c>
    </row>
    <row r="7317" spans="1:4" ht="25.5">
      <c r="A7317" s="341">
        <v>34621</v>
      </c>
      <c r="B7317" s="342" t="s">
        <v>8150</v>
      </c>
      <c r="C7317" s="341" t="s">
        <v>7287</v>
      </c>
      <c r="D7317" s="343">
        <v>7.39</v>
      </c>
    </row>
    <row r="7318" spans="1:4" ht="25.5">
      <c r="A7318" s="341">
        <v>34622</v>
      </c>
      <c r="B7318" s="342" t="s">
        <v>8151</v>
      </c>
      <c r="C7318" s="341" t="s">
        <v>7287</v>
      </c>
      <c r="D7318" s="343">
        <v>10.48</v>
      </c>
    </row>
    <row r="7319" spans="1:4" ht="25.5">
      <c r="A7319" s="341">
        <v>34624</v>
      </c>
      <c r="B7319" s="342" t="s">
        <v>8152</v>
      </c>
      <c r="C7319" s="341" t="s">
        <v>7287</v>
      </c>
      <c r="D7319" s="343">
        <v>4.07</v>
      </c>
    </row>
    <row r="7320" spans="1:4" ht="25.5">
      <c r="A7320" s="341">
        <v>34626</v>
      </c>
      <c r="B7320" s="342" t="s">
        <v>8153</v>
      </c>
      <c r="C7320" s="341" t="s">
        <v>7287</v>
      </c>
      <c r="D7320" s="343">
        <v>21.92</v>
      </c>
    </row>
    <row r="7321" spans="1:4" ht="25.5">
      <c r="A7321" s="341">
        <v>34627</v>
      </c>
      <c r="B7321" s="342" t="s">
        <v>8154</v>
      </c>
      <c r="C7321" s="341" t="s">
        <v>7287</v>
      </c>
      <c r="D7321" s="343">
        <v>9.44</v>
      </c>
    </row>
    <row r="7322" spans="1:4" ht="25.5">
      <c r="A7322" s="341">
        <v>34629</v>
      </c>
      <c r="B7322" s="342" t="s">
        <v>8155</v>
      </c>
      <c r="C7322" s="341" t="s">
        <v>7287</v>
      </c>
      <c r="D7322" s="343">
        <v>13.82</v>
      </c>
    </row>
    <row r="7323" spans="1:4" ht="51">
      <c r="A7323" s="341">
        <v>39257</v>
      </c>
      <c r="B7323" s="342" t="s">
        <v>8156</v>
      </c>
      <c r="C7323" s="341" t="s">
        <v>7287</v>
      </c>
      <c r="D7323" s="343">
        <v>3.47</v>
      </c>
    </row>
    <row r="7324" spans="1:4" ht="51">
      <c r="A7324" s="341">
        <v>39261</v>
      </c>
      <c r="B7324" s="342" t="s">
        <v>8157</v>
      </c>
      <c r="C7324" s="341" t="s">
        <v>7287</v>
      </c>
      <c r="D7324" s="343">
        <v>18.5</v>
      </c>
    </row>
    <row r="7325" spans="1:4" ht="51">
      <c r="A7325" s="341">
        <v>39268</v>
      </c>
      <c r="B7325" s="342" t="s">
        <v>8158</v>
      </c>
      <c r="C7325" s="341" t="s">
        <v>7287</v>
      </c>
      <c r="D7325" s="343">
        <v>213.46</v>
      </c>
    </row>
    <row r="7326" spans="1:4" ht="51">
      <c r="A7326" s="341">
        <v>39262</v>
      </c>
      <c r="B7326" s="342" t="s">
        <v>8159</v>
      </c>
      <c r="C7326" s="341" t="s">
        <v>7287</v>
      </c>
      <c r="D7326" s="343">
        <v>28.93</v>
      </c>
    </row>
    <row r="7327" spans="1:4" ht="51">
      <c r="A7327" s="341">
        <v>39258</v>
      </c>
      <c r="B7327" s="342" t="s">
        <v>8160</v>
      </c>
      <c r="C7327" s="341" t="s">
        <v>7287</v>
      </c>
      <c r="D7327" s="343">
        <v>5.14</v>
      </c>
    </row>
    <row r="7328" spans="1:4" ht="51">
      <c r="A7328" s="341">
        <v>39263</v>
      </c>
      <c r="B7328" s="342" t="s">
        <v>8161</v>
      </c>
      <c r="C7328" s="341" t="s">
        <v>7287</v>
      </c>
      <c r="D7328" s="343">
        <v>44.75</v>
      </c>
    </row>
    <row r="7329" spans="1:4" ht="51">
      <c r="A7329" s="341">
        <v>39264</v>
      </c>
      <c r="B7329" s="342" t="s">
        <v>8162</v>
      </c>
      <c r="C7329" s="341" t="s">
        <v>7287</v>
      </c>
      <c r="D7329" s="343">
        <v>60.6</v>
      </c>
    </row>
    <row r="7330" spans="1:4" ht="51">
      <c r="A7330" s="341">
        <v>39259</v>
      </c>
      <c r="B7330" s="342" t="s">
        <v>8163</v>
      </c>
      <c r="C7330" s="341" t="s">
        <v>7287</v>
      </c>
      <c r="D7330" s="343">
        <v>7.84</v>
      </c>
    </row>
    <row r="7331" spans="1:4" ht="51">
      <c r="A7331" s="341">
        <v>39265</v>
      </c>
      <c r="B7331" s="342" t="s">
        <v>8164</v>
      </c>
      <c r="C7331" s="341" t="s">
        <v>7287</v>
      </c>
      <c r="D7331" s="343">
        <v>89.27</v>
      </c>
    </row>
    <row r="7332" spans="1:4" ht="51">
      <c r="A7332" s="341">
        <v>39260</v>
      </c>
      <c r="B7332" s="342" t="s">
        <v>8165</v>
      </c>
      <c r="C7332" s="341" t="s">
        <v>7287</v>
      </c>
      <c r="D7332" s="343">
        <v>11.16</v>
      </c>
    </row>
    <row r="7333" spans="1:4" ht="51">
      <c r="A7333" s="341">
        <v>39266</v>
      </c>
      <c r="B7333" s="342" t="s">
        <v>8166</v>
      </c>
      <c r="C7333" s="341" t="s">
        <v>7287</v>
      </c>
      <c r="D7333" s="343">
        <v>125.27</v>
      </c>
    </row>
    <row r="7334" spans="1:4" ht="51">
      <c r="A7334" s="341">
        <v>39267</v>
      </c>
      <c r="B7334" s="342" t="s">
        <v>8167</v>
      </c>
      <c r="C7334" s="341" t="s">
        <v>7287</v>
      </c>
      <c r="D7334" s="343">
        <v>164.21</v>
      </c>
    </row>
    <row r="7335" spans="1:4" ht="25.5">
      <c r="A7335" s="341">
        <v>11901</v>
      </c>
      <c r="B7335" s="342" t="s">
        <v>8168</v>
      </c>
      <c r="C7335" s="341" t="s">
        <v>7287</v>
      </c>
      <c r="D7335" s="343">
        <v>0.81</v>
      </c>
    </row>
    <row r="7336" spans="1:4" ht="25.5">
      <c r="A7336" s="341">
        <v>11902</v>
      </c>
      <c r="B7336" s="342" t="s">
        <v>8169</v>
      </c>
      <c r="C7336" s="341" t="s">
        <v>7287</v>
      </c>
      <c r="D7336" s="343">
        <v>1.41</v>
      </c>
    </row>
    <row r="7337" spans="1:4" ht="25.5">
      <c r="A7337" s="341">
        <v>11903</v>
      </c>
      <c r="B7337" s="342" t="s">
        <v>8170</v>
      </c>
      <c r="C7337" s="341" t="s">
        <v>7287</v>
      </c>
      <c r="D7337" s="343">
        <v>2.1800000000000002</v>
      </c>
    </row>
    <row r="7338" spans="1:4" ht="25.5">
      <c r="A7338" s="341">
        <v>11904</v>
      </c>
      <c r="B7338" s="342" t="s">
        <v>8171</v>
      </c>
      <c r="C7338" s="341" t="s">
        <v>7287</v>
      </c>
      <c r="D7338" s="343">
        <v>2.77</v>
      </c>
    </row>
    <row r="7339" spans="1:4" ht="25.5">
      <c r="A7339" s="341">
        <v>11905</v>
      </c>
      <c r="B7339" s="342" t="s">
        <v>8172</v>
      </c>
      <c r="C7339" s="341" t="s">
        <v>7287</v>
      </c>
      <c r="D7339" s="343">
        <v>3.73</v>
      </c>
    </row>
    <row r="7340" spans="1:4" ht="25.5">
      <c r="A7340" s="341">
        <v>11906</v>
      </c>
      <c r="B7340" s="342" t="s">
        <v>8173</v>
      </c>
      <c r="C7340" s="341" t="s">
        <v>7287</v>
      </c>
      <c r="D7340" s="343">
        <v>4.3</v>
      </c>
    </row>
    <row r="7341" spans="1:4" ht="25.5">
      <c r="A7341" s="341">
        <v>11919</v>
      </c>
      <c r="B7341" s="342" t="s">
        <v>8174</v>
      </c>
      <c r="C7341" s="341" t="s">
        <v>7287</v>
      </c>
      <c r="D7341" s="343">
        <v>8.43</v>
      </c>
    </row>
    <row r="7342" spans="1:4" ht="25.5">
      <c r="A7342" s="341">
        <v>11920</v>
      </c>
      <c r="B7342" s="342" t="s">
        <v>8175</v>
      </c>
      <c r="C7342" s="341" t="s">
        <v>7287</v>
      </c>
      <c r="D7342" s="343">
        <v>16.34</v>
      </c>
    </row>
    <row r="7343" spans="1:4" ht="25.5">
      <c r="A7343" s="341">
        <v>11924</v>
      </c>
      <c r="B7343" s="342" t="s">
        <v>8176</v>
      </c>
      <c r="C7343" s="341" t="s">
        <v>7287</v>
      </c>
      <c r="D7343" s="343">
        <v>158.96</v>
      </c>
    </row>
    <row r="7344" spans="1:4" ht="25.5">
      <c r="A7344" s="341">
        <v>11921</v>
      </c>
      <c r="B7344" s="342" t="s">
        <v>8177</v>
      </c>
      <c r="C7344" s="341" t="s">
        <v>7287</v>
      </c>
      <c r="D7344" s="343">
        <v>22.25</v>
      </c>
    </row>
    <row r="7345" spans="1:4" ht="25.5">
      <c r="A7345" s="341">
        <v>11922</v>
      </c>
      <c r="B7345" s="342" t="s">
        <v>8178</v>
      </c>
      <c r="C7345" s="341" t="s">
        <v>7287</v>
      </c>
      <c r="D7345" s="343">
        <v>39.51</v>
      </c>
    </row>
    <row r="7346" spans="1:4" ht="25.5">
      <c r="A7346" s="341">
        <v>11923</v>
      </c>
      <c r="B7346" s="342" t="s">
        <v>8179</v>
      </c>
      <c r="C7346" s="341" t="s">
        <v>7287</v>
      </c>
      <c r="D7346" s="343">
        <v>64.53</v>
      </c>
    </row>
    <row r="7347" spans="1:4" ht="25.5">
      <c r="A7347" s="341">
        <v>11916</v>
      </c>
      <c r="B7347" s="342" t="s">
        <v>8180</v>
      </c>
      <c r="C7347" s="341" t="s">
        <v>7287</v>
      </c>
      <c r="D7347" s="343">
        <v>10.95</v>
      </c>
    </row>
    <row r="7348" spans="1:4" ht="25.5">
      <c r="A7348" s="341">
        <v>11914</v>
      </c>
      <c r="B7348" s="342" t="s">
        <v>8181</v>
      </c>
      <c r="C7348" s="341" t="s">
        <v>7287</v>
      </c>
      <c r="D7348" s="343">
        <v>79.5</v>
      </c>
    </row>
    <row r="7349" spans="1:4" ht="25.5">
      <c r="A7349" s="341">
        <v>11917</v>
      </c>
      <c r="B7349" s="342" t="s">
        <v>8182</v>
      </c>
      <c r="C7349" s="341" t="s">
        <v>7287</v>
      </c>
      <c r="D7349" s="343">
        <v>19.059999999999999</v>
      </c>
    </row>
    <row r="7350" spans="1:4" ht="25.5">
      <c r="A7350" s="341">
        <v>11918</v>
      </c>
      <c r="B7350" s="342" t="s">
        <v>8183</v>
      </c>
      <c r="C7350" s="341" t="s">
        <v>7287</v>
      </c>
      <c r="D7350" s="343">
        <v>25.85</v>
      </c>
    </row>
    <row r="7351" spans="1:4" ht="38.25">
      <c r="A7351" s="341">
        <v>37734</v>
      </c>
      <c r="B7351" s="342" t="s">
        <v>8184</v>
      </c>
      <c r="C7351" s="341" t="s">
        <v>7278</v>
      </c>
      <c r="D7351" s="344">
        <v>38611.879999999997</v>
      </c>
    </row>
    <row r="7352" spans="1:4" ht="38.25">
      <c r="A7352" s="341">
        <v>42251</v>
      </c>
      <c r="B7352" s="342" t="s">
        <v>8185</v>
      </c>
      <c r="C7352" s="341" t="s">
        <v>7278</v>
      </c>
      <c r="D7352" s="344">
        <v>43846.15</v>
      </c>
    </row>
    <row r="7353" spans="1:4" ht="38.25">
      <c r="A7353" s="341">
        <v>37733</v>
      </c>
      <c r="B7353" s="342" t="s">
        <v>8186</v>
      </c>
      <c r="C7353" s="341" t="s">
        <v>7278</v>
      </c>
      <c r="D7353" s="344">
        <v>28951.040000000001</v>
      </c>
    </row>
    <row r="7354" spans="1:4" ht="38.25">
      <c r="A7354" s="341">
        <v>37735</v>
      </c>
      <c r="B7354" s="342" t="s">
        <v>8187</v>
      </c>
      <c r="C7354" s="341" t="s">
        <v>7278</v>
      </c>
      <c r="D7354" s="344">
        <v>34886.01</v>
      </c>
    </row>
    <row r="7355" spans="1:4" ht="38.25">
      <c r="A7355" s="341">
        <v>41758</v>
      </c>
      <c r="B7355" s="342" t="s">
        <v>8188</v>
      </c>
      <c r="C7355" s="341" t="s">
        <v>7278</v>
      </c>
      <c r="D7355" s="343">
        <v>134.87</v>
      </c>
    </row>
    <row r="7356" spans="1:4" ht="51">
      <c r="A7356" s="341">
        <v>5090</v>
      </c>
      <c r="B7356" s="342" t="s">
        <v>8189</v>
      </c>
      <c r="C7356" s="341" t="s">
        <v>7278</v>
      </c>
      <c r="D7356" s="343">
        <v>15.45</v>
      </c>
    </row>
    <row r="7357" spans="1:4" ht="51">
      <c r="A7357" s="341">
        <v>5085</v>
      </c>
      <c r="B7357" s="342" t="s">
        <v>8190</v>
      </c>
      <c r="C7357" s="341" t="s">
        <v>7278</v>
      </c>
      <c r="D7357" s="343">
        <v>17.22</v>
      </c>
    </row>
    <row r="7358" spans="1:4" ht="25.5">
      <c r="A7358" s="341">
        <v>38374</v>
      </c>
      <c r="B7358" s="342" t="s">
        <v>8191</v>
      </c>
      <c r="C7358" s="341" t="s">
        <v>7278</v>
      </c>
      <c r="D7358" s="343">
        <v>997.73</v>
      </c>
    </row>
    <row r="7359" spans="1:4" ht="38.25">
      <c r="A7359" s="341">
        <v>20212</v>
      </c>
      <c r="B7359" s="342" t="s">
        <v>8192</v>
      </c>
      <c r="C7359" s="341" t="s">
        <v>7287</v>
      </c>
      <c r="D7359" s="343">
        <v>8.31</v>
      </c>
    </row>
    <row r="7360" spans="1:4" ht="38.25">
      <c r="A7360" s="341">
        <v>4430</v>
      </c>
      <c r="B7360" s="342" t="s">
        <v>8193</v>
      </c>
      <c r="C7360" s="341" t="s">
        <v>7287</v>
      </c>
      <c r="D7360" s="343">
        <v>5.1100000000000003</v>
      </c>
    </row>
    <row r="7361" spans="1:4" ht="38.25">
      <c r="A7361" s="341">
        <v>4400</v>
      </c>
      <c r="B7361" s="342" t="s">
        <v>8194</v>
      </c>
      <c r="C7361" s="341" t="s">
        <v>7287</v>
      </c>
      <c r="D7361" s="343">
        <v>6.45</v>
      </c>
    </row>
    <row r="7362" spans="1:4" ht="25.5">
      <c r="A7362" s="341">
        <v>4496</v>
      </c>
      <c r="B7362" s="342" t="s">
        <v>8195</v>
      </c>
      <c r="C7362" s="341" t="s">
        <v>7287</v>
      </c>
      <c r="D7362" s="343">
        <v>2.59</v>
      </c>
    </row>
    <row r="7363" spans="1:4" ht="25.5">
      <c r="A7363" s="341">
        <v>11871</v>
      </c>
      <c r="B7363" s="342" t="s">
        <v>8196</v>
      </c>
      <c r="C7363" s="341" t="s">
        <v>7278</v>
      </c>
      <c r="D7363" s="343">
        <v>204.48</v>
      </c>
    </row>
    <row r="7364" spans="1:4" ht="25.5">
      <c r="A7364" s="341">
        <v>34636</v>
      </c>
      <c r="B7364" s="342" t="s">
        <v>8197</v>
      </c>
      <c r="C7364" s="341" t="s">
        <v>7278</v>
      </c>
      <c r="D7364" s="343">
        <v>275.93</v>
      </c>
    </row>
    <row r="7365" spans="1:4" ht="25.5">
      <c r="A7365" s="341">
        <v>34639</v>
      </c>
      <c r="B7365" s="342" t="s">
        <v>8198</v>
      </c>
      <c r="C7365" s="341" t="s">
        <v>7278</v>
      </c>
      <c r="D7365" s="343">
        <v>560.41</v>
      </c>
    </row>
    <row r="7366" spans="1:4" ht="25.5">
      <c r="A7366" s="341">
        <v>34640</v>
      </c>
      <c r="B7366" s="342" t="s">
        <v>8199</v>
      </c>
      <c r="C7366" s="341" t="s">
        <v>7278</v>
      </c>
      <c r="D7366" s="343">
        <v>629.48</v>
      </c>
    </row>
    <row r="7367" spans="1:4" ht="25.5">
      <c r="A7367" s="341">
        <v>34637</v>
      </c>
      <c r="B7367" s="342" t="s">
        <v>8200</v>
      </c>
      <c r="C7367" s="341" t="s">
        <v>7278</v>
      </c>
      <c r="D7367" s="343">
        <v>158.41999999999999</v>
      </c>
    </row>
    <row r="7368" spans="1:4" ht="25.5">
      <c r="A7368" s="341">
        <v>34638</v>
      </c>
      <c r="B7368" s="342" t="s">
        <v>8201</v>
      </c>
      <c r="C7368" s="341" t="s">
        <v>7278</v>
      </c>
      <c r="D7368" s="343">
        <v>271.67</v>
      </c>
    </row>
    <row r="7369" spans="1:4" ht="25.5">
      <c r="A7369" s="341">
        <v>11868</v>
      </c>
      <c r="B7369" s="342" t="s">
        <v>8202</v>
      </c>
      <c r="C7369" s="341" t="s">
        <v>7278</v>
      </c>
      <c r="D7369" s="343">
        <v>281.02999999999997</v>
      </c>
    </row>
    <row r="7370" spans="1:4" ht="25.5">
      <c r="A7370" s="341">
        <v>37106</v>
      </c>
      <c r="B7370" s="342" t="s">
        <v>8203</v>
      </c>
      <c r="C7370" s="341" t="s">
        <v>7278</v>
      </c>
      <c r="D7370" s="344">
        <v>2714.43</v>
      </c>
    </row>
    <row r="7371" spans="1:4" ht="25.5">
      <c r="A7371" s="341">
        <v>11869</v>
      </c>
      <c r="B7371" s="342" t="s">
        <v>8204</v>
      </c>
      <c r="C7371" s="341" t="s">
        <v>7278</v>
      </c>
      <c r="D7371" s="343">
        <v>455.96</v>
      </c>
    </row>
    <row r="7372" spans="1:4" ht="25.5">
      <c r="A7372" s="341">
        <v>37104</v>
      </c>
      <c r="B7372" s="342" t="s">
        <v>8205</v>
      </c>
      <c r="C7372" s="341" t="s">
        <v>7278</v>
      </c>
      <c r="D7372" s="343">
        <v>587.77</v>
      </c>
    </row>
    <row r="7373" spans="1:4" ht="25.5">
      <c r="A7373" s="341">
        <v>37105</v>
      </c>
      <c r="B7373" s="342" t="s">
        <v>8206</v>
      </c>
      <c r="C7373" s="341" t="s">
        <v>7278</v>
      </c>
      <c r="D7373" s="344">
        <v>1309.05</v>
      </c>
    </row>
    <row r="7374" spans="1:4" ht="38.25">
      <c r="A7374" s="341">
        <v>11638</v>
      </c>
      <c r="B7374" s="342" t="s">
        <v>8207</v>
      </c>
      <c r="C7374" s="341" t="s">
        <v>7278</v>
      </c>
      <c r="D7374" s="343">
        <v>99.87</v>
      </c>
    </row>
    <row r="7375" spans="1:4" ht="38.25">
      <c r="A7375" s="341">
        <v>1030</v>
      </c>
      <c r="B7375" s="342" t="s">
        <v>8208</v>
      </c>
      <c r="C7375" s="341" t="s">
        <v>7278</v>
      </c>
      <c r="D7375" s="343">
        <v>28.7</v>
      </c>
    </row>
    <row r="7376" spans="1:4" ht="38.25">
      <c r="A7376" s="341">
        <v>11694</v>
      </c>
      <c r="B7376" s="342" t="s">
        <v>8209</v>
      </c>
      <c r="C7376" s="341" t="s">
        <v>7278</v>
      </c>
      <c r="D7376" s="343">
        <v>634.41999999999996</v>
      </c>
    </row>
    <row r="7377" spans="1:4" ht="51">
      <c r="A7377" s="341">
        <v>35277</v>
      </c>
      <c r="B7377" s="342" t="s">
        <v>8210</v>
      </c>
      <c r="C7377" s="341" t="s">
        <v>7278</v>
      </c>
      <c r="D7377" s="343">
        <v>321.02999999999997</v>
      </c>
    </row>
    <row r="7378" spans="1:4" ht="76.5">
      <c r="A7378" s="341">
        <v>10521</v>
      </c>
      <c r="B7378" s="342" t="s">
        <v>8211</v>
      </c>
      <c r="C7378" s="341" t="s">
        <v>7278</v>
      </c>
      <c r="D7378" s="343">
        <v>215.19</v>
      </c>
    </row>
    <row r="7379" spans="1:4" ht="76.5">
      <c r="A7379" s="341">
        <v>10885</v>
      </c>
      <c r="B7379" s="342" t="s">
        <v>8212</v>
      </c>
      <c r="C7379" s="341" t="s">
        <v>7278</v>
      </c>
      <c r="D7379" s="343">
        <v>272.19</v>
      </c>
    </row>
    <row r="7380" spans="1:4" ht="76.5">
      <c r="A7380" s="341">
        <v>20962</v>
      </c>
      <c r="B7380" s="342" t="s">
        <v>8213</v>
      </c>
      <c r="C7380" s="341" t="s">
        <v>7278</v>
      </c>
      <c r="D7380" s="343">
        <v>225.44</v>
      </c>
    </row>
    <row r="7381" spans="1:4" ht="76.5">
      <c r="A7381" s="341">
        <v>20963</v>
      </c>
      <c r="B7381" s="342" t="s">
        <v>8214</v>
      </c>
      <c r="C7381" s="341" t="s">
        <v>7278</v>
      </c>
      <c r="D7381" s="343">
        <v>275.39</v>
      </c>
    </row>
    <row r="7382" spans="1:4">
      <c r="A7382" s="341">
        <v>2555</v>
      </c>
      <c r="B7382" s="342" t="s">
        <v>8215</v>
      </c>
      <c r="C7382" s="341" t="s">
        <v>7278</v>
      </c>
      <c r="D7382" s="343">
        <v>1.48</v>
      </c>
    </row>
    <row r="7383" spans="1:4">
      <c r="A7383" s="341">
        <v>2556</v>
      </c>
      <c r="B7383" s="342" t="s">
        <v>8216</v>
      </c>
      <c r="C7383" s="341" t="s">
        <v>7278</v>
      </c>
      <c r="D7383" s="343">
        <v>1.37</v>
      </c>
    </row>
    <row r="7384" spans="1:4">
      <c r="A7384" s="341">
        <v>2557</v>
      </c>
      <c r="B7384" s="342" t="s">
        <v>8217</v>
      </c>
      <c r="C7384" s="341" t="s">
        <v>7278</v>
      </c>
      <c r="D7384" s="343">
        <v>2.89</v>
      </c>
    </row>
    <row r="7385" spans="1:4" ht="25.5">
      <c r="A7385" s="341">
        <v>39810</v>
      </c>
      <c r="B7385" s="342" t="s">
        <v>8218</v>
      </c>
      <c r="C7385" s="341" t="s">
        <v>7278</v>
      </c>
      <c r="D7385" s="343">
        <v>14.09</v>
      </c>
    </row>
    <row r="7386" spans="1:4" ht="25.5">
      <c r="A7386" s="341">
        <v>39811</v>
      </c>
      <c r="B7386" s="342" t="s">
        <v>8219</v>
      </c>
      <c r="C7386" s="341" t="s">
        <v>7278</v>
      </c>
      <c r="D7386" s="343">
        <v>17.84</v>
      </c>
    </row>
    <row r="7387" spans="1:4" ht="25.5">
      <c r="A7387" s="341">
        <v>39812</v>
      </c>
      <c r="B7387" s="342" t="s">
        <v>8220</v>
      </c>
      <c r="C7387" s="341" t="s">
        <v>7278</v>
      </c>
      <c r="D7387" s="343">
        <v>27.21</v>
      </c>
    </row>
    <row r="7388" spans="1:4" ht="38.25">
      <c r="A7388" s="341">
        <v>20254</v>
      </c>
      <c r="B7388" s="342" t="s">
        <v>8221</v>
      </c>
      <c r="C7388" s="341" t="s">
        <v>7278</v>
      </c>
      <c r="D7388" s="343">
        <v>15.97</v>
      </c>
    </row>
    <row r="7389" spans="1:4" ht="38.25">
      <c r="A7389" s="341">
        <v>39771</v>
      </c>
      <c r="B7389" s="342" t="s">
        <v>8222</v>
      </c>
      <c r="C7389" s="341" t="s">
        <v>7278</v>
      </c>
      <c r="D7389" s="343">
        <v>26.46</v>
      </c>
    </row>
    <row r="7390" spans="1:4" ht="38.25">
      <c r="A7390" s="341">
        <v>20255</v>
      </c>
      <c r="B7390" s="342" t="s">
        <v>8223</v>
      </c>
      <c r="C7390" s="341" t="s">
        <v>7278</v>
      </c>
      <c r="D7390" s="343">
        <v>43.72</v>
      </c>
    </row>
    <row r="7391" spans="1:4" ht="38.25">
      <c r="A7391" s="341">
        <v>39772</v>
      </c>
      <c r="B7391" s="342" t="s">
        <v>8224</v>
      </c>
      <c r="C7391" s="341" t="s">
        <v>7278</v>
      </c>
      <c r="D7391" s="343">
        <v>52.4</v>
      </c>
    </row>
    <row r="7392" spans="1:4" ht="38.25">
      <c r="A7392" s="341">
        <v>20253</v>
      </c>
      <c r="B7392" s="342" t="s">
        <v>8225</v>
      </c>
      <c r="C7392" s="341" t="s">
        <v>7278</v>
      </c>
      <c r="D7392" s="343">
        <v>91.36</v>
      </c>
    </row>
    <row r="7393" spans="1:4" ht="38.25">
      <c r="A7393" s="341">
        <v>39773</v>
      </c>
      <c r="B7393" s="342" t="s">
        <v>8226</v>
      </c>
      <c r="C7393" s="341" t="s">
        <v>7278</v>
      </c>
      <c r="D7393" s="343">
        <v>94.89</v>
      </c>
    </row>
    <row r="7394" spans="1:4" ht="38.25">
      <c r="A7394" s="341">
        <v>39774</v>
      </c>
      <c r="B7394" s="342" t="s">
        <v>8227</v>
      </c>
      <c r="C7394" s="341" t="s">
        <v>7278</v>
      </c>
      <c r="D7394" s="343">
        <v>123.3</v>
      </c>
    </row>
    <row r="7395" spans="1:4" ht="38.25">
      <c r="A7395" s="341">
        <v>39775</v>
      </c>
      <c r="B7395" s="342" t="s">
        <v>8228</v>
      </c>
      <c r="C7395" s="341" t="s">
        <v>7278</v>
      </c>
      <c r="D7395" s="343">
        <v>215.94</v>
      </c>
    </row>
    <row r="7396" spans="1:4" ht="38.25">
      <c r="A7396" s="341">
        <v>39776</v>
      </c>
      <c r="B7396" s="342" t="s">
        <v>8229</v>
      </c>
      <c r="C7396" s="341" t="s">
        <v>7278</v>
      </c>
      <c r="D7396" s="343">
        <v>265.77</v>
      </c>
    </row>
    <row r="7397" spans="1:4" ht="38.25">
      <c r="A7397" s="341">
        <v>39777</v>
      </c>
      <c r="B7397" s="342" t="s">
        <v>8230</v>
      </c>
      <c r="C7397" s="341" t="s">
        <v>7278</v>
      </c>
      <c r="D7397" s="343">
        <v>318.93</v>
      </c>
    </row>
    <row r="7398" spans="1:4" ht="38.25">
      <c r="A7398" s="341">
        <v>11250</v>
      </c>
      <c r="B7398" s="342" t="s">
        <v>8231</v>
      </c>
      <c r="C7398" s="341" t="s">
        <v>7278</v>
      </c>
      <c r="D7398" s="343">
        <v>47.36</v>
      </c>
    </row>
    <row r="7399" spans="1:4" ht="38.25">
      <c r="A7399" s="341">
        <v>39766</v>
      </c>
      <c r="B7399" s="342" t="s">
        <v>8232</v>
      </c>
      <c r="C7399" s="341" t="s">
        <v>7278</v>
      </c>
      <c r="D7399" s="343">
        <v>57.8</v>
      </c>
    </row>
    <row r="7400" spans="1:4" ht="38.25">
      <c r="A7400" s="341">
        <v>11251</v>
      </c>
      <c r="B7400" s="342" t="s">
        <v>8233</v>
      </c>
      <c r="C7400" s="341" t="s">
        <v>7278</v>
      </c>
      <c r="D7400" s="343">
        <v>99.66</v>
      </c>
    </row>
    <row r="7401" spans="1:4" ht="38.25">
      <c r="A7401" s="341">
        <v>39767</v>
      </c>
      <c r="B7401" s="342" t="s">
        <v>8234</v>
      </c>
      <c r="C7401" s="341" t="s">
        <v>7278</v>
      </c>
      <c r="D7401" s="343">
        <v>131.22</v>
      </c>
    </row>
    <row r="7402" spans="1:4" ht="38.25">
      <c r="A7402" s="341">
        <v>11253</v>
      </c>
      <c r="B7402" s="342" t="s">
        <v>8235</v>
      </c>
      <c r="C7402" s="341" t="s">
        <v>7278</v>
      </c>
      <c r="D7402" s="343">
        <v>196.01</v>
      </c>
    </row>
    <row r="7403" spans="1:4" ht="38.25">
      <c r="A7403" s="341">
        <v>11254</v>
      </c>
      <c r="B7403" s="342" t="s">
        <v>8236</v>
      </c>
      <c r="C7403" s="341" t="s">
        <v>7278</v>
      </c>
      <c r="D7403" s="343">
        <v>210.58</v>
      </c>
    </row>
    <row r="7404" spans="1:4" ht="38.25">
      <c r="A7404" s="341">
        <v>11255</v>
      </c>
      <c r="B7404" s="342" t="s">
        <v>8237</v>
      </c>
      <c r="C7404" s="341" t="s">
        <v>7278</v>
      </c>
      <c r="D7404" s="343">
        <v>318.93</v>
      </c>
    </row>
    <row r="7405" spans="1:4" ht="38.25">
      <c r="A7405" s="341">
        <v>11256</v>
      </c>
      <c r="B7405" s="342" t="s">
        <v>8238</v>
      </c>
      <c r="C7405" s="341" t="s">
        <v>7278</v>
      </c>
      <c r="D7405" s="343">
        <v>364.96</v>
      </c>
    </row>
    <row r="7406" spans="1:4" ht="38.25">
      <c r="A7406" s="341">
        <v>14055</v>
      </c>
      <c r="B7406" s="342" t="s">
        <v>8239</v>
      </c>
      <c r="C7406" s="341" t="s">
        <v>7278</v>
      </c>
      <c r="D7406" s="343">
        <v>647.42999999999995</v>
      </c>
    </row>
    <row r="7407" spans="1:4" ht="38.25">
      <c r="A7407" s="341">
        <v>39768</v>
      </c>
      <c r="B7407" s="342" t="s">
        <v>8240</v>
      </c>
      <c r="C7407" s="341" t="s">
        <v>7278</v>
      </c>
      <c r="D7407" s="343">
        <v>690.82</v>
      </c>
    </row>
    <row r="7408" spans="1:4" ht="38.25">
      <c r="A7408" s="341">
        <v>11247</v>
      </c>
      <c r="B7408" s="342" t="s">
        <v>8241</v>
      </c>
      <c r="C7408" s="341" t="s">
        <v>7278</v>
      </c>
      <c r="D7408" s="343">
        <v>927.52</v>
      </c>
    </row>
    <row r="7409" spans="1:4" ht="38.25">
      <c r="A7409" s="341">
        <v>39769</v>
      </c>
      <c r="B7409" s="342" t="s">
        <v>8242</v>
      </c>
      <c r="C7409" s="341" t="s">
        <v>7278</v>
      </c>
      <c r="D7409" s="344">
        <v>1124.43</v>
      </c>
    </row>
    <row r="7410" spans="1:4" ht="38.25">
      <c r="A7410" s="341">
        <v>11249</v>
      </c>
      <c r="B7410" s="342" t="s">
        <v>8243</v>
      </c>
      <c r="C7410" s="341" t="s">
        <v>7278</v>
      </c>
      <c r="D7410" s="344">
        <v>3031.72</v>
      </c>
    </row>
    <row r="7411" spans="1:4" ht="38.25">
      <c r="A7411" s="341">
        <v>39770</v>
      </c>
      <c r="B7411" s="342" t="s">
        <v>8244</v>
      </c>
      <c r="C7411" s="341" t="s">
        <v>7278</v>
      </c>
      <c r="D7411" s="344">
        <v>3942.14</v>
      </c>
    </row>
    <row r="7412" spans="1:4" ht="25.5">
      <c r="A7412" s="341">
        <v>10569</v>
      </c>
      <c r="B7412" s="342" t="s">
        <v>8245</v>
      </c>
      <c r="C7412" s="341" t="s">
        <v>7278</v>
      </c>
      <c r="D7412" s="343">
        <v>2.88</v>
      </c>
    </row>
    <row r="7413" spans="1:4" ht="25.5">
      <c r="A7413" s="341">
        <v>1872</v>
      </c>
      <c r="B7413" s="342" t="s">
        <v>8246</v>
      </c>
      <c r="C7413" s="341" t="s">
        <v>7278</v>
      </c>
      <c r="D7413" s="343">
        <v>1.66</v>
      </c>
    </row>
    <row r="7414" spans="1:4" ht="25.5">
      <c r="A7414" s="341">
        <v>1873</v>
      </c>
      <c r="B7414" s="342" t="s">
        <v>8247</v>
      </c>
      <c r="C7414" s="341" t="s">
        <v>7278</v>
      </c>
      <c r="D7414" s="343">
        <v>3.3</v>
      </c>
    </row>
    <row r="7415" spans="1:4" ht="51">
      <c r="A7415" s="341">
        <v>39693</v>
      </c>
      <c r="B7415" s="342" t="s">
        <v>8248</v>
      </c>
      <c r="C7415" s="341" t="s">
        <v>7278</v>
      </c>
      <c r="D7415" s="344">
        <v>1730.08</v>
      </c>
    </row>
    <row r="7416" spans="1:4" ht="38.25">
      <c r="A7416" s="341">
        <v>39692</v>
      </c>
      <c r="B7416" s="342" t="s">
        <v>8249</v>
      </c>
      <c r="C7416" s="341" t="s">
        <v>7278</v>
      </c>
      <c r="D7416" s="343">
        <v>291.23</v>
      </c>
    </row>
    <row r="7417" spans="1:4" ht="38.25">
      <c r="A7417" s="341">
        <v>39681</v>
      </c>
      <c r="B7417" s="342" t="s">
        <v>8250</v>
      </c>
      <c r="C7417" s="341" t="s">
        <v>7278</v>
      </c>
      <c r="D7417" s="343">
        <v>164.45</v>
      </c>
    </row>
    <row r="7418" spans="1:4" ht="38.25">
      <c r="A7418" s="341">
        <v>39680</v>
      </c>
      <c r="B7418" s="342" t="s">
        <v>8251</v>
      </c>
      <c r="C7418" s="341" t="s">
        <v>7278</v>
      </c>
      <c r="D7418" s="343">
        <v>84.71</v>
      </c>
    </row>
    <row r="7419" spans="1:4" ht="38.25">
      <c r="A7419" s="341">
        <v>39682</v>
      </c>
      <c r="B7419" s="342" t="s">
        <v>8252</v>
      </c>
      <c r="C7419" s="341" t="s">
        <v>7278</v>
      </c>
      <c r="D7419" s="343">
        <v>166.11</v>
      </c>
    </row>
    <row r="7420" spans="1:4" ht="38.25">
      <c r="A7420" s="341">
        <v>39685</v>
      </c>
      <c r="B7420" s="342" t="s">
        <v>8253</v>
      </c>
      <c r="C7420" s="341" t="s">
        <v>7278</v>
      </c>
      <c r="D7420" s="343">
        <v>140.91999999999999</v>
      </c>
    </row>
    <row r="7421" spans="1:4" ht="38.25">
      <c r="A7421" s="341">
        <v>39687</v>
      </c>
      <c r="B7421" s="342" t="s">
        <v>8254</v>
      </c>
      <c r="C7421" s="341" t="s">
        <v>7278</v>
      </c>
      <c r="D7421" s="343">
        <v>265.64</v>
      </c>
    </row>
    <row r="7422" spans="1:4" ht="25.5">
      <c r="A7422" s="341">
        <v>3280</v>
      </c>
      <c r="B7422" s="342" t="s">
        <v>8255</v>
      </c>
      <c r="C7422" s="341" t="s">
        <v>7278</v>
      </c>
      <c r="D7422" s="343">
        <v>106.55</v>
      </c>
    </row>
    <row r="7423" spans="1:4" ht="25.5">
      <c r="A7423" s="341">
        <v>11881</v>
      </c>
      <c r="B7423" s="342" t="s">
        <v>8256</v>
      </c>
      <c r="C7423" s="341" t="s">
        <v>7278</v>
      </c>
      <c r="D7423" s="343">
        <v>49.48</v>
      </c>
    </row>
    <row r="7424" spans="1:4" ht="38.25">
      <c r="A7424" s="341">
        <v>34641</v>
      </c>
      <c r="B7424" s="342" t="s">
        <v>8257</v>
      </c>
      <c r="C7424" s="341" t="s">
        <v>7278</v>
      </c>
      <c r="D7424" s="343">
        <v>39.9</v>
      </c>
    </row>
    <row r="7425" spans="1:4" ht="38.25">
      <c r="A7425" s="341">
        <v>34643</v>
      </c>
      <c r="B7425" s="342" t="s">
        <v>8258</v>
      </c>
      <c r="C7425" s="341" t="s">
        <v>7278</v>
      </c>
      <c r="D7425" s="343">
        <v>10.39</v>
      </c>
    </row>
    <row r="7426" spans="1:4" ht="25.5">
      <c r="A7426" s="341">
        <v>3278</v>
      </c>
      <c r="B7426" s="342" t="s">
        <v>8259</v>
      </c>
      <c r="C7426" s="341" t="s">
        <v>7278</v>
      </c>
      <c r="D7426" s="343">
        <v>55.87</v>
      </c>
    </row>
    <row r="7427" spans="1:4" ht="25.5">
      <c r="A7427" s="341">
        <v>3279</v>
      </c>
      <c r="B7427" s="342" t="s">
        <v>8260</v>
      </c>
      <c r="C7427" s="341" t="s">
        <v>7278</v>
      </c>
      <c r="D7427" s="343">
        <v>92.18</v>
      </c>
    </row>
    <row r="7428" spans="1:4" ht="38.25">
      <c r="A7428" s="341">
        <v>1062</v>
      </c>
      <c r="B7428" s="342" t="s">
        <v>8261</v>
      </c>
      <c r="C7428" s="341" t="s">
        <v>7278</v>
      </c>
      <c r="D7428" s="343">
        <v>149.5</v>
      </c>
    </row>
    <row r="7429" spans="1:4" ht="38.25">
      <c r="A7429" s="341">
        <v>39686</v>
      </c>
      <c r="B7429" s="342" t="s">
        <v>8262</v>
      </c>
      <c r="C7429" s="341" t="s">
        <v>7278</v>
      </c>
      <c r="D7429" s="343">
        <v>255.01</v>
      </c>
    </row>
    <row r="7430" spans="1:4" ht="51">
      <c r="A7430" s="341">
        <v>39683</v>
      </c>
      <c r="B7430" s="342" t="s">
        <v>8263</v>
      </c>
      <c r="C7430" s="341" t="s">
        <v>7278</v>
      </c>
      <c r="D7430" s="343">
        <v>51.85</v>
      </c>
    </row>
    <row r="7431" spans="1:4" ht="38.25">
      <c r="A7431" s="341">
        <v>1871</v>
      </c>
      <c r="B7431" s="342" t="s">
        <v>8264</v>
      </c>
      <c r="C7431" s="341" t="s">
        <v>7278</v>
      </c>
      <c r="D7431" s="343">
        <v>2.97</v>
      </c>
    </row>
    <row r="7432" spans="1:4" ht="38.25">
      <c r="A7432" s="341">
        <v>12001</v>
      </c>
      <c r="B7432" s="342" t="s">
        <v>8265</v>
      </c>
      <c r="C7432" s="341" t="s">
        <v>7278</v>
      </c>
      <c r="D7432" s="343">
        <v>4.29</v>
      </c>
    </row>
    <row r="7433" spans="1:4" ht="25.5">
      <c r="A7433" s="341">
        <v>11882</v>
      </c>
      <c r="B7433" s="342" t="s">
        <v>8266</v>
      </c>
      <c r="C7433" s="341" t="s">
        <v>7278</v>
      </c>
      <c r="D7433" s="343">
        <v>55.87</v>
      </c>
    </row>
    <row r="7434" spans="1:4" ht="51">
      <c r="A7434" s="341">
        <v>39689</v>
      </c>
      <c r="B7434" s="342" t="s">
        <v>8267</v>
      </c>
      <c r="C7434" s="341" t="s">
        <v>7278</v>
      </c>
      <c r="D7434" s="344">
        <v>3322.22</v>
      </c>
    </row>
    <row r="7435" spans="1:4" ht="51">
      <c r="A7435" s="341">
        <v>39688</v>
      </c>
      <c r="B7435" s="342" t="s">
        <v>8268</v>
      </c>
      <c r="C7435" s="341" t="s">
        <v>7278</v>
      </c>
      <c r="D7435" s="343">
        <v>480.06</v>
      </c>
    </row>
    <row r="7436" spans="1:4" ht="51">
      <c r="A7436" s="341">
        <v>1068</v>
      </c>
      <c r="B7436" s="342" t="s">
        <v>8269</v>
      </c>
      <c r="C7436" s="341" t="s">
        <v>7278</v>
      </c>
      <c r="D7436" s="344">
        <v>2004.96</v>
      </c>
    </row>
    <row r="7437" spans="1:4" ht="51">
      <c r="A7437" s="341">
        <v>39690</v>
      </c>
      <c r="B7437" s="342" t="s">
        <v>8270</v>
      </c>
      <c r="C7437" s="341" t="s">
        <v>7278</v>
      </c>
      <c r="D7437" s="344">
        <v>4509.91</v>
      </c>
    </row>
    <row r="7438" spans="1:4" ht="51">
      <c r="A7438" s="341">
        <v>39691</v>
      </c>
      <c r="B7438" s="342" t="s">
        <v>8271</v>
      </c>
      <c r="C7438" s="341" t="s">
        <v>7278</v>
      </c>
      <c r="D7438" s="344">
        <v>5041.47</v>
      </c>
    </row>
    <row r="7439" spans="1:4" ht="38.25">
      <c r="A7439" s="341">
        <v>39808</v>
      </c>
      <c r="B7439" s="342" t="s">
        <v>8272</v>
      </c>
      <c r="C7439" s="341" t="s">
        <v>7278</v>
      </c>
      <c r="D7439" s="343">
        <v>52</v>
      </c>
    </row>
    <row r="7440" spans="1:4" ht="38.25">
      <c r="A7440" s="341">
        <v>39809</v>
      </c>
      <c r="B7440" s="342" t="s">
        <v>8273</v>
      </c>
      <c r="C7440" s="341" t="s">
        <v>7278</v>
      </c>
      <c r="D7440" s="343">
        <v>143.54</v>
      </c>
    </row>
    <row r="7441" spans="1:4" ht="25.5">
      <c r="A7441" s="341">
        <v>11713</v>
      </c>
      <c r="B7441" s="342" t="s">
        <v>8274</v>
      </c>
      <c r="C7441" s="341" t="s">
        <v>7278</v>
      </c>
      <c r="D7441" s="343">
        <v>22.55</v>
      </c>
    </row>
    <row r="7442" spans="1:4" ht="25.5">
      <c r="A7442" s="341">
        <v>11716</v>
      </c>
      <c r="B7442" s="342" t="s">
        <v>8275</v>
      </c>
      <c r="C7442" s="341" t="s">
        <v>7278</v>
      </c>
      <c r="D7442" s="343">
        <v>9.6300000000000008</v>
      </c>
    </row>
    <row r="7443" spans="1:4" ht="25.5">
      <c r="A7443" s="341">
        <v>5103</v>
      </c>
      <c r="B7443" s="342" t="s">
        <v>8276</v>
      </c>
      <c r="C7443" s="341" t="s">
        <v>7278</v>
      </c>
      <c r="D7443" s="343">
        <v>9.76</v>
      </c>
    </row>
    <row r="7444" spans="1:4" ht="25.5">
      <c r="A7444" s="341">
        <v>11712</v>
      </c>
      <c r="B7444" s="342" t="s">
        <v>8277</v>
      </c>
      <c r="C7444" s="341" t="s">
        <v>7278</v>
      </c>
      <c r="D7444" s="343">
        <v>22.74</v>
      </c>
    </row>
    <row r="7445" spans="1:4" ht="25.5">
      <c r="A7445" s="341">
        <v>11717</v>
      </c>
      <c r="B7445" s="342" t="s">
        <v>8278</v>
      </c>
      <c r="C7445" s="341" t="s">
        <v>7278</v>
      </c>
      <c r="D7445" s="343">
        <v>24.71</v>
      </c>
    </row>
    <row r="7446" spans="1:4" ht="25.5">
      <c r="A7446" s="341">
        <v>11714</v>
      </c>
      <c r="B7446" s="342" t="s">
        <v>8279</v>
      </c>
      <c r="C7446" s="341" t="s">
        <v>7278</v>
      </c>
      <c r="D7446" s="343">
        <v>30.74</v>
      </c>
    </row>
    <row r="7447" spans="1:4" ht="25.5">
      <c r="A7447" s="341">
        <v>11715</v>
      </c>
      <c r="B7447" s="342" t="s">
        <v>8280</v>
      </c>
      <c r="C7447" s="341" t="s">
        <v>7278</v>
      </c>
      <c r="D7447" s="343">
        <v>35.369999999999997</v>
      </c>
    </row>
    <row r="7448" spans="1:4" ht="25.5">
      <c r="A7448" s="341">
        <v>11880</v>
      </c>
      <c r="B7448" s="342" t="s">
        <v>8281</v>
      </c>
      <c r="C7448" s="341" t="s">
        <v>7278</v>
      </c>
      <c r="D7448" s="343">
        <v>63.58</v>
      </c>
    </row>
    <row r="7449" spans="1:4">
      <c r="A7449" s="341">
        <v>1106</v>
      </c>
      <c r="B7449" s="342" t="s">
        <v>8282</v>
      </c>
      <c r="C7449" s="341" t="s">
        <v>7338</v>
      </c>
      <c r="D7449" s="343">
        <v>0.56000000000000005</v>
      </c>
    </row>
    <row r="7450" spans="1:4">
      <c r="A7450" s="341">
        <v>11161</v>
      </c>
      <c r="B7450" s="342" t="s">
        <v>8283</v>
      </c>
      <c r="C7450" s="341" t="s">
        <v>7338</v>
      </c>
      <c r="D7450" s="343">
        <v>0.93</v>
      </c>
    </row>
    <row r="7451" spans="1:4" ht="25.5">
      <c r="A7451" s="341">
        <v>1107</v>
      </c>
      <c r="B7451" s="342" t="s">
        <v>8284</v>
      </c>
      <c r="C7451" s="341" t="s">
        <v>7338</v>
      </c>
      <c r="D7451" s="343">
        <v>0.64</v>
      </c>
    </row>
    <row r="7452" spans="1:4">
      <c r="A7452" s="341">
        <v>4758</v>
      </c>
      <c r="B7452" s="342" t="s">
        <v>8285</v>
      </c>
      <c r="C7452" s="341" t="s">
        <v>7275</v>
      </c>
      <c r="D7452" s="343">
        <v>15.44</v>
      </c>
    </row>
    <row r="7453" spans="1:4">
      <c r="A7453" s="341">
        <v>41080</v>
      </c>
      <c r="B7453" s="342" t="s">
        <v>8286</v>
      </c>
      <c r="C7453" s="341" t="s">
        <v>7466</v>
      </c>
      <c r="D7453" s="344">
        <v>2724.65</v>
      </c>
    </row>
    <row r="7454" spans="1:4" ht="25.5">
      <c r="A7454" s="341">
        <v>25963</v>
      </c>
      <c r="B7454" s="342" t="s">
        <v>8287</v>
      </c>
      <c r="C7454" s="341" t="s">
        <v>7338</v>
      </c>
      <c r="D7454" s="343">
        <v>0.09</v>
      </c>
    </row>
    <row r="7455" spans="1:4">
      <c r="A7455" s="341">
        <v>4759</v>
      </c>
      <c r="B7455" s="342" t="s">
        <v>8288</v>
      </c>
      <c r="C7455" s="341" t="s">
        <v>7275</v>
      </c>
      <c r="D7455" s="343">
        <v>12.53</v>
      </c>
    </row>
    <row r="7456" spans="1:4">
      <c r="A7456" s="341">
        <v>41068</v>
      </c>
      <c r="B7456" s="342" t="s">
        <v>8289</v>
      </c>
      <c r="C7456" s="341" t="s">
        <v>7466</v>
      </c>
      <c r="D7456" s="344">
        <v>2211.71</v>
      </c>
    </row>
    <row r="7457" spans="1:4" ht="25.5">
      <c r="A7457" s="341">
        <v>1108</v>
      </c>
      <c r="B7457" s="342" t="s">
        <v>8290</v>
      </c>
      <c r="C7457" s="341" t="s">
        <v>7287</v>
      </c>
      <c r="D7457" s="343">
        <v>20.29</v>
      </c>
    </row>
    <row r="7458" spans="1:4" ht="25.5">
      <c r="A7458" s="341">
        <v>1117</v>
      </c>
      <c r="B7458" s="342" t="s">
        <v>8291</v>
      </c>
      <c r="C7458" s="341" t="s">
        <v>7287</v>
      </c>
      <c r="D7458" s="343">
        <v>23.56</v>
      </c>
    </row>
    <row r="7459" spans="1:4" ht="25.5">
      <c r="A7459" s="341">
        <v>1118</v>
      </c>
      <c r="B7459" s="342" t="s">
        <v>8292</v>
      </c>
      <c r="C7459" s="341" t="s">
        <v>7287</v>
      </c>
      <c r="D7459" s="343">
        <v>30.29</v>
      </c>
    </row>
    <row r="7460" spans="1:4" ht="25.5">
      <c r="A7460" s="341">
        <v>1110</v>
      </c>
      <c r="B7460" s="342" t="s">
        <v>8293</v>
      </c>
      <c r="C7460" s="341" t="s">
        <v>7287</v>
      </c>
      <c r="D7460" s="343">
        <v>30.29</v>
      </c>
    </row>
    <row r="7461" spans="1:4" ht="38.25">
      <c r="A7461" s="341">
        <v>12618</v>
      </c>
      <c r="B7461" s="342" t="s">
        <v>8294</v>
      </c>
      <c r="C7461" s="341" t="s">
        <v>7278</v>
      </c>
      <c r="D7461" s="343">
        <v>43.89</v>
      </c>
    </row>
    <row r="7462" spans="1:4" ht="38.25">
      <c r="A7462" s="341">
        <v>40871</v>
      </c>
      <c r="B7462" s="342" t="s">
        <v>8295</v>
      </c>
      <c r="C7462" s="341" t="s">
        <v>7287</v>
      </c>
      <c r="D7462" s="343">
        <v>53.56</v>
      </c>
    </row>
    <row r="7463" spans="1:4" ht="38.25">
      <c r="A7463" s="341">
        <v>40869</v>
      </c>
      <c r="B7463" s="342" t="s">
        <v>8296</v>
      </c>
      <c r="C7463" s="341" t="s">
        <v>7287</v>
      </c>
      <c r="D7463" s="343">
        <v>19.899999999999999</v>
      </c>
    </row>
    <row r="7464" spans="1:4" ht="38.25">
      <c r="A7464" s="341">
        <v>40870</v>
      </c>
      <c r="B7464" s="342" t="s">
        <v>8297</v>
      </c>
      <c r="C7464" s="341" t="s">
        <v>7287</v>
      </c>
      <c r="D7464" s="343">
        <v>26.97</v>
      </c>
    </row>
    <row r="7465" spans="1:4" ht="25.5">
      <c r="A7465" s="341">
        <v>1109</v>
      </c>
      <c r="B7465" s="342" t="s">
        <v>8298</v>
      </c>
      <c r="C7465" s="341" t="s">
        <v>7287</v>
      </c>
      <c r="D7465" s="343">
        <v>20.190000000000001</v>
      </c>
    </row>
    <row r="7466" spans="1:4" ht="25.5">
      <c r="A7466" s="341">
        <v>1119</v>
      </c>
      <c r="B7466" s="342" t="s">
        <v>8299</v>
      </c>
      <c r="C7466" s="341" t="s">
        <v>7287</v>
      </c>
      <c r="D7466" s="343">
        <v>15.14</v>
      </c>
    </row>
    <row r="7467" spans="1:4" ht="25.5">
      <c r="A7467" s="341">
        <v>13115</v>
      </c>
      <c r="B7467" s="342" t="s">
        <v>8300</v>
      </c>
      <c r="C7467" s="341" t="s">
        <v>7287</v>
      </c>
      <c r="D7467" s="343">
        <v>15.46</v>
      </c>
    </row>
    <row r="7468" spans="1:4" ht="25.5">
      <c r="A7468" s="341">
        <v>10541</v>
      </c>
      <c r="B7468" s="342" t="s">
        <v>8301</v>
      </c>
      <c r="C7468" s="341" t="s">
        <v>7287</v>
      </c>
      <c r="D7468" s="343">
        <v>17.95</v>
      </c>
    </row>
    <row r="7469" spans="1:4" ht="25.5">
      <c r="A7469" s="341">
        <v>10543</v>
      </c>
      <c r="B7469" s="342" t="s">
        <v>8302</v>
      </c>
      <c r="C7469" s="341" t="s">
        <v>7287</v>
      </c>
      <c r="D7469" s="343">
        <v>34.840000000000003</v>
      </c>
    </row>
    <row r="7470" spans="1:4" ht="25.5">
      <c r="A7470" s="341">
        <v>10544</v>
      </c>
      <c r="B7470" s="342" t="s">
        <v>8303</v>
      </c>
      <c r="C7470" s="341" t="s">
        <v>7287</v>
      </c>
      <c r="D7470" s="343">
        <v>41.9</v>
      </c>
    </row>
    <row r="7471" spans="1:4" ht="25.5">
      <c r="A7471" s="341">
        <v>10545</v>
      </c>
      <c r="B7471" s="342" t="s">
        <v>8304</v>
      </c>
      <c r="C7471" s="341" t="s">
        <v>7287</v>
      </c>
      <c r="D7471" s="343">
        <v>64.260000000000005</v>
      </c>
    </row>
    <row r="7472" spans="1:4" ht="25.5">
      <c r="A7472" s="341">
        <v>10542</v>
      </c>
      <c r="B7472" s="342" t="s">
        <v>8305</v>
      </c>
      <c r="C7472" s="341" t="s">
        <v>7287</v>
      </c>
      <c r="D7472" s="343">
        <v>24.74</v>
      </c>
    </row>
    <row r="7473" spans="1:4" ht="25.5">
      <c r="A7473" s="341">
        <v>38365</v>
      </c>
      <c r="B7473" s="342" t="s">
        <v>8306</v>
      </c>
      <c r="C7473" s="341" t="s">
        <v>7273</v>
      </c>
      <c r="D7473" s="343">
        <v>1.44</v>
      </c>
    </row>
    <row r="7474" spans="1:4" ht="51">
      <c r="A7474" s="341">
        <v>37745</v>
      </c>
      <c r="B7474" s="342" t="s">
        <v>8307</v>
      </c>
      <c r="C7474" s="341" t="s">
        <v>7278</v>
      </c>
      <c r="D7474" s="344">
        <v>220000</v>
      </c>
    </row>
    <row r="7475" spans="1:4" ht="51">
      <c r="A7475" s="341">
        <v>37754</v>
      </c>
      <c r="B7475" s="342" t="s">
        <v>8308</v>
      </c>
      <c r="C7475" s="341" t="s">
        <v>7278</v>
      </c>
      <c r="D7475" s="344">
        <v>229746.83</v>
      </c>
    </row>
    <row r="7476" spans="1:4" ht="51">
      <c r="A7476" s="341">
        <v>37748</v>
      </c>
      <c r="B7476" s="342" t="s">
        <v>8309</v>
      </c>
      <c r="C7476" s="341" t="s">
        <v>7278</v>
      </c>
      <c r="D7476" s="344">
        <v>233889.23</v>
      </c>
    </row>
    <row r="7477" spans="1:4" ht="51">
      <c r="A7477" s="341">
        <v>37761</v>
      </c>
      <c r="B7477" s="342" t="s">
        <v>8310</v>
      </c>
      <c r="C7477" s="341" t="s">
        <v>7278</v>
      </c>
      <c r="D7477" s="344">
        <v>193544.29</v>
      </c>
    </row>
    <row r="7478" spans="1:4" ht="51">
      <c r="A7478" s="341">
        <v>37757</v>
      </c>
      <c r="B7478" s="342" t="s">
        <v>8311</v>
      </c>
      <c r="C7478" s="341" t="s">
        <v>7278</v>
      </c>
      <c r="D7478" s="344">
        <v>269430.37</v>
      </c>
    </row>
    <row r="7479" spans="1:4" ht="51">
      <c r="A7479" s="341">
        <v>37759</v>
      </c>
      <c r="B7479" s="342" t="s">
        <v>8312</v>
      </c>
      <c r="C7479" s="341" t="s">
        <v>7278</v>
      </c>
      <c r="D7479" s="344">
        <v>270474.68</v>
      </c>
    </row>
    <row r="7480" spans="1:4" ht="51">
      <c r="A7480" s="341">
        <v>37766</v>
      </c>
      <c r="B7480" s="342" t="s">
        <v>8313</v>
      </c>
      <c r="C7480" s="341" t="s">
        <v>7278</v>
      </c>
      <c r="D7480" s="344">
        <v>270474.65999999997</v>
      </c>
    </row>
    <row r="7481" spans="1:4" ht="51">
      <c r="A7481" s="341">
        <v>37752</v>
      </c>
      <c r="B7481" s="342" t="s">
        <v>8314</v>
      </c>
      <c r="C7481" s="341" t="s">
        <v>7278</v>
      </c>
      <c r="D7481" s="344">
        <v>245272.14</v>
      </c>
    </row>
    <row r="7482" spans="1:4" ht="51">
      <c r="A7482" s="341">
        <v>37760</v>
      </c>
      <c r="B7482" s="342" t="s">
        <v>8315</v>
      </c>
      <c r="C7482" s="341" t="s">
        <v>7278</v>
      </c>
      <c r="D7482" s="344">
        <v>258291.13</v>
      </c>
    </row>
    <row r="7483" spans="1:4" ht="51">
      <c r="A7483" s="341">
        <v>37765</v>
      </c>
      <c r="B7483" s="342" t="s">
        <v>8316</v>
      </c>
      <c r="C7483" s="341" t="s">
        <v>7278</v>
      </c>
      <c r="D7483" s="344">
        <v>180316.46</v>
      </c>
    </row>
    <row r="7484" spans="1:4" ht="51">
      <c r="A7484" s="341">
        <v>37746</v>
      </c>
      <c r="B7484" s="342" t="s">
        <v>8317</v>
      </c>
      <c r="C7484" s="341" t="s">
        <v>7278</v>
      </c>
      <c r="D7484" s="344">
        <v>197686.69</v>
      </c>
    </row>
    <row r="7485" spans="1:4" ht="51">
      <c r="A7485" s="341">
        <v>37750</v>
      </c>
      <c r="B7485" s="342" t="s">
        <v>8318</v>
      </c>
      <c r="C7485" s="341" t="s">
        <v>7278</v>
      </c>
      <c r="D7485" s="344">
        <v>196990.5</v>
      </c>
    </row>
    <row r="7486" spans="1:4" ht="51">
      <c r="A7486" s="341">
        <v>37753</v>
      </c>
      <c r="B7486" s="342" t="s">
        <v>8319</v>
      </c>
      <c r="C7486" s="341" t="s">
        <v>7278</v>
      </c>
      <c r="D7486" s="344">
        <v>196294.29</v>
      </c>
    </row>
    <row r="7487" spans="1:4" ht="51">
      <c r="A7487" s="341">
        <v>37756</v>
      </c>
      <c r="B7487" s="342" t="s">
        <v>8320</v>
      </c>
      <c r="C7487" s="341" t="s">
        <v>7278</v>
      </c>
      <c r="D7487" s="344">
        <v>193544.29</v>
      </c>
    </row>
    <row r="7488" spans="1:4" ht="51">
      <c r="A7488" s="341">
        <v>37755</v>
      </c>
      <c r="B7488" s="342" t="s">
        <v>8321</v>
      </c>
      <c r="C7488" s="341" t="s">
        <v>7278</v>
      </c>
      <c r="D7488" s="344">
        <v>281265.82</v>
      </c>
    </row>
    <row r="7489" spans="1:4" ht="51">
      <c r="A7489" s="341">
        <v>37758</v>
      </c>
      <c r="B7489" s="342" t="s">
        <v>8322</v>
      </c>
      <c r="C7489" s="341" t="s">
        <v>7278</v>
      </c>
      <c r="D7489" s="344">
        <v>317468.36</v>
      </c>
    </row>
    <row r="7490" spans="1:4" ht="51">
      <c r="A7490" s="341">
        <v>37747</v>
      </c>
      <c r="B7490" s="342" t="s">
        <v>8323</v>
      </c>
      <c r="C7490" s="341" t="s">
        <v>7278</v>
      </c>
      <c r="D7490" s="344">
        <v>285651.89</v>
      </c>
    </row>
    <row r="7491" spans="1:4" ht="51">
      <c r="A7491" s="341">
        <v>37767</v>
      </c>
      <c r="B7491" s="342" t="s">
        <v>8324</v>
      </c>
      <c r="C7491" s="341" t="s">
        <v>7278</v>
      </c>
      <c r="D7491" s="344">
        <v>301455.7</v>
      </c>
    </row>
    <row r="7492" spans="1:4" ht="51">
      <c r="A7492" s="341">
        <v>37751</v>
      </c>
      <c r="B7492" s="342" t="s">
        <v>8325</v>
      </c>
      <c r="C7492" s="341" t="s">
        <v>7278</v>
      </c>
      <c r="D7492" s="344">
        <v>301455.7</v>
      </c>
    </row>
    <row r="7493" spans="1:4" ht="63.75">
      <c r="A7493" s="341">
        <v>37749</v>
      </c>
      <c r="B7493" s="342" t="s">
        <v>8326</v>
      </c>
      <c r="C7493" s="341" t="s">
        <v>7278</v>
      </c>
      <c r="D7493" s="344">
        <v>297974.68</v>
      </c>
    </row>
    <row r="7494" spans="1:4" ht="38.25">
      <c r="A7494" s="341">
        <v>13617</v>
      </c>
      <c r="B7494" s="342" t="s">
        <v>8327</v>
      </c>
      <c r="C7494" s="341" t="s">
        <v>7278</v>
      </c>
      <c r="D7494" s="344">
        <v>45119.48</v>
      </c>
    </row>
    <row r="7495" spans="1:4" ht="25.5">
      <c r="A7495" s="341">
        <v>1159</v>
      </c>
      <c r="B7495" s="342" t="s">
        <v>8328</v>
      </c>
      <c r="C7495" s="341" t="s">
        <v>7278</v>
      </c>
      <c r="D7495" s="344">
        <v>147949.01</v>
      </c>
    </row>
    <row r="7496" spans="1:4" ht="25.5">
      <c r="A7496" s="341">
        <v>12114</v>
      </c>
      <c r="B7496" s="342" t="s">
        <v>8329</v>
      </c>
      <c r="C7496" s="341" t="s">
        <v>7278</v>
      </c>
      <c r="D7496" s="343">
        <v>78.150000000000006</v>
      </c>
    </row>
    <row r="7497" spans="1:4" ht="25.5">
      <c r="A7497" s="341">
        <v>38106</v>
      </c>
      <c r="B7497" s="342" t="s">
        <v>8330</v>
      </c>
      <c r="C7497" s="341" t="s">
        <v>7278</v>
      </c>
      <c r="D7497" s="343">
        <v>10.62</v>
      </c>
    </row>
    <row r="7498" spans="1:4" ht="38.25">
      <c r="A7498" s="341">
        <v>38085</v>
      </c>
      <c r="B7498" s="342" t="s">
        <v>8331</v>
      </c>
      <c r="C7498" s="341" t="s">
        <v>7278</v>
      </c>
      <c r="D7498" s="343">
        <v>12.54</v>
      </c>
    </row>
    <row r="7499" spans="1:4" ht="25.5">
      <c r="A7499" s="341">
        <v>38599</v>
      </c>
      <c r="B7499" s="342" t="s">
        <v>8332</v>
      </c>
      <c r="C7499" s="341" t="s">
        <v>7278</v>
      </c>
      <c r="D7499" s="343">
        <v>3.57</v>
      </c>
    </row>
    <row r="7500" spans="1:4" ht="25.5">
      <c r="A7500" s="341">
        <v>38596</v>
      </c>
      <c r="B7500" s="342" t="s">
        <v>8333</v>
      </c>
      <c r="C7500" s="341" t="s">
        <v>7278</v>
      </c>
      <c r="D7500" s="343">
        <v>2.4300000000000002</v>
      </c>
    </row>
    <row r="7501" spans="1:4" ht="25.5">
      <c r="A7501" s="341">
        <v>38600</v>
      </c>
      <c r="B7501" s="342" t="s">
        <v>8334</v>
      </c>
      <c r="C7501" s="341" t="s">
        <v>7278</v>
      </c>
      <c r="D7501" s="343">
        <v>4.2</v>
      </c>
    </row>
    <row r="7502" spans="1:4" ht="25.5">
      <c r="A7502" s="341">
        <v>38597</v>
      </c>
      <c r="B7502" s="342" t="s">
        <v>8335</v>
      </c>
      <c r="C7502" s="341" t="s">
        <v>7278</v>
      </c>
      <c r="D7502" s="343">
        <v>2.98</v>
      </c>
    </row>
    <row r="7503" spans="1:4" ht="25.5">
      <c r="A7503" s="341">
        <v>659</v>
      </c>
      <c r="B7503" s="342" t="s">
        <v>8336</v>
      </c>
      <c r="C7503" s="341" t="s">
        <v>7278</v>
      </c>
      <c r="D7503" s="343">
        <v>1.45</v>
      </c>
    </row>
    <row r="7504" spans="1:4" ht="25.5">
      <c r="A7504" s="341">
        <v>660</v>
      </c>
      <c r="B7504" s="342" t="s">
        <v>8337</v>
      </c>
      <c r="C7504" s="341" t="s">
        <v>7278</v>
      </c>
      <c r="D7504" s="343">
        <v>2.12</v>
      </c>
    </row>
    <row r="7505" spans="1:4" ht="25.5">
      <c r="A7505" s="341">
        <v>658</v>
      </c>
      <c r="B7505" s="342" t="s">
        <v>8338</v>
      </c>
      <c r="C7505" s="341" t="s">
        <v>7278</v>
      </c>
      <c r="D7505" s="343">
        <v>1.1599999999999999</v>
      </c>
    </row>
    <row r="7506" spans="1:4" ht="25.5">
      <c r="A7506" s="341">
        <v>38548</v>
      </c>
      <c r="B7506" s="342" t="s">
        <v>8339</v>
      </c>
      <c r="C7506" s="341" t="s">
        <v>7278</v>
      </c>
      <c r="D7506" s="343">
        <v>1.1100000000000001</v>
      </c>
    </row>
    <row r="7507" spans="1:4" ht="25.5">
      <c r="A7507" s="341">
        <v>34647</v>
      </c>
      <c r="B7507" s="342" t="s">
        <v>8340</v>
      </c>
      <c r="C7507" s="341" t="s">
        <v>7278</v>
      </c>
      <c r="D7507" s="343">
        <v>1.92</v>
      </c>
    </row>
    <row r="7508" spans="1:4" ht="25.5">
      <c r="A7508" s="341">
        <v>34649</v>
      </c>
      <c r="B7508" s="342" t="s">
        <v>8341</v>
      </c>
      <c r="C7508" s="341" t="s">
        <v>7278</v>
      </c>
      <c r="D7508" s="343">
        <v>1.98</v>
      </c>
    </row>
    <row r="7509" spans="1:4" ht="25.5">
      <c r="A7509" s="341">
        <v>34652</v>
      </c>
      <c r="B7509" s="342" t="s">
        <v>8342</v>
      </c>
      <c r="C7509" s="341" t="s">
        <v>7278</v>
      </c>
      <c r="D7509" s="343">
        <v>2.7</v>
      </c>
    </row>
    <row r="7510" spans="1:4" ht="25.5">
      <c r="A7510" s="341">
        <v>34655</v>
      </c>
      <c r="B7510" s="342" t="s">
        <v>8343</v>
      </c>
      <c r="C7510" s="341" t="s">
        <v>7278</v>
      </c>
      <c r="D7510" s="343">
        <v>2.61</v>
      </c>
    </row>
    <row r="7511" spans="1:4" ht="25.5">
      <c r="A7511" s="341">
        <v>40607</v>
      </c>
      <c r="B7511" s="342" t="s">
        <v>8344</v>
      </c>
      <c r="C7511" s="341" t="s">
        <v>7278</v>
      </c>
      <c r="D7511" s="343">
        <v>2.98</v>
      </c>
    </row>
    <row r="7512" spans="1:4" ht="25.5">
      <c r="A7512" s="341">
        <v>585</v>
      </c>
      <c r="B7512" s="342" t="s">
        <v>8345</v>
      </c>
      <c r="C7512" s="341" t="s">
        <v>7338</v>
      </c>
      <c r="D7512" s="343">
        <v>18.66</v>
      </c>
    </row>
    <row r="7513" spans="1:4" ht="25.5">
      <c r="A7513" s="341">
        <v>4777</v>
      </c>
      <c r="B7513" s="342" t="s">
        <v>8346</v>
      </c>
      <c r="C7513" s="341" t="s">
        <v>7338</v>
      </c>
      <c r="D7513" s="343">
        <v>3.6</v>
      </c>
    </row>
    <row r="7514" spans="1:4" ht="25.5">
      <c r="A7514" s="341">
        <v>587</v>
      </c>
      <c r="B7514" s="342" t="s">
        <v>8347</v>
      </c>
      <c r="C7514" s="341" t="s">
        <v>7338</v>
      </c>
      <c r="D7514" s="343">
        <v>20</v>
      </c>
    </row>
    <row r="7515" spans="1:4" ht="25.5">
      <c r="A7515" s="341">
        <v>590</v>
      </c>
      <c r="B7515" s="342" t="s">
        <v>8348</v>
      </c>
      <c r="C7515" s="341" t="s">
        <v>7338</v>
      </c>
      <c r="D7515" s="343">
        <v>19.329999999999998</v>
      </c>
    </row>
    <row r="7516" spans="1:4" ht="25.5">
      <c r="A7516" s="341">
        <v>592</v>
      </c>
      <c r="B7516" s="342" t="s">
        <v>8349</v>
      </c>
      <c r="C7516" s="341" t="s">
        <v>7338</v>
      </c>
      <c r="D7516" s="343">
        <v>20</v>
      </c>
    </row>
    <row r="7517" spans="1:4" ht="25.5">
      <c r="A7517" s="341">
        <v>586</v>
      </c>
      <c r="B7517" s="342" t="s">
        <v>8350</v>
      </c>
      <c r="C7517" s="341" t="s">
        <v>7287</v>
      </c>
      <c r="D7517" s="343">
        <v>11.76</v>
      </c>
    </row>
    <row r="7518" spans="1:4" ht="25.5">
      <c r="A7518" s="341">
        <v>591</v>
      </c>
      <c r="B7518" s="342" t="s">
        <v>8351</v>
      </c>
      <c r="C7518" s="341" t="s">
        <v>7338</v>
      </c>
      <c r="D7518" s="343">
        <v>18.66</v>
      </c>
    </row>
    <row r="7519" spans="1:4" ht="25.5">
      <c r="A7519" s="341">
        <v>588</v>
      </c>
      <c r="B7519" s="342" t="s">
        <v>8352</v>
      </c>
      <c r="C7519" s="341" t="s">
        <v>7287</v>
      </c>
      <c r="D7519" s="343">
        <v>18.600000000000001</v>
      </c>
    </row>
    <row r="7520" spans="1:4">
      <c r="A7520" s="341">
        <v>589</v>
      </c>
      <c r="B7520" s="342" t="s">
        <v>8353</v>
      </c>
      <c r="C7520" s="341" t="s">
        <v>7287</v>
      </c>
      <c r="D7520" s="343">
        <v>31.44</v>
      </c>
    </row>
    <row r="7521" spans="1:4">
      <c r="A7521" s="341">
        <v>584</v>
      </c>
      <c r="B7521" s="342" t="s">
        <v>8354</v>
      </c>
      <c r="C7521" s="341" t="s">
        <v>7287</v>
      </c>
      <c r="D7521" s="343">
        <v>19.86</v>
      </c>
    </row>
    <row r="7522" spans="1:4">
      <c r="A7522" s="341">
        <v>4912</v>
      </c>
      <c r="B7522" s="342" t="s">
        <v>8355</v>
      </c>
      <c r="C7522" s="341" t="s">
        <v>7338</v>
      </c>
      <c r="D7522" s="343">
        <v>4.1900000000000004</v>
      </c>
    </row>
    <row r="7523" spans="1:4" ht="25.5">
      <c r="A7523" s="341">
        <v>574</v>
      </c>
      <c r="B7523" s="342" t="s">
        <v>8356</v>
      </c>
      <c r="C7523" s="341" t="s">
        <v>7287</v>
      </c>
      <c r="D7523" s="343">
        <v>22.79</v>
      </c>
    </row>
    <row r="7524" spans="1:4" ht="25.5">
      <c r="A7524" s="341">
        <v>567</v>
      </c>
      <c r="B7524" s="342" t="s">
        <v>8357</v>
      </c>
      <c r="C7524" s="341" t="s">
        <v>7287</v>
      </c>
      <c r="D7524" s="343">
        <v>8.4499999999999993</v>
      </c>
    </row>
    <row r="7525" spans="1:4" ht="25.5">
      <c r="A7525" s="341">
        <v>568</v>
      </c>
      <c r="B7525" s="342" t="s">
        <v>8358</v>
      </c>
      <c r="C7525" s="341" t="s">
        <v>7287</v>
      </c>
      <c r="D7525" s="343">
        <v>51.14</v>
      </c>
    </row>
    <row r="7526" spans="1:4" ht="25.5">
      <c r="A7526" s="341">
        <v>569</v>
      </c>
      <c r="B7526" s="342" t="s">
        <v>8359</v>
      </c>
      <c r="C7526" s="341" t="s">
        <v>7338</v>
      </c>
      <c r="D7526" s="343">
        <v>7.11</v>
      </c>
    </row>
    <row r="7527" spans="1:4" ht="25.5">
      <c r="A7527" s="341">
        <v>1165</v>
      </c>
      <c r="B7527" s="342" t="s">
        <v>8360</v>
      </c>
      <c r="C7527" s="341" t="s">
        <v>7278</v>
      </c>
      <c r="D7527" s="343">
        <v>9.6999999999999993</v>
      </c>
    </row>
    <row r="7528" spans="1:4" ht="25.5">
      <c r="A7528" s="341">
        <v>1164</v>
      </c>
      <c r="B7528" s="342" t="s">
        <v>8361</v>
      </c>
      <c r="C7528" s="341" t="s">
        <v>7278</v>
      </c>
      <c r="D7528" s="343">
        <v>7.85</v>
      </c>
    </row>
    <row r="7529" spans="1:4" ht="25.5">
      <c r="A7529" s="341">
        <v>1162</v>
      </c>
      <c r="B7529" s="342" t="s">
        <v>8362</v>
      </c>
      <c r="C7529" s="341" t="s">
        <v>7278</v>
      </c>
      <c r="D7529" s="343">
        <v>2.73</v>
      </c>
    </row>
    <row r="7530" spans="1:4" ht="25.5">
      <c r="A7530" s="341">
        <v>12395</v>
      </c>
      <c r="B7530" s="342" t="s">
        <v>8363</v>
      </c>
      <c r="C7530" s="341" t="s">
        <v>7278</v>
      </c>
      <c r="D7530" s="343">
        <v>2.65</v>
      </c>
    </row>
    <row r="7531" spans="1:4" ht="25.5">
      <c r="A7531" s="341">
        <v>1170</v>
      </c>
      <c r="B7531" s="342" t="s">
        <v>8364</v>
      </c>
      <c r="C7531" s="341" t="s">
        <v>7278</v>
      </c>
      <c r="D7531" s="343">
        <v>5.15</v>
      </c>
    </row>
    <row r="7532" spans="1:4" ht="25.5">
      <c r="A7532" s="341">
        <v>1169</v>
      </c>
      <c r="B7532" s="342" t="s">
        <v>8365</v>
      </c>
      <c r="C7532" s="341" t="s">
        <v>7278</v>
      </c>
      <c r="D7532" s="343">
        <v>25.28</v>
      </c>
    </row>
    <row r="7533" spans="1:4" ht="25.5">
      <c r="A7533" s="341">
        <v>1166</v>
      </c>
      <c r="B7533" s="342" t="s">
        <v>8366</v>
      </c>
      <c r="C7533" s="341" t="s">
        <v>7278</v>
      </c>
      <c r="D7533" s="343">
        <v>14.01</v>
      </c>
    </row>
    <row r="7534" spans="1:4" ht="25.5">
      <c r="A7534" s="341">
        <v>1163</v>
      </c>
      <c r="B7534" s="342" t="s">
        <v>8367</v>
      </c>
      <c r="C7534" s="341" t="s">
        <v>7278</v>
      </c>
      <c r="D7534" s="343">
        <v>3.53</v>
      </c>
    </row>
    <row r="7535" spans="1:4" ht="25.5">
      <c r="A7535" s="341">
        <v>12396</v>
      </c>
      <c r="B7535" s="342" t="s">
        <v>8368</v>
      </c>
      <c r="C7535" s="341" t="s">
        <v>7278</v>
      </c>
      <c r="D7535" s="343">
        <v>2.65</v>
      </c>
    </row>
    <row r="7536" spans="1:4" ht="25.5">
      <c r="A7536" s="341">
        <v>1168</v>
      </c>
      <c r="B7536" s="342" t="s">
        <v>8369</v>
      </c>
      <c r="C7536" s="341" t="s">
        <v>7278</v>
      </c>
      <c r="D7536" s="343">
        <v>36.03</v>
      </c>
    </row>
    <row r="7537" spans="1:4" ht="25.5">
      <c r="A7537" s="341">
        <v>1167</v>
      </c>
      <c r="B7537" s="342" t="s">
        <v>8370</v>
      </c>
      <c r="C7537" s="341" t="s">
        <v>7278</v>
      </c>
      <c r="D7537" s="343">
        <v>60.27</v>
      </c>
    </row>
    <row r="7538" spans="1:4" ht="25.5">
      <c r="A7538" s="341">
        <v>36331</v>
      </c>
      <c r="B7538" s="342" t="s">
        <v>8371</v>
      </c>
      <c r="C7538" s="341" t="s">
        <v>7278</v>
      </c>
      <c r="D7538" s="343">
        <v>0.93</v>
      </c>
    </row>
    <row r="7539" spans="1:4" ht="25.5">
      <c r="A7539" s="341">
        <v>36346</v>
      </c>
      <c r="B7539" s="342" t="s">
        <v>8372</v>
      </c>
      <c r="C7539" s="341" t="s">
        <v>7278</v>
      </c>
      <c r="D7539" s="343">
        <v>1.61</v>
      </c>
    </row>
    <row r="7540" spans="1:4" ht="25.5">
      <c r="A7540" s="341">
        <v>1210</v>
      </c>
      <c r="B7540" s="342" t="s">
        <v>8373</v>
      </c>
      <c r="C7540" s="341" t="s">
        <v>7278</v>
      </c>
      <c r="D7540" s="343">
        <v>6.2</v>
      </c>
    </row>
    <row r="7541" spans="1:4" ht="25.5">
      <c r="A7541" s="341">
        <v>1203</v>
      </c>
      <c r="B7541" s="342" t="s">
        <v>8374</v>
      </c>
      <c r="C7541" s="341" t="s">
        <v>7278</v>
      </c>
      <c r="D7541" s="343">
        <v>4.7300000000000004</v>
      </c>
    </row>
    <row r="7542" spans="1:4" ht="25.5">
      <c r="A7542" s="341">
        <v>1197</v>
      </c>
      <c r="B7542" s="342" t="s">
        <v>8375</v>
      </c>
      <c r="C7542" s="341" t="s">
        <v>7278</v>
      </c>
      <c r="D7542" s="343">
        <v>0.92</v>
      </c>
    </row>
    <row r="7543" spans="1:4" ht="25.5">
      <c r="A7543" s="341">
        <v>1202</v>
      </c>
      <c r="B7543" s="342" t="s">
        <v>8376</v>
      </c>
      <c r="C7543" s="341" t="s">
        <v>7278</v>
      </c>
      <c r="D7543" s="343">
        <v>2.48</v>
      </c>
    </row>
    <row r="7544" spans="1:4" ht="25.5">
      <c r="A7544" s="341">
        <v>1188</v>
      </c>
      <c r="B7544" s="342" t="s">
        <v>8377</v>
      </c>
      <c r="C7544" s="341" t="s">
        <v>7278</v>
      </c>
      <c r="D7544" s="343">
        <v>15.69</v>
      </c>
    </row>
    <row r="7545" spans="1:4">
      <c r="A7545" s="341">
        <v>1211</v>
      </c>
      <c r="B7545" s="342" t="s">
        <v>8378</v>
      </c>
      <c r="C7545" s="341" t="s">
        <v>7278</v>
      </c>
      <c r="D7545" s="343">
        <v>8.69</v>
      </c>
    </row>
    <row r="7546" spans="1:4" ht="25.5">
      <c r="A7546" s="341">
        <v>1198</v>
      </c>
      <c r="B7546" s="342" t="s">
        <v>8379</v>
      </c>
      <c r="C7546" s="341" t="s">
        <v>7278</v>
      </c>
      <c r="D7546" s="343">
        <v>1.41</v>
      </c>
    </row>
    <row r="7547" spans="1:4">
      <c r="A7547" s="341">
        <v>1199</v>
      </c>
      <c r="B7547" s="342" t="s">
        <v>8380</v>
      </c>
      <c r="C7547" s="341" t="s">
        <v>7278</v>
      </c>
      <c r="D7547" s="343">
        <v>24.31</v>
      </c>
    </row>
    <row r="7548" spans="1:4" ht="25.5">
      <c r="A7548" s="341">
        <v>20088</v>
      </c>
      <c r="B7548" s="342" t="s">
        <v>8381</v>
      </c>
      <c r="C7548" s="341" t="s">
        <v>7278</v>
      </c>
      <c r="D7548" s="343">
        <v>9.5299999999999994</v>
      </c>
    </row>
    <row r="7549" spans="1:4" ht="25.5">
      <c r="A7549" s="341">
        <v>20089</v>
      </c>
      <c r="B7549" s="342" t="s">
        <v>8382</v>
      </c>
      <c r="C7549" s="341" t="s">
        <v>7278</v>
      </c>
      <c r="D7549" s="343">
        <v>47.48</v>
      </c>
    </row>
    <row r="7550" spans="1:4" ht="25.5">
      <c r="A7550" s="341">
        <v>20087</v>
      </c>
      <c r="B7550" s="342" t="s">
        <v>8383</v>
      </c>
      <c r="C7550" s="341" t="s">
        <v>7278</v>
      </c>
      <c r="D7550" s="343">
        <v>6.44</v>
      </c>
    </row>
    <row r="7551" spans="1:4" ht="25.5">
      <c r="A7551" s="341">
        <v>1200</v>
      </c>
      <c r="B7551" s="342" t="s">
        <v>8384</v>
      </c>
      <c r="C7551" s="341" t="s">
        <v>7278</v>
      </c>
      <c r="D7551" s="343">
        <v>5.76</v>
      </c>
    </row>
    <row r="7552" spans="1:4" ht="25.5">
      <c r="A7552" s="341">
        <v>12909</v>
      </c>
      <c r="B7552" s="342" t="s">
        <v>8385</v>
      </c>
      <c r="C7552" s="341" t="s">
        <v>7278</v>
      </c>
      <c r="D7552" s="343">
        <v>2.5499999999999998</v>
      </c>
    </row>
    <row r="7553" spans="1:4" ht="25.5">
      <c r="A7553" s="341">
        <v>12910</v>
      </c>
      <c r="B7553" s="342" t="s">
        <v>8386</v>
      </c>
      <c r="C7553" s="341" t="s">
        <v>7278</v>
      </c>
      <c r="D7553" s="343">
        <v>4.3499999999999996</v>
      </c>
    </row>
    <row r="7554" spans="1:4" ht="25.5">
      <c r="A7554" s="341">
        <v>1184</v>
      </c>
      <c r="B7554" s="342" t="s">
        <v>8387</v>
      </c>
      <c r="C7554" s="341" t="s">
        <v>7278</v>
      </c>
      <c r="D7554" s="343">
        <v>52.08</v>
      </c>
    </row>
    <row r="7555" spans="1:4" ht="25.5">
      <c r="A7555" s="341">
        <v>1191</v>
      </c>
      <c r="B7555" s="342" t="s">
        <v>8388</v>
      </c>
      <c r="C7555" s="341" t="s">
        <v>7278</v>
      </c>
      <c r="D7555" s="343">
        <v>0.84</v>
      </c>
    </row>
    <row r="7556" spans="1:4" ht="25.5">
      <c r="A7556" s="341">
        <v>1185</v>
      </c>
      <c r="B7556" s="342" t="s">
        <v>8389</v>
      </c>
      <c r="C7556" s="341" t="s">
        <v>7278</v>
      </c>
      <c r="D7556" s="343">
        <v>0.9</v>
      </c>
    </row>
    <row r="7557" spans="1:4" ht="25.5">
      <c r="A7557" s="341">
        <v>1189</v>
      </c>
      <c r="B7557" s="342" t="s">
        <v>8390</v>
      </c>
      <c r="C7557" s="341" t="s">
        <v>7278</v>
      </c>
      <c r="D7557" s="343">
        <v>1.29</v>
      </c>
    </row>
    <row r="7558" spans="1:4" ht="25.5">
      <c r="A7558" s="341">
        <v>1193</v>
      </c>
      <c r="B7558" s="342" t="s">
        <v>8391</v>
      </c>
      <c r="C7558" s="341" t="s">
        <v>7278</v>
      </c>
      <c r="D7558" s="343">
        <v>2.5499999999999998</v>
      </c>
    </row>
    <row r="7559" spans="1:4" ht="25.5">
      <c r="A7559" s="341">
        <v>1194</v>
      </c>
      <c r="B7559" s="342" t="s">
        <v>8392</v>
      </c>
      <c r="C7559" s="341" t="s">
        <v>7278</v>
      </c>
      <c r="D7559" s="343">
        <v>4.72</v>
      </c>
    </row>
    <row r="7560" spans="1:4" ht="25.5">
      <c r="A7560" s="341">
        <v>1195</v>
      </c>
      <c r="B7560" s="342" t="s">
        <v>8393</v>
      </c>
      <c r="C7560" s="341" t="s">
        <v>7278</v>
      </c>
      <c r="D7560" s="343">
        <v>7.22</v>
      </c>
    </row>
    <row r="7561" spans="1:4" ht="25.5">
      <c r="A7561" s="341">
        <v>1204</v>
      </c>
      <c r="B7561" s="342" t="s">
        <v>8394</v>
      </c>
      <c r="C7561" s="341" t="s">
        <v>7278</v>
      </c>
      <c r="D7561" s="343">
        <v>13.34</v>
      </c>
    </row>
    <row r="7562" spans="1:4" ht="25.5">
      <c r="A7562" s="341">
        <v>1205</v>
      </c>
      <c r="B7562" s="342" t="s">
        <v>8395</v>
      </c>
      <c r="C7562" s="341" t="s">
        <v>7278</v>
      </c>
      <c r="D7562" s="343">
        <v>30.07</v>
      </c>
    </row>
    <row r="7563" spans="1:4" ht="25.5">
      <c r="A7563" s="341">
        <v>1207</v>
      </c>
      <c r="B7563" s="342" t="s">
        <v>8396</v>
      </c>
      <c r="C7563" s="341" t="s">
        <v>7278</v>
      </c>
      <c r="D7563" s="343">
        <v>24.43</v>
      </c>
    </row>
    <row r="7564" spans="1:4" ht="25.5">
      <c r="A7564" s="341">
        <v>1206</v>
      </c>
      <c r="B7564" s="342" t="s">
        <v>8397</v>
      </c>
      <c r="C7564" s="341" t="s">
        <v>7278</v>
      </c>
      <c r="D7564" s="343">
        <v>5.86</v>
      </c>
    </row>
    <row r="7565" spans="1:4" ht="25.5">
      <c r="A7565" s="341">
        <v>1183</v>
      </c>
      <c r="B7565" s="342" t="s">
        <v>8398</v>
      </c>
      <c r="C7565" s="341" t="s">
        <v>7278</v>
      </c>
      <c r="D7565" s="343">
        <v>13.11</v>
      </c>
    </row>
    <row r="7566" spans="1:4" ht="25.5">
      <c r="A7566" s="341">
        <v>26047</v>
      </c>
      <c r="B7566" s="342" t="s">
        <v>8399</v>
      </c>
      <c r="C7566" s="341" t="s">
        <v>7278</v>
      </c>
      <c r="D7566" s="343">
        <v>105.33</v>
      </c>
    </row>
    <row r="7567" spans="1:4" ht="25.5">
      <c r="A7567" s="341">
        <v>26048</v>
      </c>
      <c r="B7567" s="342" t="s">
        <v>8400</v>
      </c>
      <c r="C7567" s="341" t="s">
        <v>7278</v>
      </c>
      <c r="D7567" s="343">
        <v>156.93</v>
      </c>
    </row>
    <row r="7568" spans="1:4" ht="25.5">
      <c r="A7568" s="341">
        <v>12894</v>
      </c>
      <c r="B7568" s="342" t="s">
        <v>8401</v>
      </c>
      <c r="C7568" s="341" t="s">
        <v>7278</v>
      </c>
      <c r="D7568" s="343">
        <v>17.96</v>
      </c>
    </row>
    <row r="7569" spans="1:4" ht="38.25">
      <c r="A7569" s="341">
        <v>12895</v>
      </c>
      <c r="B7569" s="342" t="s">
        <v>8402</v>
      </c>
      <c r="C7569" s="341" t="s">
        <v>7278</v>
      </c>
      <c r="D7569" s="343">
        <v>13.82</v>
      </c>
    </row>
    <row r="7570" spans="1:4" ht="51">
      <c r="A7570" s="341">
        <v>1631</v>
      </c>
      <c r="B7570" s="342" t="s">
        <v>8403</v>
      </c>
      <c r="C7570" s="341" t="s">
        <v>7278</v>
      </c>
      <c r="D7570" s="343">
        <v>100.14</v>
      </c>
    </row>
    <row r="7571" spans="1:4" ht="51">
      <c r="A7571" s="341">
        <v>1633</v>
      </c>
      <c r="B7571" s="342" t="s">
        <v>8404</v>
      </c>
      <c r="C7571" s="341" t="s">
        <v>7278</v>
      </c>
      <c r="D7571" s="343">
        <v>170.15</v>
      </c>
    </row>
    <row r="7572" spans="1:4" ht="25.5">
      <c r="A7572" s="341">
        <v>10818</v>
      </c>
      <c r="B7572" s="342" t="s">
        <v>8405</v>
      </c>
      <c r="C7572" s="341" t="s">
        <v>7338</v>
      </c>
      <c r="D7572" s="343">
        <v>23</v>
      </c>
    </row>
    <row r="7573" spans="1:4" ht="76.5">
      <c r="A7573" s="341">
        <v>39359</v>
      </c>
      <c r="B7573" s="342" t="s">
        <v>8406</v>
      </c>
      <c r="C7573" s="341" t="s">
        <v>7278</v>
      </c>
      <c r="D7573" s="343">
        <v>22.32</v>
      </c>
    </row>
    <row r="7574" spans="1:4" ht="76.5">
      <c r="A7574" s="341">
        <v>39360</v>
      </c>
      <c r="B7574" s="342" t="s">
        <v>8407</v>
      </c>
      <c r="C7574" s="341" t="s">
        <v>7278</v>
      </c>
      <c r="D7574" s="343">
        <v>20.28</v>
      </c>
    </row>
    <row r="7575" spans="1:4" ht="25.5">
      <c r="A7575" s="341">
        <v>10710</v>
      </c>
      <c r="B7575" s="342" t="s">
        <v>8408</v>
      </c>
      <c r="C7575" s="341" t="s">
        <v>7273</v>
      </c>
      <c r="D7575" s="343">
        <v>67.42</v>
      </c>
    </row>
    <row r="7576" spans="1:4" ht="25.5">
      <c r="A7576" s="341">
        <v>10709</v>
      </c>
      <c r="B7576" s="342" t="s">
        <v>8409</v>
      </c>
      <c r="C7576" s="341" t="s">
        <v>7273</v>
      </c>
      <c r="D7576" s="343">
        <v>82.83</v>
      </c>
    </row>
    <row r="7577" spans="1:4" ht="38.25">
      <c r="A7577" s="341">
        <v>39636</v>
      </c>
      <c r="B7577" s="342" t="s">
        <v>8410</v>
      </c>
      <c r="C7577" s="341" t="s">
        <v>7273</v>
      </c>
      <c r="D7577" s="343">
        <v>84.58</v>
      </c>
    </row>
    <row r="7578" spans="1:4" ht="38.25">
      <c r="A7578" s="341">
        <v>10708</v>
      </c>
      <c r="B7578" s="342" t="s">
        <v>8411</v>
      </c>
      <c r="C7578" s="341" t="s">
        <v>7273</v>
      </c>
      <c r="D7578" s="343">
        <v>26.1</v>
      </c>
    </row>
    <row r="7579" spans="1:4" ht="38.25">
      <c r="A7579" s="341">
        <v>39635</v>
      </c>
      <c r="B7579" s="342" t="s">
        <v>8412</v>
      </c>
      <c r="C7579" s="341" t="s">
        <v>7273</v>
      </c>
      <c r="D7579" s="343">
        <v>44.43</v>
      </c>
    </row>
    <row r="7580" spans="1:4">
      <c r="A7580" s="341">
        <v>6117</v>
      </c>
      <c r="B7580" s="342" t="s">
        <v>8413</v>
      </c>
      <c r="C7580" s="341" t="s">
        <v>7275</v>
      </c>
      <c r="D7580" s="343">
        <v>9.98</v>
      </c>
    </row>
    <row r="7581" spans="1:4">
      <c r="A7581" s="341">
        <v>40913</v>
      </c>
      <c r="B7581" s="342" t="s">
        <v>8414</v>
      </c>
      <c r="C7581" s="341" t="s">
        <v>7466</v>
      </c>
      <c r="D7581" s="344">
        <v>1762.04</v>
      </c>
    </row>
    <row r="7582" spans="1:4">
      <c r="A7582" s="341">
        <v>1214</v>
      </c>
      <c r="B7582" s="342" t="s">
        <v>8415</v>
      </c>
      <c r="C7582" s="341" t="s">
        <v>7275</v>
      </c>
      <c r="D7582" s="343">
        <v>13.83</v>
      </c>
    </row>
    <row r="7583" spans="1:4">
      <c r="A7583" s="341">
        <v>40915</v>
      </c>
      <c r="B7583" s="342" t="s">
        <v>8416</v>
      </c>
      <c r="C7583" s="341" t="s">
        <v>7466</v>
      </c>
      <c r="D7583" s="344">
        <v>2442.09</v>
      </c>
    </row>
    <row r="7584" spans="1:4">
      <c r="A7584" s="341">
        <v>1213</v>
      </c>
      <c r="B7584" s="342" t="s">
        <v>8417</v>
      </c>
      <c r="C7584" s="341" t="s">
        <v>7275</v>
      </c>
      <c r="D7584" s="343">
        <v>12.68</v>
      </c>
    </row>
    <row r="7585" spans="1:4">
      <c r="A7585" s="341">
        <v>40914</v>
      </c>
      <c r="B7585" s="342" t="s">
        <v>8418</v>
      </c>
      <c r="C7585" s="341" t="s">
        <v>7466</v>
      </c>
      <c r="D7585" s="344">
        <v>2236.52</v>
      </c>
    </row>
    <row r="7586" spans="1:4" ht="38.25">
      <c r="A7586" s="341">
        <v>5091</v>
      </c>
      <c r="B7586" s="342" t="s">
        <v>8419</v>
      </c>
      <c r="C7586" s="341" t="s">
        <v>7278</v>
      </c>
      <c r="D7586" s="343">
        <v>15.08</v>
      </c>
    </row>
    <row r="7587" spans="1:4" ht="51">
      <c r="A7587" s="341">
        <v>14615</v>
      </c>
      <c r="B7587" s="342" t="s">
        <v>8420</v>
      </c>
      <c r="C7587" s="341" t="s">
        <v>7278</v>
      </c>
      <c r="D7587" s="344">
        <v>3298.56</v>
      </c>
    </row>
    <row r="7588" spans="1:4" ht="25.5">
      <c r="A7588" s="341">
        <v>2711</v>
      </c>
      <c r="B7588" s="342" t="s">
        <v>8421</v>
      </c>
      <c r="C7588" s="341" t="s">
        <v>7278</v>
      </c>
      <c r="D7588" s="343">
        <v>99.9</v>
      </c>
    </row>
    <row r="7589" spans="1:4" ht="51">
      <c r="A7589" s="341">
        <v>37727</v>
      </c>
      <c r="B7589" s="342" t="s">
        <v>8422</v>
      </c>
      <c r="C7589" s="341" t="s">
        <v>7278</v>
      </c>
      <c r="D7589" s="344">
        <v>9000</v>
      </c>
    </row>
    <row r="7590" spans="1:4" ht="51">
      <c r="A7590" s="341">
        <v>37728</v>
      </c>
      <c r="B7590" s="342" t="s">
        <v>8423</v>
      </c>
      <c r="C7590" s="341" t="s">
        <v>7278</v>
      </c>
      <c r="D7590" s="344">
        <v>12209.79</v>
      </c>
    </row>
    <row r="7591" spans="1:4" ht="51">
      <c r="A7591" s="341">
        <v>37729</v>
      </c>
      <c r="B7591" s="342" t="s">
        <v>8424</v>
      </c>
      <c r="C7591" s="341" t="s">
        <v>7278</v>
      </c>
      <c r="D7591" s="344">
        <v>13216.78</v>
      </c>
    </row>
    <row r="7592" spans="1:4" ht="51">
      <c r="A7592" s="341">
        <v>37730</v>
      </c>
      <c r="B7592" s="342" t="s">
        <v>8425</v>
      </c>
      <c r="C7592" s="341" t="s">
        <v>7278</v>
      </c>
      <c r="D7592" s="344">
        <v>14223.77</v>
      </c>
    </row>
    <row r="7593" spans="1:4" ht="51">
      <c r="A7593" s="341">
        <v>37731</v>
      </c>
      <c r="B7593" s="342" t="s">
        <v>8426</v>
      </c>
      <c r="C7593" s="341" t="s">
        <v>7278</v>
      </c>
      <c r="D7593" s="344">
        <v>15230.76</v>
      </c>
    </row>
    <row r="7594" spans="1:4" ht="51">
      <c r="A7594" s="341">
        <v>37732</v>
      </c>
      <c r="B7594" s="342" t="s">
        <v>8427</v>
      </c>
      <c r="C7594" s="341" t="s">
        <v>7278</v>
      </c>
      <c r="D7594" s="344">
        <v>17370.62</v>
      </c>
    </row>
    <row r="7595" spans="1:4" ht="38.25">
      <c r="A7595" s="341">
        <v>42250</v>
      </c>
      <c r="B7595" s="342" t="s">
        <v>8428</v>
      </c>
      <c r="C7595" s="341" t="s">
        <v>8429</v>
      </c>
      <c r="D7595" s="344">
        <v>1704.87</v>
      </c>
    </row>
    <row r="7596" spans="1:4" ht="51">
      <c r="A7596" s="341">
        <v>42256</v>
      </c>
      <c r="B7596" s="342" t="s">
        <v>8430</v>
      </c>
      <c r="C7596" s="341" t="s">
        <v>7338</v>
      </c>
      <c r="D7596" s="343">
        <v>3.57</v>
      </c>
    </row>
    <row r="7597" spans="1:4">
      <c r="A7597" s="341">
        <v>4743</v>
      </c>
      <c r="B7597" s="342" t="s">
        <v>8431</v>
      </c>
      <c r="C7597" s="341" t="s">
        <v>7283</v>
      </c>
      <c r="D7597" s="343">
        <v>29.56</v>
      </c>
    </row>
    <row r="7598" spans="1:4">
      <c r="A7598" s="341">
        <v>4744</v>
      </c>
      <c r="B7598" s="342" t="s">
        <v>8432</v>
      </c>
      <c r="C7598" s="341" t="s">
        <v>7283</v>
      </c>
      <c r="D7598" s="343">
        <v>38.65</v>
      </c>
    </row>
    <row r="7599" spans="1:4">
      <c r="A7599" s="341">
        <v>4745</v>
      </c>
      <c r="B7599" s="342" t="s">
        <v>8433</v>
      </c>
      <c r="C7599" s="341" t="s">
        <v>7283</v>
      </c>
      <c r="D7599" s="343">
        <v>51.78</v>
      </c>
    </row>
    <row r="7600" spans="1:4" ht="76.5">
      <c r="A7600" s="341">
        <v>36496</v>
      </c>
      <c r="B7600" s="342" t="s">
        <v>8434</v>
      </c>
      <c r="C7600" s="341" t="s">
        <v>7278</v>
      </c>
      <c r="D7600" s="344">
        <v>8374.99</v>
      </c>
    </row>
    <row r="7601" spans="1:4" ht="63.75">
      <c r="A7601" s="341">
        <v>10630</v>
      </c>
      <c r="B7601" s="342" t="s">
        <v>8435</v>
      </c>
      <c r="C7601" s="341" t="s">
        <v>7278</v>
      </c>
      <c r="D7601" s="344">
        <v>404662.75</v>
      </c>
    </row>
    <row r="7602" spans="1:4" ht="63.75">
      <c r="A7602" s="341">
        <v>37762</v>
      </c>
      <c r="B7602" s="342" t="s">
        <v>8436</v>
      </c>
      <c r="C7602" s="341" t="s">
        <v>7278</v>
      </c>
      <c r="D7602" s="344">
        <v>347054.55</v>
      </c>
    </row>
    <row r="7603" spans="1:4" ht="63.75">
      <c r="A7603" s="341">
        <v>37763</v>
      </c>
      <c r="B7603" s="342" t="s">
        <v>8437</v>
      </c>
      <c r="C7603" s="341" t="s">
        <v>7278</v>
      </c>
      <c r="D7603" s="344">
        <v>351269.77</v>
      </c>
    </row>
    <row r="7604" spans="1:4" ht="51">
      <c r="A7604" s="341">
        <v>41992</v>
      </c>
      <c r="B7604" s="342" t="s">
        <v>8438</v>
      </c>
      <c r="C7604" s="341" t="s">
        <v>7278</v>
      </c>
      <c r="D7604" s="344">
        <v>399323.48</v>
      </c>
    </row>
    <row r="7605" spans="1:4" ht="63.75">
      <c r="A7605" s="341">
        <v>13215</v>
      </c>
      <c r="B7605" s="342" t="s">
        <v>8439</v>
      </c>
      <c r="C7605" s="341" t="s">
        <v>7278</v>
      </c>
      <c r="D7605" s="344">
        <v>489670.05</v>
      </c>
    </row>
    <row r="7606" spans="1:4" ht="25.5">
      <c r="A7606" s="341">
        <v>4235</v>
      </c>
      <c r="B7606" s="342" t="s">
        <v>8440</v>
      </c>
      <c r="C7606" s="341" t="s">
        <v>7275</v>
      </c>
      <c r="D7606" s="343">
        <v>7.79</v>
      </c>
    </row>
    <row r="7607" spans="1:4" ht="25.5">
      <c r="A7607" s="341">
        <v>40976</v>
      </c>
      <c r="B7607" s="342" t="s">
        <v>8441</v>
      </c>
      <c r="C7607" s="341" t="s">
        <v>7466</v>
      </c>
      <c r="D7607" s="344">
        <v>1376.45</v>
      </c>
    </row>
    <row r="7608" spans="1:4" ht="38.25">
      <c r="A7608" s="341">
        <v>39013</v>
      </c>
      <c r="B7608" s="342" t="s">
        <v>8442</v>
      </c>
      <c r="C7608" s="341" t="s">
        <v>7278</v>
      </c>
      <c r="D7608" s="343">
        <v>0.84</v>
      </c>
    </row>
    <row r="7609" spans="1:4">
      <c r="A7609" s="341">
        <v>41967</v>
      </c>
      <c r="B7609" s="342" t="s">
        <v>8443</v>
      </c>
      <c r="C7609" s="341" t="s">
        <v>7340</v>
      </c>
      <c r="D7609" s="343">
        <v>22.39</v>
      </c>
    </row>
    <row r="7610" spans="1:4" ht="38.25">
      <c r="A7610" s="341">
        <v>12760</v>
      </c>
      <c r="B7610" s="342" t="s">
        <v>8444</v>
      </c>
      <c r="C7610" s="341" t="s">
        <v>7273</v>
      </c>
      <c r="D7610" s="343">
        <v>865.56</v>
      </c>
    </row>
    <row r="7611" spans="1:4" ht="38.25">
      <c r="A7611" s="341">
        <v>12759</v>
      </c>
      <c r="B7611" s="342" t="s">
        <v>8445</v>
      </c>
      <c r="C7611" s="341" t="s">
        <v>7273</v>
      </c>
      <c r="D7611" s="343">
        <v>577.03</v>
      </c>
    </row>
    <row r="7612" spans="1:4" ht="38.25">
      <c r="A7612" s="341">
        <v>40424</v>
      </c>
      <c r="B7612" s="342" t="s">
        <v>8446</v>
      </c>
      <c r="C7612" s="341" t="s">
        <v>7338</v>
      </c>
      <c r="D7612" s="343">
        <v>4.87</v>
      </c>
    </row>
    <row r="7613" spans="1:4" ht="25.5">
      <c r="A7613" s="341">
        <v>1325</v>
      </c>
      <c r="B7613" s="342" t="s">
        <v>8447</v>
      </c>
      <c r="C7613" s="341" t="s">
        <v>7338</v>
      </c>
      <c r="D7613" s="343">
        <v>5.93</v>
      </c>
    </row>
    <row r="7614" spans="1:4" ht="25.5">
      <c r="A7614" s="341">
        <v>1327</v>
      </c>
      <c r="B7614" s="342" t="s">
        <v>8448</v>
      </c>
      <c r="C7614" s="341" t="s">
        <v>7338</v>
      </c>
      <c r="D7614" s="343">
        <v>5.31</v>
      </c>
    </row>
    <row r="7615" spans="1:4" ht="25.5">
      <c r="A7615" s="341">
        <v>1328</v>
      </c>
      <c r="B7615" s="342" t="s">
        <v>8449</v>
      </c>
      <c r="C7615" s="341" t="s">
        <v>7338</v>
      </c>
      <c r="D7615" s="343">
        <v>5.56</v>
      </c>
    </row>
    <row r="7616" spans="1:4" ht="25.5">
      <c r="A7616" s="341">
        <v>1321</v>
      </c>
      <c r="B7616" s="342" t="s">
        <v>8450</v>
      </c>
      <c r="C7616" s="341" t="s">
        <v>7338</v>
      </c>
      <c r="D7616" s="343">
        <v>5.96</v>
      </c>
    </row>
    <row r="7617" spans="1:4" ht="25.5">
      <c r="A7617" s="341">
        <v>1318</v>
      </c>
      <c r="B7617" s="342" t="s">
        <v>8451</v>
      </c>
      <c r="C7617" s="341" t="s">
        <v>7338</v>
      </c>
      <c r="D7617" s="343">
        <v>5.73</v>
      </c>
    </row>
    <row r="7618" spans="1:4" ht="25.5">
      <c r="A7618" s="341">
        <v>1322</v>
      </c>
      <c r="B7618" s="342" t="s">
        <v>8452</v>
      </c>
      <c r="C7618" s="341" t="s">
        <v>7338</v>
      </c>
      <c r="D7618" s="343">
        <v>6.32</v>
      </c>
    </row>
    <row r="7619" spans="1:4" ht="25.5">
      <c r="A7619" s="341">
        <v>1323</v>
      </c>
      <c r="B7619" s="342" t="s">
        <v>8453</v>
      </c>
      <c r="C7619" s="341" t="s">
        <v>7338</v>
      </c>
      <c r="D7619" s="343">
        <v>6.18</v>
      </c>
    </row>
    <row r="7620" spans="1:4" ht="25.5">
      <c r="A7620" s="341">
        <v>1319</v>
      </c>
      <c r="B7620" s="342" t="s">
        <v>8454</v>
      </c>
      <c r="C7620" s="341" t="s">
        <v>7338</v>
      </c>
      <c r="D7620" s="343">
        <v>5.46</v>
      </c>
    </row>
    <row r="7621" spans="1:4" ht="25.5">
      <c r="A7621" s="341">
        <v>11026</v>
      </c>
      <c r="B7621" s="342" t="s">
        <v>8455</v>
      </c>
      <c r="C7621" s="341" t="s">
        <v>7338</v>
      </c>
      <c r="D7621" s="343">
        <v>7.32</v>
      </c>
    </row>
    <row r="7622" spans="1:4" ht="25.5">
      <c r="A7622" s="341">
        <v>11027</v>
      </c>
      <c r="B7622" s="342" t="s">
        <v>8456</v>
      </c>
      <c r="C7622" s="341" t="s">
        <v>7338</v>
      </c>
      <c r="D7622" s="343">
        <v>7.77</v>
      </c>
    </row>
    <row r="7623" spans="1:4" ht="25.5">
      <c r="A7623" s="341">
        <v>11046</v>
      </c>
      <c r="B7623" s="342" t="s">
        <v>8457</v>
      </c>
      <c r="C7623" s="341" t="s">
        <v>7338</v>
      </c>
      <c r="D7623" s="343">
        <v>7.55</v>
      </c>
    </row>
    <row r="7624" spans="1:4" ht="25.5">
      <c r="A7624" s="341">
        <v>11047</v>
      </c>
      <c r="B7624" s="342" t="s">
        <v>8458</v>
      </c>
      <c r="C7624" s="341" t="s">
        <v>7338</v>
      </c>
      <c r="D7624" s="343">
        <v>5.7</v>
      </c>
    </row>
    <row r="7625" spans="1:4" ht="25.5">
      <c r="A7625" s="341">
        <v>39630</v>
      </c>
      <c r="B7625" s="342" t="s">
        <v>8459</v>
      </c>
      <c r="C7625" s="341" t="s">
        <v>7273</v>
      </c>
      <c r="D7625" s="343">
        <v>52.99</v>
      </c>
    </row>
    <row r="7626" spans="1:4" ht="25.5">
      <c r="A7626" s="341">
        <v>11049</v>
      </c>
      <c r="B7626" s="342" t="s">
        <v>8460</v>
      </c>
      <c r="C7626" s="341" t="s">
        <v>7338</v>
      </c>
      <c r="D7626" s="343">
        <v>7.03</v>
      </c>
    </row>
    <row r="7627" spans="1:4" ht="25.5">
      <c r="A7627" s="341">
        <v>39632</v>
      </c>
      <c r="B7627" s="342" t="s">
        <v>8461</v>
      </c>
      <c r="C7627" s="341" t="s">
        <v>7273</v>
      </c>
      <c r="D7627" s="343">
        <v>36.97</v>
      </c>
    </row>
    <row r="7628" spans="1:4" ht="25.5">
      <c r="A7628" s="341">
        <v>11051</v>
      </c>
      <c r="B7628" s="342" t="s">
        <v>8462</v>
      </c>
      <c r="C7628" s="341" t="s">
        <v>7338</v>
      </c>
      <c r="D7628" s="343">
        <v>7.55</v>
      </c>
    </row>
    <row r="7629" spans="1:4" ht="25.5">
      <c r="A7629" s="341">
        <v>11061</v>
      </c>
      <c r="B7629" s="342" t="s">
        <v>8463</v>
      </c>
      <c r="C7629" s="341" t="s">
        <v>7338</v>
      </c>
      <c r="D7629" s="343">
        <v>5.28</v>
      </c>
    </row>
    <row r="7630" spans="1:4" ht="25.5">
      <c r="A7630" s="341">
        <v>1336</v>
      </c>
      <c r="B7630" s="342" t="s">
        <v>8464</v>
      </c>
      <c r="C7630" s="341" t="s">
        <v>7273</v>
      </c>
      <c r="D7630" s="344">
        <v>1413.85</v>
      </c>
    </row>
    <row r="7631" spans="1:4" ht="25.5">
      <c r="A7631" s="341">
        <v>1333</v>
      </c>
      <c r="B7631" s="342" t="s">
        <v>8465</v>
      </c>
      <c r="C7631" s="341" t="s">
        <v>7338</v>
      </c>
      <c r="D7631" s="343">
        <v>5.49</v>
      </c>
    </row>
    <row r="7632" spans="1:4" ht="25.5">
      <c r="A7632" s="341">
        <v>1330</v>
      </c>
      <c r="B7632" s="342" t="s">
        <v>8466</v>
      </c>
      <c r="C7632" s="341" t="s">
        <v>7338</v>
      </c>
      <c r="D7632" s="343">
        <v>5.63</v>
      </c>
    </row>
    <row r="7633" spans="1:4" ht="25.5">
      <c r="A7633" s="341">
        <v>10957</v>
      </c>
      <c r="B7633" s="342" t="s">
        <v>8467</v>
      </c>
      <c r="C7633" s="341" t="s">
        <v>7338</v>
      </c>
      <c r="D7633" s="343">
        <v>7.03</v>
      </c>
    </row>
    <row r="7634" spans="1:4" ht="25.5">
      <c r="A7634" s="341">
        <v>1332</v>
      </c>
      <c r="B7634" s="342" t="s">
        <v>8468</v>
      </c>
      <c r="C7634" s="341" t="s">
        <v>7338</v>
      </c>
      <c r="D7634" s="343">
        <v>5.86</v>
      </c>
    </row>
    <row r="7635" spans="1:4" ht="25.5">
      <c r="A7635" s="341">
        <v>1334</v>
      </c>
      <c r="B7635" s="342" t="s">
        <v>8469</v>
      </c>
      <c r="C7635" s="341" t="s">
        <v>7338</v>
      </c>
      <c r="D7635" s="343">
        <v>6.48</v>
      </c>
    </row>
    <row r="7636" spans="1:4" ht="25.5">
      <c r="A7636" s="341">
        <v>1335</v>
      </c>
      <c r="B7636" s="342" t="s">
        <v>8470</v>
      </c>
      <c r="C7636" s="341" t="s">
        <v>7338</v>
      </c>
      <c r="D7636" s="343">
        <v>6.58</v>
      </c>
    </row>
    <row r="7637" spans="1:4" ht="25.5">
      <c r="A7637" s="341">
        <v>40425</v>
      </c>
      <c r="B7637" s="342" t="s">
        <v>8471</v>
      </c>
      <c r="C7637" s="341" t="s">
        <v>7338</v>
      </c>
      <c r="D7637" s="343">
        <v>4.9000000000000004</v>
      </c>
    </row>
    <row r="7638" spans="1:4" ht="25.5">
      <c r="A7638" s="341">
        <v>1337</v>
      </c>
      <c r="B7638" s="342" t="s">
        <v>8472</v>
      </c>
      <c r="C7638" s="341" t="s">
        <v>7338</v>
      </c>
      <c r="D7638" s="343">
        <v>6.93</v>
      </c>
    </row>
    <row r="7639" spans="1:4" ht="25.5">
      <c r="A7639" s="341">
        <v>11122</v>
      </c>
      <c r="B7639" s="342" t="s">
        <v>8473</v>
      </c>
      <c r="C7639" s="341" t="s">
        <v>7338</v>
      </c>
      <c r="D7639" s="343">
        <v>15.6</v>
      </c>
    </row>
    <row r="7640" spans="1:4" ht="25.5">
      <c r="A7640" s="341">
        <v>11123</v>
      </c>
      <c r="B7640" s="342" t="s">
        <v>8474</v>
      </c>
      <c r="C7640" s="341" t="s">
        <v>7338</v>
      </c>
      <c r="D7640" s="343">
        <v>15.6</v>
      </c>
    </row>
    <row r="7641" spans="1:4" ht="25.5">
      <c r="A7641" s="341">
        <v>11125</v>
      </c>
      <c r="B7641" s="342" t="s">
        <v>8475</v>
      </c>
      <c r="C7641" s="341" t="s">
        <v>7338</v>
      </c>
      <c r="D7641" s="343">
        <v>15.6</v>
      </c>
    </row>
    <row r="7642" spans="1:4" ht="38.25">
      <c r="A7642" s="341">
        <v>39416</v>
      </c>
      <c r="B7642" s="342" t="s">
        <v>8476</v>
      </c>
      <c r="C7642" s="341" t="s">
        <v>7273</v>
      </c>
      <c r="D7642" s="343">
        <v>29.41</v>
      </c>
    </row>
    <row r="7643" spans="1:4" ht="38.25">
      <c r="A7643" s="341">
        <v>39417</v>
      </c>
      <c r="B7643" s="342" t="s">
        <v>8477</v>
      </c>
      <c r="C7643" s="341" t="s">
        <v>7273</v>
      </c>
      <c r="D7643" s="343">
        <v>30.83</v>
      </c>
    </row>
    <row r="7644" spans="1:4" ht="38.25">
      <c r="A7644" s="341">
        <v>39414</v>
      </c>
      <c r="B7644" s="342" t="s">
        <v>8478</v>
      </c>
      <c r="C7644" s="341" t="s">
        <v>7273</v>
      </c>
      <c r="D7644" s="343">
        <v>27.62</v>
      </c>
    </row>
    <row r="7645" spans="1:4" ht="38.25">
      <c r="A7645" s="341">
        <v>39415</v>
      </c>
      <c r="B7645" s="342" t="s">
        <v>8479</v>
      </c>
      <c r="C7645" s="341" t="s">
        <v>7273</v>
      </c>
      <c r="D7645" s="343">
        <v>29.27</v>
      </c>
    </row>
    <row r="7646" spans="1:4" ht="38.25">
      <c r="A7646" s="341">
        <v>39412</v>
      </c>
      <c r="B7646" s="342" t="s">
        <v>8480</v>
      </c>
      <c r="C7646" s="341" t="s">
        <v>7273</v>
      </c>
      <c r="D7646" s="343">
        <v>20.8</v>
      </c>
    </row>
    <row r="7647" spans="1:4" ht="38.25">
      <c r="A7647" s="341">
        <v>39413</v>
      </c>
      <c r="B7647" s="342" t="s">
        <v>8481</v>
      </c>
      <c r="C7647" s="341" t="s">
        <v>7273</v>
      </c>
      <c r="D7647" s="343">
        <v>20.6</v>
      </c>
    </row>
    <row r="7648" spans="1:4" ht="25.5">
      <c r="A7648" s="341">
        <v>1338</v>
      </c>
      <c r="B7648" s="342" t="s">
        <v>8482</v>
      </c>
      <c r="C7648" s="341" t="s">
        <v>7273</v>
      </c>
      <c r="D7648" s="343">
        <v>23.08</v>
      </c>
    </row>
    <row r="7649" spans="1:4" ht="25.5">
      <c r="A7649" s="341">
        <v>1340</v>
      </c>
      <c r="B7649" s="342" t="s">
        <v>8483</v>
      </c>
      <c r="C7649" s="341" t="s">
        <v>7273</v>
      </c>
      <c r="D7649" s="343">
        <v>26.68</v>
      </c>
    </row>
    <row r="7650" spans="1:4" ht="25.5">
      <c r="A7650" s="341">
        <v>1341</v>
      </c>
      <c r="B7650" s="342" t="s">
        <v>8484</v>
      </c>
      <c r="C7650" s="341" t="s">
        <v>7273</v>
      </c>
      <c r="D7650" s="343">
        <v>25.7</v>
      </c>
    </row>
    <row r="7651" spans="1:4" ht="38.25">
      <c r="A7651" s="341">
        <v>1364</v>
      </c>
      <c r="B7651" s="342" t="s">
        <v>8485</v>
      </c>
      <c r="C7651" s="341" t="s">
        <v>7273</v>
      </c>
      <c r="D7651" s="343">
        <v>19.61</v>
      </c>
    </row>
    <row r="7652" spans="1:4" ht="38.25">
      <c r="A7652" s="341">
        <v>1361</v>
      </c>
      <c r="B7652" s="342" t="s">
        <v>8486</v>
      </c>
      <c r="C7652" s="341" t="s">
        <v>7278</v>
      </c>
      <c r="D7652" s="343">
        <v>81.78</v>
      </c>
    </row>
    <row r="7653" spans="1:4" ht="38.25">
      <c r="A7653" s="341">
        <v>1362</v>
      </c>
      <c r="B7653" s="342" t="s">
        <v>8487</v>
      </c>
      <c r="C7653" s="341" t="s">
        <v>7273</v>
      </c>
      <c r="D7653" s="343">
        <v>27.3</v>
      </c>
    </row>
    <row r="7654" spans="1:4" ht="38.25">
      <c r="A7654" s="341">
        <v>11131</v>
      </c>
      <c r="B7654" s="342" t="s">
        <v>8488</v>
      </c>
      <c r="C7654" s="341" t="s">
        <v>7273</v>
      </c>
      <c r="D7654" s="343">
        <v>34.94</v>
      </c>
    </row>
    <row r="7655" spans="1:4" ht="38.25">
      <c r="A7655" s="341">
        <v>11132</v>
      </c>
      <c r="B7655" s="342" t="s">
        <v>8489</v>
      </c>
      <c r="C7655" s="341" t="s">
        <v>7273</v>
      </c>
      <c r="D7655" s="343">
        <v>41.31</v>
      </c>
    </row>
    <row r="7656" spans="1:4" ht="38.25">
      <c r="A7656" s="341">
        <v>1363</v>
      </c>
      <c r="B7656" s="342" t="s">
        <v>8490</v>
      </c>
      <c r="C7656" s="341" t="s">
        <v>7273</v>
      </c>
      <c r="D7656" s="343">
        <v>13.89</v>
      </c>
    </row>
    <row r="7657" spans="1:4" ht="38.25">
      <c r="A7657" s="341">
        <v>11130</v>
      </c>
      <c r="B7657" s="342" t="s">
        <v>8491</v>
      </c>
      <c r="C7657" s="341" t="s">
        <v>7273</v>
      </c>
      <c r="D7657" s="343">
        <v>17.59</v>
      </c>
    </row>
    <row r="7658" spans="1:4" ht="25.5">
      <c r="A7658" s="341">
        <v>11134</v>
      </c>
      <c r="B7658" s="342" t="s">
        <v>8492</v>
      </c>
      <c r="C7658" s="341" t="s">
        <v>7273</v>
      </c>
      <c r="D7658" s="343">
        <v>27.77</v>
      </c>
    </row>
    <row r="7659" spans="1:4" ht="25.5">
      <c r="A7659" s="341">
        <v>11135</v>
      </c>
      <c r="B7659" s="342" t="s">
        <v>8493</v>
      </c>
      <c r="C7659" s="341" t="s">
        <v>7273</v>
      </c>
      <c r="D7659" s="343">
        <v>33.85</v>
      </c>
    </row>
    <row r="7660" spans="1:4" ht="25.5">
      <c r="A7660" s="341">
        <v>11136</v>
      </c>
      <c r="B7660" s="342" t="s">
        <v>8494</v>
      </c>
      <c r="C7660" s="341" t="s">
        <v>7273</v>
      </c>
      <c r="D7660" s="343">
        <v>36.61</v>
      </c>
    </row>
    <row r="7661" spans="1:4" ht="25.5">
      <c r="A7661" s="341">
        <v>34743</v>
      </c>
      <c r="B7661" s="342" t="s">
        <v>8495</v>
      </c>
      <c r="C7661" s="341" t="s">
        <v>7273</v>
      </c>
      <c r="D7661" s="343">
        <v>46.61</v>
      </c>
    </row>
    <row r="7662" spans="1:4" ht="25.5">
      <c r="A7662" s="341">
        <v>11137</v>
      </c>
      <c r="B7662" s="342" t="s">
        <v>8496</v>
      </c>
      <c r="C7662" s="341" t="s">
        <v>7273</v>
      </c>
      <c r="D7662" s="343">
        <v>51.98</v>
      </c>
    </row>
    <row r="7663" spans="1:4" ht="25.5">
      <c r="A7663" s="341">
        <v>34745</v>
      </c>
      <c r="B7663" s="342" t="s">
        <v>8497</v>
      </c>
      <c r="C7663" s="341" t="s">
        <v>7273</v>
      </c>
      <c r="D7663" s="343">
        <v>59.24</v>
      </c>
    </row>
    <row r="7664" spans="1:4" ht="25.5">
      <c r="A7664" s="341">
        <v>34746</v>
      </c>
      <c r="B7664" s="342" t="s">
        <v>8498</v>
      </c>
      <c r="C7664" s="341" t="s">
        <v>7273</v>
      </c>
      <c r="D7664" s="343">
        <v>15.25</v>
      </c>
    </row>
    <row r="7665" spans="1:4" ht="25.5">
      <c r="A7665" s="341">
        <v>1360</v>
      </c>
      <c r="B7665" s="342" t="s">
        <v>8499</v>
      </c>
      <c r="C7665" s="341" t="s">
        <v>7273</v>
      </c>
      <c r="D7665" s="343">
        <v>18.84</v>
      </c>
    </row>
    <row r="7666" spans="1:4" ht="38.25">
      <c r="A7666" s="341">
        <v>1346</v>
      </c>
      <c r="B7666" s="342" t="s">
        <v>8500</v>
      </c>
      <c r="C7666" s="341" t="s">
        <v>7273</v>
      </c>
      <c r="D7666" s="343">
        <v>22.36</v>
      </c>
    </row>
    <row r="7667" spans="1:4" ht="38.25">
      <c r="A7667" s="341">
        <v>1345</v>
      </c>
      <c r="B7667" s="342" t="s">
        <v>8501</v>
      </c>
      <c r="C7667" s="341" t="s">
        <v>7273</v>
      </c>
      <c r="D7667" s="343">
        <v>36.229999999999997</v>
      </c>
    </row>
    <row r="7668" spans="1:4" ht="38.25">
      <c r="A7668" s="341">
        <v>1344</v>
      </c>
      <c r="B7668" s="342" t="s">
        <v>8502</v>
      </c>
      <c r="C7668" s="341" t="s">
        <v>7278</v>
      </c>
      <c r="D7668" s="343">
        <v>38.96</v>
      </c>
    </row>
    <row r="7669" spans="1:4" ht="38.25">
      <c r="A7669" s="341">
        <v>1342</v>
      </c>
      <c r="B7669" s="342" t="s">
        <v>8503</v>
      </c>
      <c r="C7669" s="341" t="s">
        <v>7278</v>
      </c>
      <c r="D7669" s="343">
        <v>68.87</v>
      </c>
    </row>
    <row r="7670" spans="1:4" ht="38.25">
      <c r="A7670" s="341">
        <v>1347</v>
      </c>
      <c r="B7670" s="342" t="s">
        <v>8504</v>
      </c>
      <c r="C7670" s="341" t="s">
        <v>7273</v>
      </c>
      <c r="D7670" s="343">
        <v>26.72</v>
      </c>
    </row>
    <row r="7671" spans="1:4" ht="38.25">
      <c r="A7671" s="341">
        <v>1349</v>
      </c>
      <c r="B7671" s="342" t="s">
        <v>8505</v>
      </c>
      <c r="C7671" s="341" t="s">
        <v>7278</v>
      </c>
      <c r="D7671" s="343">
        <v>98.23</v>
      </c>
    </row>
    <row r="7672" spans="1:4" ht="38.25">
      <c r="A7672" s="341">
        <v>1350</v>
      </c>
      <c r="B7672" s="342" t="s">
        <v>8506</v>
      </c>
      <c r="C7672" s="341" t="s">
        <v>7278</v>
      </c>
      <c r="D7672" s="343">
        <v>37</v>
      </c>
    </row>
    <row r="7673" spans="1:4" ht="38.25">
      <c r="A7673" s="341">
        <v>1357</v>
      </c>
      <c r="B7673" s="342" t="s">
        <v>8507</v>
      </c>
      <c r="C7673" s="341" t="s">
        <v>7278</v>
      </c>
      <c r="D7673" s="343">
        <v>47.13</v>
      </c>
    </row>
    <row r="7674" spans="1:4" ht="38.25">
      <c r="A7674" s="341">
        <v>1355</v>
      </c>
      <c r="B7674" s="342" t="s">
        <v>8508</v>
      </c>
      <c r="C7674" s="341" t="s">
        <v>7273</v>
      </c>
      <c r="D7674" s="343">
        <v>21.69</v>
      </c>
    </row>
    <row r="7675" spans="1:4" ht="38.25">
      <c r="A7675" s="341">
        <v>1358</v>
      </c>
      <c r="B7675" s="342" t="s">
        <v>8509</v>
      </c>
      <c r="C7675" s="341" t="s">
        <v>7273</v>
      </c>
      <c r="D7675" s="343">
        <v>25.13</v>
      </c>
    </row>
    <row r="7676" spans="1:4" ht="38.25">
      <c r="A7676" s="341">
        <v>1359</v>
      </c>
      <c r="B7676" s="342" t="s">
        <v>8510</v>
      </c>
      <c r="C7676" s="341" t="s">
        <v>7278</v>
      </c>
      <c r="D7676" s="343">
        <v>72.81</v>
      </c>
    </row>
    <row r="7677" spans="1:4" ht="38.25">
      <c r="A7677" s="341">
        <v>1351</v>
      </c>
      <c r="B7677" s="342" t="s">
        <v>8511</v>
      </c>
      <c r="C7677" s="341" t="s">
        <v>7278</v>
      </c>
      <c r="D7677" s="343">
        <v>23.46</v>
      </c>
    </row>
    <row r="7678" spans="1:4" ht="25.5">
      <c r="A7678" s="341">
        <v>34659</v>
      </c>
      <c r="B7678" s="342" t="s">
        <v>8512</v>
      </c>
      <c r="C7678" s="341" t="s">
        <v>7273</v>
      </c>
      <c r="D7678" s="343">
        <v>19.670000000000002</v>
      </c>
    </row>
    <row r="7679" spans="1:4" ht="25.5">
      <c r="A7679" s="341">
        <v>34514</v>
      </c>
      <c r="B7679" s="342" t="s">
        <v>8513</v>
      </c>
      <c r="C7679" s="341" t="s">
        <v>7273</v>
      </c>
      <c r="D7679" s="343">
        <v>21.79</v>
      </c>
    </row>
    <row r="7680" spans="1:4" ht="25.5">
      <c r="A7680" s="341">
        <v>34660</v>
      </c>
      <c r="B7680" s="342" t="s">
        <v>8514</v>
      </c>
      <c r="C7680" s="341" t="s">
        <v>7273</v>
      </c>
      <c r="D7680" s="343">
        <v>27.65</v>
      </c>
    </row>
    <row r="7681" spans="1:4" ht="25.5">
      <c r="A7681" s="341">
        <v>34661</v>
      </c>
      <c r="B7681" s="342" t="s">
        <v>8515</v>
      </c>
      <c r="C7681" s="341" t="s">
        <v>7273</v>
      </c>
      <c r="D7681" s="343">
        <v>39.71</v>
      </c>
    </row>
    <row r="7682" spans="1:4" ht="25.5">
      <c r="A7682" s="341">
        <v>34667</v>
      </c>
      <c r="B7682" s="342" t="s">
        <v>8516</v>
      </c>
      <c r="C7682" s="341" t="s">
        <v>7273</v>
      </c>
      <c r="D7682" s="343">
        <v>14.38</v>
      </c>
    </row>
    <row r="7683" spans="1:4" ht="25.5">
      <c r="A7683" s="341">
        <v>34668</v>
      </c>
      <c r="B7683" s="342" t="s">
        <v>8517</v>
      </c>
      <c r="C7683" s="341" t="s">
        <v>7273</v>
      </c>
      <c r="D7683" s="343">
        <v>18.79</v>
      </c>
    </row>
    <row r="7684" spans="1:4" ht="25.5">
      <c r="A7684" s="341">
        <v>34741</v>
      </c>
      <c r="B7684" s="342" t="s">
        <v>8518</v>
      </c>
      <c r="C7684" s="341" t="s">
        <v>7273</v>
      </c>
      <c r="D7684" s="343">
        <v>20.68</v>
      </c>
    </row>
    <row r="7685" spans="1:4" ht="25.5">
      <c r="A7685" s="341">
        <v>34664</v>
      </c>
      <c r="B7685" s="342" t="s">
        <v>8519</v>
      </c>
      <c r="C7685" s="341" t="s">
        <v>7273</v>
      </c>
      <c r="D7685" s="343">
        <v>22.56</v>
      </c>
    </row>
    <row r="7686" spans="1:4" ht="25.5">
      <c r="A7686" s="341">
        <v>34665</v>
      </c>
      <c r="B7686" s="342" t="s">
        <v>8520</v>
      </c>
      <c r="C7686" s="341" t="s">
        <v>7273</v>
      </c>
      <c r="D7686" s="343">
        <v>28.01</v>
      </c>
    </row>
    <row r="7687" spans="1:4" ht="25.5">
      <c r="A7687" s="341">
        <v>34666</v>
      </c>
      <c r="B7687" s="342" t="s">
        <v>8521</v>
      </c>
      <c r="C7687" s="341" t="s">
        <v>7273</v>
      </c>
      <c r="D7687" s="343">
        <v>42.31</v>
      </c>
    </row>
    <row r="7688" spans="1:4" ht="25.5">
      <c r="A7688" s="341">
        <v>34669</v>
      </c>
      <c r="B7688" s="342" t="s">
        <v>8522</v>
      </c>
      <c r="C7688" s="341" t="s">
        <v>7273</v>
      </c>
      <c r="D7688" s="343">
        <v>15.51</v>
      </c>
    </row>
    <row r="7689" spans="1:4" ht="25.5">
      <c r="A7689" s="341">
        <v>34670</v>
      </c>
      <c r="B7689" s="342" t="s">
        <v>8523</v>
      </c>
      <c r="C7689" s="341" t="s">
        <v>7273</v>
      </c>
      <c r="D7689" s="343">
        <v>18.97</v>
      </c>
    </row>
    <row r="7690" spans="1:4" ht="25.5">
      <c r="A7690" s="341">
        <v>34671</v>
      </c>
      <c r="B7690" s="342" t="s">
        <v>8524</v>
      </c>
      <c r="C7690" s="341" t="s">
        <v>7273</v>
      </c>
      <c r="D7690" s="343">
        <v>15.84</v>
      </c>
    </row>
    <row r="7691" spans="1:4" ht="25.5">
      <c r="A7691" s="341">
        <v>34672</v>
      </c>
      <c r="B7691" s="342" t="s">
        <v>8525</v>
      </c>
      <c r="C7691" s="341" t="s">
        <v>7273</v>
      </c>
      <c r="D7691" s="343">
        <v>16.7</v>
      </c>
    </row>
    <row r="7692" spans="1:4" ht="25.5">
      <c r="A7692" s="341">
        <v>34673</v>
      </c>
      <c r="B7692" s="342" t="s">
        <v>8526</v>
      </c>
      <c r="C7692" s="341" t="s">
        <v>7273</v>
      </c>
      <c r="D7692" s="343">
        <v>20.38</v>
      </c>
    </row>
    <row r="7693" spans="1:4" ht="25.5">
      <c r="A7693" s="341">
        <v>34674</v>
      </c>
      <c r="B7693" s="342" t="s">
        <v>8527</v>
      </c>
      <c r="C7693" s="341" t="s">
        <v>7273</v>
      </c>
      <c r="D7693" s="343">
        <v>27.09</v>
      </c>
    </row>
    <row r="7694" spans="1:4" ht="25.5">
      <c r="A7694" s="341">
        <v>34675</v>
      </c>
      <c r="B7694" s="342" t="s">
        <v>8528</v>
      </c>
      <c r="C7694" s="341" t="s">
        <v>7273</v>
      </c>
      <c r="D7694" s="343">
        <v>33.03</v>
      </c>
    </row>
    <row r="7695" spans="1:4">
      <c r="A7695" s="341">
        <v>34676</v>
      </c>
      <c r="B7695" s="342" t="s">
        <v>8529</v>
      </c>
      <c r="C7695" s="341" t="s">
        <v>7273</v>
      </c>
      <c r="D7695" s="343">
        <v>9.51</v>
      </c>
    </row>
    <row r="7696" spans="1:4">
      <c r="A7696" s="341">
        <v>34677</v>
      </c>
      <c r="B7696" s="342" t="s">
        <v>8530</v>
      </c>
      <c r="C7696" s="341" t="s">
        <v>7273</v>
      </c>
      <c r="D7696" s="343">
        <v>12.78</v>
      </c>
    </row>
    <row r="7697" spans="1:4" ht="51">
      <c r="A7697" s="341">
        <v>40623</v>
      </c>
      <c r="B7697" s="342" t="s">
        <v>8531</v>
      </c>
      <c r="C7697" s="341" t="s">
        <v>7735</v>
      </c>
      <c r="D7697" s="343">
        <v>30.89</v>
      </c>
    </row>
    <row r="7698" spans="1:4" ht="25.5">
      <c r="A7698" s="341">
        <v>11112</v>
      </c>
      <c r="B7698" s="342" t="s">
        <v>8532</v>
      </c>
      <c r="C7698" s="341" t="s">
        <v>7338</v>
      </c>
      <c r="D7698" s="343">
        <v>15.6</v>
      </c>
    </row>
    <row r="7699" spans="1:4" ht="25.5">
      <c r="A7699" s="341">
        <v>11115</v>
      </c>
      <c r="B7699" s="342" t="s">
        <v>8533</v>
      </c>
      <c r="C7699" s="341" t="s">
        <v>7287</v>
      </c>
      <c r="D7699" s="343">
        <v>7.22</v>
      </c>
    </row>
    <row r="7700" spans="1:4" ht="25.5">
      <c r="A7700" s="341">
        <v>11113</v>
      </c>
      <c r="B7700" s="342" t="s">
        <v>8534</v>
      </c>
      <c r="C7700" s="341" t="s">
        <v>7338</v>
      </c>
      <c r="D7700" s="343">
        <v>15.6</v>
      </c>
    </row>
    <row r="7701" spans="1:4" ht="25.5">
      <c r="A7701" s="341">
        <v>11114</v>
      </c>
      <c r="B7701" s="342" t="s">
        <v>8535</v>
      </c>
      <c r="C7701" s="341" t="s">
        <v>7287</v>
      </c>
      <c r="D7701" s="343">
        <v>12</v>
      </c>
    </row>
    <row r="7702" spans="1:4" ht="51">
      <c r="A7702" s="341">
        <v>12083</v>
      </c>
      <c r="B7702" s="342" t="s">
        <v>8536</v>
      </c>
      <c r="C7702" s="341" t="s">
        <v>7278</v>
      </c>
      <c r="D7702" s="343">
        <v>561.29</v>
      </c>
    </row>
    <row r="7703" spans="1:4" ht="51">
      <c r="A7703" s="341">
        <v>12081</v>
      </c>
      <c r="B7703" s="342" t="s">
        <v>8537</v>
      </c>
      <c r="C7703" s="341" t="s">
        <v>7278</v>
      </c>
      <c r="D7703" s="343">
        <v>189.81</v>
      </c>
    </row>
    <row r="7704" spans="1:4" ht="51">
      <c r="A7704" s="341">
        <v>12082</v>
      </c>
      <c r="B7704" s="342" t="s">
        <v>8538</v>
      </c>
      <c r="C7704" s="341" t="s">
        <v>7278</v>
      </c>
      <c r="D7704" s="343">
        <v>298.31</v>
      </c>
    </row>
    <row r="7705" spans="1:4" ht="51">
      <c r="A7705" s="341">
        <v>13354</v>
      </c>
      <c r="B7705" s="342" t="s">
        <v>8539</v>
      </c>
      <c r="C7705" s="341" t="s">
        <v>7278</v>
      </c>
      <c r="D7705" s="343">
        <v>445.53</v>
      </c>
    </row>
    <row r="7706" spans="1:4" ht="51">
      <c r="A7706" s="341">
        <v>14057</v>
      </c>
      <c r="B7706" s="342" t="s">
        <v>8540</v>
      </c>
      <c r="C7706" s="341" t="s">
        <v>7278</v>
      </c>
      <c r="D7706" s="343">
        <v>248.75</v>
      </c>
    </row>
    <row r="7707" spans="1:4" ht="51">
      <c r="A7707" s="341">
        <v>14058</v>
      </c>
      <c r="B7707" s="342" t="s">
        <v>8541</v>
      </c>
      <c r="C7707" s="341" t="s">
        <v>7278</v>
      </c>
      <c r="D7707" s="343">
        <v>392.39</v>
      </c>
    </row>
    <row r="7708" spans="1:4" ht="38.25">
      <c r="A7708" s="341">
        <v>20971</v>
      </c>
      <c r="B7708" s="342" t="s">
        <v>8542</v>
      </c>
      <c r="C7708" s="341" t="s">
        <v>7278</v>
      </c>
      <c r="D7708" s="343">
        <v>13.66</v>
      </c>
    </row>
    <row r="7709" spans="1:4" ht="76.5">
      <c r="A7709" s="341">
        <v>5047</v>
      </c>
      <c r="B7709" s="342" t="s">
        <v>8543</v>
      </c>
      <c r="C7709" s="341" t="s">
        <v>7278</v>
      </c>
      <c r="D7709" s="343">
        <v>267.33999999999997</v>
      </c>
    </row>
    <row r="7710" spans="1:4" ht="51">
      <c r="A7710" s="341">
        <v>13369</v>
      </c>
      <c r="B7710" s="342" t="s">
        <v>8544</v>
      </c>
      <c r="C7710" s="341" t="s">
        <v>7278</v>
      </c>
      <c r="D7710" s="343">
        <v>289.99</v>
      </c>
    </row>
    <row r="7711" spans="1:4" ht="51">
      <c r="A7711" s="341">
        <v>13370</v>
      </c>
      <c r="B7711" s="342" t="s">
        <v>8545</v>
      </c>
      <c r="C7711" s="341" t="s">
        <v>7278</v>
      </c>
      <c r="D7711" s="343">
        <v>402</v>
      </c>
    </row>
    <row r="7712" spans="1:4" ht="25.5">
      <c r="A7712" s="341">
        <v>13279</v>
      </c>
      <c r="B7712" s="342" t="s">
        <v>8546</v>
      </c>
      <c r="C7712" s="341" t="s">
        <v>7338</v>
      </c>
      <c r="D7712" s="343">
        <v>11</v>
      </c>
    </row>
    <row r="7713" spans="1:4" ht="25.5">
      <c r="A7713" s="341">
        <v>11977</v>
      </c>
      <c r="B7713" s="342" t="s">
        <v>8547</v>
      </c>
      <c r="C7713" s="341" t="s">
        <v>7278</v>
      </c>
      <c r="D7713" s="343">
        <v>5.69</v>
      </c>
    </row>
    <row r="7714" spans="1:4" ht="25.5">
      <c r="A7714" s="341">
        <v>11975</v>
      </c>
      <c r="B7714" s="342" t="s">
        <v>8548</v>
      </c>
      <c r="C7714" s="341" t="s">
        <v>7278</v>
      </c>
      <c r="D7714" s="343">
        <v>12.49</v>
      </c>
    </row>
    <row r="7715" spans="1:4" ht="38.25">
      <c r="A7715" s="341">
        <v>39746</v>
      </c>
      <c r="B7715" s="342" t="s">
        <v>8549</v>
      </c>
      <c r="C7715" s="341" t="s">
        <v>7278</v>
      </c>
      <c r="D7715" s="343">
        <v>138.97</v>
      </c>
    </row>
    <row r="7716" spans="1:4" ht="25.5">
      <c r="A7716" s="341">
        <v>11976</v>
      </c>
      <c r="B7716" s="342" t="s">
        <v>8550</v>
      </c>
      <c r="C7716" s="341" t="s">
        <v>7278</v>
      </c>
      <c r="D7716" s="343">
        <v>0.63</v>
      </c>
    </row>
    <row r="7717" spans="1:4" ht="25.5">
      <c r="A7717" s="341">
        <v>1368</v>
      </c>
      <c r="B7717" s="342" t="s">
        <v>8551</v>
      </c>
      <c r="C7717" s="341" t="s">
        <v>7278</v>
      </c>
      <c r="D7717" s="343">
        <v>52.1</v>
      </c>
    </row>
    <row r="7718" spans="1:4" ht="25.5">
      <c r="A7718" s="341">
        <v>1367</v>
      </c>
      <c r="B7718" s="342" t="s">
        <v>8552</v>
      </c>
      <c r="C7718" s="341" t="s">
        <v>7278</v>
      </c>
      <c r="D7718" s="343">
        <v>168.52</v>
      </c>
    </row>
    <row r="7719" spans="1:4" ht="25.5">
      <c r="A7719" s="341">
        <v>7608</v>
      </c>
      <c r="B7719" s="342" t="s">
        <v>8553</v>
      </c>
      <c r="C7719" s="341" t="s">
        <v>7278</v>
      </c>
      <c r="D7719" s="343">
        <v>3.91</v>
      </c>
    </row>
    <row r="7720" spans="1:4" ht="38.25">
      <c r="A7720" s="341">
        <v>41900</v>
      </c>
      <c r="B7720" s="342" t="s">
        <v>8554</v>
      </c>
      <c r="C7720" s="341" t="s">
        <v>7338</v>
      </c>
      <c r="D7720" s="343">
        <v>2.56</v>
      </c>
    </row>
    <row r="7721" spans="1:4" ht="38.25">
      <c r="A7721" s="341">
        <v>41899</v>
      </c>
      <c r="B7721" s="342" t="s">
        <v>8555</v>
      </c>
      <c r="C7721" s="341" t="s">
        <v>8429</v>
      </c>
      <c r="D7721" s="344">
        <v>2635.89</v>
      </c>
    </row>
    <row r="7722" spans="1:4">
      <c r="A7722" s="341">
        <v>1380</v>
      </c>
      <c r="B7722" s="342" t="s">
        <v>8556</v>
      </c>
      <c r="C7722" s="341" t="s">
        <v>7338</v>
      </c>
      <c r="D7722" s="343">
        <v>3.04</v>
      </c>
    </row>
    <row r="7723" spans="1:4" ht="25.5">
      <c r="A7723" s="341">
        <v>1375</v>
      </c>
      <c r="B7723" s="342" t="s">
        <v>8557</v>
      </c>
      <c r="C7723" s="341" t="s">
        <v>7338</v>
      </c>
      <c r="D7723" s="343">
        <v>9.85</v>
      </c>
    </row>
    <row r="7724" spans="1:4">
      <c r="A7724" s="341">
        <v>1379</v>
      </c>
      <c r="B7724" s="342" t="s">
        <v>8558</v>
      </c>
      <c r="C7724" s="341" t="s">
        <v>7338</v>
      </c>
      <c r="D7724" s="343">
        <v>0.51</v>
      </c>
    </row>
    <row r="7725" spans="1:4" ht="25.5">
      <c r="A7725" s="341">
        <v>10511</v>
      </c>
      <c r="B7725" s="342" t="s">
        <v>8559</v>
      </c>
      <c r="C7725" s="341" t="s">
        <v>8560</v>
      </c>
      <c r="D7725" s="343">
        <v>25.9</v>
      </c>
    </row>
    <row r="7726" spans="1:4" ht="25.5">
      <c r="A7726" s="341">
        <v>13284</v>
      </c>
      <c r="B7726" s="342" t="s">
        <v>8561</v>
      </c>
      <c r="C7726" s="341" t="s">
        <v>7338</v>
      </c>
      <c r="D7726" s="343">
        <v>0.43</v>
      </c>
    </row>
    <row r="7727" spans="1:4" ht="25.5">
      <c r="A7727" s="341">
        <v>25974</v>
      </c>
      <c r="B7727" s="342" t="s">
        <v>8562</v>
      </c>
      <c r="C7727" s="341" t="s">
        <v>7338</v>
      </c>
      <c r="D7727" s="343">
        <v>1.73</v>
      </c>
    </row>
    <row r="7728" spans="1:4">
      <c r="A7728" s="341">
        <v>1382</v>
      </c>
      <c r="B7728" s="342" t="s">
        <v>8563</v>
      </c>
      <c r="C7728" s="341" t="s">
        <v>8560</v>
      </c>
      <c r="D7728" s="343">
        <v>24.95</v>
      </c>
    </row>
    <row r="7729" spans="1:4">
      <c r="A7729" s="341">
        <v>34753</v>
      </c>
      <c r="B7729" s="342" t="s">
        <v>8564</v>
      </c>
      <c r="C7729" s="341" t="s">
        <v>7338</v>
      </c>
      <c r="D7729" s="343">
        <v>0.49</v>
      </c>
    </row>
    <row r="7730" spans="1:4" ht="38.25">
      <c r="A7730" s="341">
        <v>420</v>
      </c>
      <c r="B7730" s="342" t="s">
        <v>8565</v>
      </c>
      <c r="C7730" s="341" t="s">
        <v>7278</v>
      </c>
      <c r="D7730" s="343">
        <v>19.399999999999999</v>
      </c>
    </row>
    <row r="7731" spans="1:4" ht="38.25">
      <c r="A7731" s="341">
        <v>12327</v>
      </c>
      <c r="B7731" s="342" t="s">
        <v>8566</v>
      </c>
      <c r="C7731" s="341" t="s">
        <v>7278</v>
      </c>
      <c r="D7731" s="343">
        <v>23.11</v>
      </c>
    </row>
    <row r="7732" spans="1:4" ht="38.25">
      <c r="A7732" s="341">
        <v>36148</v>
      </c>
      <c r="B7732" s="342" t="s">
        <v>8567</v>
      </c>
      <c r="C7732" s="341" t="s">
        <v>7278</v>
      </c>
      <c r="D7732" s="343">
        <v>66.33</v>
      </c>
    </row>
    <row r="7733" spans="1:4">
      <c r="A7733" s="341">
        <v>12329</v>
      </c>
      <c r="B7733" s="342" t="s">
        <v>8568</v>
      </c>
      <c r="C7733" s="341" t="s">
        <v>7338</v>
      </c>
      <c r="D7733" s="343">
        <v>74.84</v>
      </c>
    </row>
    <row r="7734" spans="1:4" ht="25.5">
      <c r="A7734" s="341">
        <v>1339</v>
      </c>
      <c r="B7734" s="342" t="s">
        <v>8569</v>
      </c>
      <c r="C7734" s="341" t="s">
        <v>7338</v>
      </c>
      <c r="D7734" s="343">
        <v>23.14</v>
      </c>
    </row>
    <row r="7735" spans="1:4">
      <c r="A7735" s="341">
        <v>11849</v>
      </c>
      <c r="B7735" s="342" t="s">
        <v>8570</v>
      </c>
      <c r="C7735" s="341" t="s">
        <v>7340</v>
      </c>
      <c r="D7735" s="343">
        <v>9.99</v>
      </c>
    </row>
    <row r="7736" spans="1:4" ht="38.25">
      <c r="A7736" s="341">
        <v>37418</v>
      </c>
      <c r="B7736" s="342" t="s">
        <v>8571</v>
      </c>
      <c r="C7736" s="341" t="s">
        <v>7278</v>
      </c>
      <c r="D7736" s="343">
        <v>9.0299999999999994</v>
      </c>
    </row>
    <row r="7737" spans="1:4" ht="38.25">
      <c r="A7737" s="341">
        <v>37419</v>
      </c>
      <c r="B7737" s="342" t="s">
        <v>8572</v>
      </c>
      <c r="C7737" s="341" t="s">
        <v>7278</v>
      </c>
      <c r="D7737" s="343">
        <v>9.27</v>
      </c>
    </row>
    <row r="7738" spans="1:4" ht="38.25">
      <c r="A7738" s="341">
        <v>1427</v>
      </c>
      <c r="B7738" s="342" t="s">
        <v>8573</v>
      </c>
      <c r="C7738" s="341" t="s">
        <v>7278</v>
      </c>
      <c r="D7738" s="343">
        <v>19.350000000000001</v>
      </c>
    </row>
    <row r="7739" spans="1:4" ht="38.25">
      <c r="A7739" s="341">
        <v>1402</v>
      </c>
      <c r="B7739" s="342" t="s">
        <v>8574</v>
      </c>
      <c r="C7739" s="341" t="s">
        <v>7278</v>
      </c>
      <c r="D7739" s="343">
        <v>10.210000000000001</v>
      </c>
    </row>
    <row r="7740" spans="1:4" ht="38.25">
      <c r="A7740" s="341">
        <v>1420</v>
      </c>
      <c r="B7740" s="342" t="s">
        <v>8575</v>
      </c>
      <c r="C7740" s="341" t="s">
        <v>7278</v>
      </c>
      <c r="D7740" s="343">
        <v>10.6</v>
      </c>
    </row>
    <row r="7741" spans="1:4" ht="38.25">
      <c r="A7741" s="341">
        <v>1419</v>
      </c>
      <c r="B7741" s="342" t="s">
        <v>8576</v>
      </c>
      <c r="C7741" s="341" t="s">
        <v>7278</v>
      </c>
      <c r="D7741" s="343">
        <v>11.48</v>
      </c>
    </row>
    <row r="7742" spans="1:4" ht="38.25">
      <c r="A7742" s="341">
        <v>1414</v>
      </c>
      <c r="B7742" s="342" t="s">
        <v>8577</v>
      </c>
      <c r="C7742" s="341" t="s">
        <v>7278</v>
      </c>
      <c r="D7742" s="343">
        <v>12.89</v>
      </c>
    </row>
    <row r="7743" spans="1:4" ht="38.25">
      <c r="A7743" s="341">
        <v>1413</v>
      </c>
      <c r="B7743" s="342" t="s">
        <v>8578</v>
      </c>
      <c r="C7743" s="341" t="s">
        <v>7278</v>
      </c>
      <c r="D7743" s="343">
        <v>15.59</v>
      </c>
    </row>
    <row r="7744" spans="1:4" ht="38.25">
      <c r="A7744" s="341">
        <v>1412</v>
      </c>
      <c r="B7744" s="342" t="s">
        <v>8579</v>
      </c>
      <c r="C7744" s="341" t="s">
        <v>7278</v>
      </c>
      <c r="D7744" s="343">
        <v>16.170000000000002</v>
      </c>
    </row>
    <row r="7745" spans="1:4" ht="51">
      <c r="A7745" s="341">
        <v>1411</v>
      </c>
      <c r="B7745" s="342" t="s">
        <v>8580</v>
      </c>
      <c r="C7745" s="341" t="s">
        <v>7278</v>
      </c>
      <c r="D7745" s="343">
        <v>29.4</v>
      </c>
    </row>
    <row r="7746" spans="1:4" ht="51">
      <c r="A7746" s="341">
        <v>1406</v>
      </c>
      <c r="B7746" s="342" t="s">
        <v>8581</v>
      </c>
      <c r="C7746" s="341" t="s">
        <v>7278</v>
      </c>
      <c r="D7746" s="343">
        <v>19.54</v>
      </c>
    </row>
    <row r="7747" spans="1:4" ht="51">
      <c r="A7747" s="341">
        <v>1407</v>
      </c>
      <c r="B7747" s="342" t="s">
        <v>8582</v>
      </c>
      <c r="C7747" s="341" t="s">
        <v>7278</v>
      </c>
      <c r="D7747" s="343">
        <v>24.35</v>
      </c>
    </row>
    <row r="7748" spans="1:4" ht="51">
      <c r="A7748" s="341">
        <v>1404</v>
      </c>
      <c r="B7748" s="342" t="s">
        <v>8583</v>
      </c>
      <c r="C7748" s="341" t="s">
        <v>7278</v>
      </c>
      <c r="D7748" s="343">
        <v>25.81</v>
      </c>
    </row>
    <row r="7749" spans="1:4" ht="89.25">
      <c r="A7749" s="341">
        <v>11281</v>
      </c>
      <c r="B7749" s="342" t="s">
        <v>8584</v>
      </c>
      <c r="C7749" s="341" t="s">
        <v>7278</v>
      </c>
      <c r="D7749" s="344">
        <v>9751.2800000000007</v>
      </c>
    </row>
    <row r="7750" spans="1:4" ht="102">
      <c r="A7750" s="341">
        <v>40699</v>
      </c>
      <c r="B7750" s="342" t="s">
        <v>8585</v>
      </c>
      <c r="C7750" s="341" t="s">
        <v>7278</v>
      </c>
      <c r="D7750" s="344">
        <v>5462.39</v>
      </c>
    </row>
    <row r="7751" spans="1:4" ht="102">
      <c r="A7751" s="341">
        <v>40701</v>
      </c>
      <c r="B7751" s="342" t="s">
        <v>8586</v>
      </c>
      <c r="C7751" s="341" t="s">
        <v>7278</v>
      </c>
      <c r="D7751" s="344">
        <v>96582.67</v>
      </c>
    </row>
    <row r="7752" spans="1:4" ht="102">
      <c r="A7752" s="341">
        <v>1442</v>
      </c>
      <c r="B7752" s="342" t="s">
        <v>8587</v>
      </c>
      <c r="C7752" s="341" t="s">
        <v>7278</v>
      </c>
      <c r="D7752" s="344">
        <v>8186.12</v>
      </c>
    </row>
    <row r="7753" spans="1:4" ht="102">
      <c r="A7753" s="341">
        <v>13457</v>
      </c>
      <c r="B7753" s="342" t="s">
        <v>8588</v>
      </c>
      <c r="C7753" s="341" t="s">
        <v>7278</v>
      </c>
      <c r="D7753" s="344">
        <v>7066.14</v>
      </c>
    </row>
    <row r="7754" spans="1:4" ht="102">
      <c r="A7754" s="341">
        <v>40700</v>
      </c>
      <c r="B7754" s="342" t="s">
        <v>8589</v>
      </c>
      <c r="C7754" s="341" t="s">
        <v>7278</v>
      </c>
      <c r="D7754" s="344">
        <v>12715.75</v>
      </c>
    </row>
    <row r="7755" spans="1:4" ht="38.25">
      <c r="A7755" s="341">
        <v>13458</v>
      </c>
      <c r="B7755" s="342" t="s">
        <v>8590</v>
      </c>
      <c r="C7755" s="341" t="s">
        <v>7278</v>
      </c>
      <c r="D7755" s="344">
        <v>12083.1</v>
      </c>
    </row>
    <row r="7756" spans="1:4" ht="38.25">
      <c r="A7756" s="341">
        <v>36524</v>
      </c>
      <c r="B7756" s="342" t="s">
        <v>8591</v>
      </c>
      <c r="C7756" s="341" t="s">
        <v>7278</v>
      </c>
      <c r="D7756" s="344">
        <v>71134.19</v>
      </c>
    </row>
    <row r="7757" spans="1:4" ht="38.25">
      <c r="A7757" s="341">
        <v>36526</v>
      </c>
      <c r="B7757" s="342" t="s">
        <v>8592</v>
      </c>
      <c r="C7757" s="341" t="s">
        <v>7278</v>
      </c>
      <c r="D7757" s="344">
        <v>57322.82</v>
      </c>
    </row>
    <row r="7758" spans="1:4" ht="38.25">
      <c r="A7758" s="341">
        <v>36523</v>
      </c>
      <c r="B7758" s="342" t="s">
        <v>8593</v>
      </c>
      <c r="C7758" s="341" t="s">
        <v>7278</v>
      </c>
      <c r="D7758" s="344">
        <v>122720.43</v>
      </c>
    </row>
    <row r="7759" spans="1:4" ht="38.25">
      <c r="A7759" s="341">
        <v>36527</v>
      </c>
      <c r="B7759" s="342" t="s">
        <v>8594</v>
      </c>
      <c r="C7759" s="341" t="s">
        <v>7278</v>
      </c>
      <c r="D7759" s="344">
        <v>133299.67000000001</v>
      </c>
    </row>
    <row r="7760" spans="1:4" ht="38.25">
      <c r="A7760" s="341">
        <v>13803</v>
      </c>
      <c r="B7760" s="342" t="s">
        <v>8595</v>
      </c>
      <c r="C7760" s="341" t="s">
        <v>7278</v>
      </c>
      <c r="D7760" s="344">
        <v>48200</v>
      </c>
    </row>
    <row r="7761" spans="1:4" ht="38.25">
      <c r="A7761" s="341">
        <v>38642</v>
      </c>
      <c r="B7761" s="342" t="s">
        <v>8596</v>
      </c>
      <c r="C7761" s="341" t="s">
        <v>7278</v>
      </c>
      <c r="D7761" s="344">
        <v>31035.58</v>
      </c>
    </row>
    <row r="7762" spans="1:4" ht="38.25">
      <c r="A7762" s="341">
        <v>36522</v>
      </c>
      <c r="B7762" s="342" t="s">
        <v>8597</v>
      </c>
      <c r="C7762" s="341" t="s">
        <v>7278</v>
      </c>
      <c r="D7762" s="344">
        <v>36094.01</v>
      </c>
    </row>
    <row r="7763" spans="1:4" ht="38.25">
      <c r="A7763" s="341">
        <v>36525</v>
      </c>
      <c r="B7763" s="342" t="s">
        <v>8598</v>
      </c>
      <c r="C7763" s="341" t="s">
        <v>7278</v>
      </c>
      <c r="D7763" s="344">
        <v>48338.31</v>
      </c>
    </row>
    <row r="7764" spans="1:4" ht="51">
      <c r="A7764" s="341">
        <v>41991</v>
      </c>
      <c r="B7764" s="342" t="s">
        <v>8599</v>
      </c>
      <c r="C7764" s="341" t="s">
        <v>7278</v>
      </c>
      <c r="D7764" s="344">
        <v>1786.17</v>
      </c>
    </row>
    <row r="7765" spans="1:4" ht="38.25">
      <c r="A7765" s="341">
        <v>34348</v>
      </c>
      <c r="B7765" s="342" t="s">
        <v>8600</v>
      </c>
      <c r="C7765" s="341" t="s">
        <v>7287</v>
      </c>
      <c r="D7765" s="343">
        <v>30.63</v>
      </c>
    </row>
    <row r="7766" spans="1:4" ht="38.25">
      <c r="A7766" s="341">
        <v>34347</v>
      </c>
      <c r="B7766" s="342" t="s">
        <v>8601</v>
      </c>
      <c r="C7766" s="341" t="s">
        <v>7287</v>
      </c>
      <c r="D7766" s="343">
        <v>15.82</v>
      </c>
    </row>
    <row r="7767" spans="1:4" ht="38.25">
      <c r="A7767" s="341">
        <v>11146</v>
      </c>
      <c r="B7767" s="342" t="s">
        <v>8602</v>
      </c>
      <c r="C7767" s="341" t="s">
        <v>7283</v>
      </c>
      <c r="D7767" s="343">
        <v>322.10000000000002</v>
      </c>
    </row>
    <row r="7768" spans="1:4" ht="38.25">
      <c r="A7768" s="341">
        <v>11147</v>
      </c>
      <c r="B7768" s="342" t="s">
        <v>8603</v>
      </c>
      <c r="C7768" s="341" t="s">
        <v>7283</v>
      </c>
      <c r="D7768" s="343">
        <v>334.03</v>
      </c>
    </row>
    <row r="7769" spans="1:4" ht="38.25">
      <c r="A7769" s="341">
        <v>34872</v>
      </c>
      <c r="B7769" s="342" t="s">
        <v>8604</v>
      </c>
      <c r="C7769" s="341" t="s">
        <v>7283</v>
      </c>
      <c r="D7769" s="343">
        <v>345.96</v>
      </c>
    </row>
    <row r="7770" spans="1:4" ht="38.25">
      <c r="A7770" s="341">
        <v>34491</v>
      </c>
      <c r="B7770" s="342" t="s">
        <v>8605</v>
      </c>
      <c r="C7770" s="341" t="s">
        <v>7283</v>
      </c>
      <c r="D7770" s="343">
        <v>352.96</v>
      </c>
    </row>
    <row r="7771" spans="1:4" ht="51">
      <c r="A7771" s="341">
        <v>34770</v>
      </c>
      <c r="B7771" s="342" t="s">
        <v>8606</v>
      </c>
      <c r="C7771" s="341" t="s">
        <v>8429</v>
      </c>
      <c r="D7771" s="343">
        <v>213.11</v>
      </c>
    </row>
    <row r="7772" spans="1:4" ht="51">
      <c r="A7772" s="341">
        <v>1518</v>
      </c>
      <c r="B7772" s="342" t="s">
        <v>8607</v>
      </c>
      <c r="C7772" s="341" t="s">
        <v>8429</v>
      </c>
      <c r="D7772" s="343">
        <v>230</v>
      </c>
    </row>
    <row r="7773" spans="1:4" ht="51">
      <c r="A7773" s="341">
        <v>41965</v>
      </c>
      <c r="B7773" s="342" t="s">
        <v>8608</v>
      </c>
      <c r="C7773" s="341" t="s">
        <v>8429</v>
      </c>
      <c r="D7773" s="343">
        <v>222.82</v>
      </c>
    </row>
    <row r="7774" spans="1:4" ht="51">
      <c r="A7774" s="341">
        <v>34492</v>
      </c>
      <c r="B7774" s="342" t="s">
        <v>8609</v>
      </c>
      <c r="C7774" s="341" t="s">
        <v>7283</v>
      </c>
      <c r="D7774" s="343">
        <v>292.27999999999997</v>
      </c>
    </row>
    <row r="7775" spans="1:4" ht="51">
      <c r="A7775" s="341">
        <v>1524</v>
      </c>
      <c r="B7775" s="342" t="s">
        <v>8610</v>
      </c>
      <c r="C7775" s="341" t="s">
        <v>7283</v>
      </c>
      <c r="D7775" s="343">
        <v>340</v>
      </c>
    </row>
    <row r="7776" spans="1:4" ht="51">
      <c r="A7776" s="341">
        <v>38404</v>
      </c>
      <c r="B7776" s="342" t="s">
        <v>8611</v>
      </c>
      <c r="C7776" s="341" t="s">
        <v>7283</v>
      </c>
      <c r="D7776" s="343">
        <v>358.86</v>
      </c>
    </row>
    <row r="7777" spans="1:4" ht="51">
      <c r="A7777" s="341">
        <v>39849</v>
      </c>
      <c r="B7777" s="342" t="s">
        <v>8612</v>
      </c>
      <c r="C7777" s="341" t="s">
        <v>7283</v>
      </c>
      <c r="D7777" s="343">
        <v>358.08</v>
      </c>
    </row>
    <row r="7778" spans="1:4" ht="51">
      <c r="A7778" s="341">
        <v>38464</v>
      </c>
      <c r="B7778" s="342" t="s">
        <v>8613</v>
      </c>
      <c r="C7778" s="341" t="s">
        <v>7283</v>
      </c>
      <c r="D7778" s="343">
        <v>433.5</v>
      </c>
    </row>
    <row r="7779" spans="1:4" ht="51">
      <c r="A7779" s="341">
        <v>34493</v>
      </c>
      <c r="B7779" s="342" t="s">
        <v>8614</v>
      </c>
      <c r="C7779" s="341" t="s">
        <v>7283</v>
      </c>
      <c r="D7779" s="343">
        <v>303.61</v>
      </c>
    </row>
    <row r="7780" spans="1:4" ht="51">
      <c r="A7780" s="341">
        <v>1527</v>
      </c>
      <c r="B7780" s="342" t="s">
        <v>8615</v>
      </c>
      <c r="C7780" s="341" t="s">
        <v>7283</v>
      </c>
      <c r="D7780" s="343">
        <v>354.31</v>
      </c>
    </row>
    <row r="7781" spans="1:4" ht="51">
      <c r="A7781" s="341">
        <v>38405</v>
      </c>
      <c r="B7781" s="342" t="s">
        <v>8616</v>
      </c>
      <c r="C7781" s="341" t="s">
        <v>7283</v>
      </c>
      <c r="D7781" s="343">
        <v>380.39</v>
      </c>
    </row>
    <row r="7782" spans="1:4" ht="51">
      <c r="A7782" s="341">
        <v>38408</v>
      </c>
      <c r="B7782" s="342" t="s">
        <v>8617</v>
      </c>
      <c r="C7782" s="341" t="s">
        <v>7283</v>
      </c>
      <c r="D7782" s="343">
        <v>395.55</v>
      </c>
    </row>
    <row r="7783" spans="1:4" ht="51">
      <c r="A7783" s="341">
        <v>34494</v>
      </c>
      <c r="B7783" s="342" t="s">
        <v>8618</v>
      </c>
      <c r="C7783" s="341" t="s">
        <v>7283</v>
      </c>
      <c r="D7783" s="343">
        <v>317.08999999999997</v>
      </c>
    </row>
    <row r="7784" spans="1:4" ht="51">
      <c r="A7784" s="341">
        <v>1525</v>
      </c>
      <c r="B7784" s="342" t="s">
        <v>8619</v>
      </c>
      <c r="C7784" s="341" t="s">
        <v>7283</v>
      </c>
      <c r="D7784" s="343">
        <v>366.24</v>
      </c>
    </row>
    <row r="7785" spans="1:4" ht="51">
      <c r="A7785" s="341">
        <v>38406</v>
      </c>
      <c r="B7785" s="342" t="s">
        <v>8620</v>
      </c>
      <c r="C7785" s="341" t="s">
        <v>7283</v>
      </c>
      <c r="D7785" s="343">
        <v>399.67</v>
      </c>
    </row>
    <row r="7786" spans="1:4" ht="51">
      <c r="A7786" s="341">
        <v>38409</v>
      </c>
      <c r="B7786" s="342" t="s">
        <v>8621</v>
      </c>
      <c r="C7786" s="341" t="s">
        <v>7283</v>
      </c>
      <c r="D7786" s="343">
        <v>426.37</v>
      </c>
    </row>
    <row r="7787" spans="1:4" ht="51">
      <c r="A7787" s="341">
        <v>34495</v>
      </c>
      <c r="B7787" s="342" t="s">
        <v>8622</v>
      </c>
      <c r="C7787" s="341" t="s">
        <v>7283</v>
      </c>
      <c r="D7787" s="343">
        <v>330.63</v>
      </c>
    </row>
    <row r="7788" spans="1:4" ht="51">
      <c r="A7788" s="341">
        <v>11145</v>
      </c>
      <c r="B7788" s="342" t="s">
        <v>8623</v>
      </c>
      <c r="C7788" s="341" t="s">
        <v>7283</v>
      </c>
      <c r="D7788" s="343">
        <v>379.36</v>
      </c>
    </row>
    <row r="7789" spans="1:4" ht="51">
      <c r="A7789" s="341">
        <v>34496</v>
      </c>
      <c r="B7789" s="342" t="s">
        <v>8624</v>
      </c>
      <c r="C7789" s="341" t="s">
        <v>7283</v>
      </c>
      <c r="D7789" s="343">
        <v>345.36</v>
      </c>
    </row>
    <row r="7790" spans="1:4" ht="51">
      <c r="A7790" s="341">
        <v>34479</v>
      </c>
      <c r="B7790" s="342" t="s">
        <v>8625</v>
      </c>
      <c r="C7790" s="341" t="s">
        <v>7283</v>
      </c>
      <c r="D7790" s="343">
        <v>393.68</v>
      </c>
    </row>
    <row r="7791" spans="1:4" ht="51">
      <c r="A7791" s="341">
        <v>34481</v>
      </c>
      <c r="B7791" s="342" t="s">
        <v>8626</v>
      </c>
      <c r="C7791" s="341" t="s">
        <v>7283</v>
      </c>
      <c r="D7791" s="343">
        <v>442.59</v>
      </c>
    </row>
    <row r="7792" spans="1:4" ht="51">
      <c r="A7792" s="341">
        <v>34483</v>
      </c>
      <c r="B7792" s="342" t="s">
        <v>8627</v>
      </c>
      <c r="C7792" s="341" t="s">
        <v>7283</v>
      </c>
      <c r="D7792" s="343">
        <v>524.91</v>
      </c>
    </row>
    <row r="7793" spans="1:4" ht="51">
      <c r="A7793" s="341">
        <v>34485</v>
      </c>
      <c r="B7793" s="342" t="s">
        <v>8628</v>
      </c>
      <c r="C7793" s="341" t="s">
        <v>7283</v>
      </c>
      <c r="D7793" s="343">
        <v>674.03</v>
      </c>
    </row>
    <row r="7794" spans="1:4" ht="51">
      <c r="A7794" s="341">
        <v>34497</v>
      </c>
      <c r="B7794" s="342" t="s">
        <v>8629</v>
      </c>
      <c r="C7794" s="341" t="s">
        <v>7283</v>
      </c>
      <c r="D7794" s="343">
        <v>930.52</v>
      </c>
    </row>
    <row r="7795" spans="1:4" ht="38.25">
      <c r="A7795" s="341">
        <v>14041</v>
      </c>
      <c r="B7795" s="342" t="s">
        <v>8630</v>
      </c>
      <c r="C7795" s="341" t="s">
        <v>7283</v>
      </c>
      <c r="D7795" s="343">
        <v>291.63</v>
      </c>
    </row>
    <row r="7796" spans="1:4" ht="38.25">
      <c r="A7796" s="341">
        <v>1523</v>
      </c>
      <c r="B7796" s="342" t="s">
        <v>8631</v>
      </c>
      <c r="C7796" s="341" t="s">
        <v>7283</v>
      </c>
      <c r="D7796" s="343">
        <v>294.42</v>
      </c>
    </row>
    <row r="7797" spans="1:4" ht="38.25">
      <c r="A7797" s="341">
        <v>14052</v>
      </c>
      <c r="B7797" s="342" t="s">
        <v>8632</v>
      </c>
      <c r="C7797" s="341" t="s">
        <v>7278</v>
      </c>
      <c r="D7797" s="343">
        <v>6.62</v>
      </c>
    </row>
    <row r="7798" spans="1:4" ht="38.25">
      <c r="A7798" s="341">
        <v>14054</v>
      </c>
      <c r="B7798" s="342" t="s">
        <v>8633</v>
      </c>
      <c r="C7798" s="341" t="s">
        <v>7278</v>
      </c>
      <c r="D7798" s="343">
        <v>8.61</v>
      </c>
    </row>
    <row r="7799" spans="1:4" ht="38.25">
      <c r="A7799" s="341">
        <v>14053</v>
      </c>
      <c r="B7799" s="342" t="s">
        <v>8634</v>
      </c>
      <c r="C7799" s="341" t="s">
        <v>7278</v>
      </c>
      <c r="D7799" s="343">
        <v>6.72</v>
      </c>
    </row>
    <row r="7800" spans="1:4" ht="38.25">
      <c r="A7800" s="341">
        <v>2558</v>
      </c>
      <c r="B7800" s="342" t="s">
        <v>8635</v>
      </c>
      <c r="C7800" s="341" t="s">
        <v>7278</v>
      </c>
      <c r="D7800" s="343">
        <v>5.0599999999999996</v>
      </c>
    </row>
    <row r="7801" spans="1:4" ht="38.25">
      <c r="A7801" s="341">
        <v>2560</v>
      </c>
      <c r="B7801" s="342" t="s">
        <v>8636</v>
      </c>
      <c r="C7801" s="341" t="s">
        <v>7278</v>
      </c>
      <c r="D7801" s="343">
        <v>8.91</v>
      </c>
    </row>
    <row r="7802" spans="1:4" ht="38.25">
      <c r="A7802" s="341">
        <v>2559</v>
      </c>
      <c r="B7802" s="342" t="s">
        <v>8637</v>
      </c>
      <c r="C7802" s="341" t="s">
        <v>7278</v>
      </c>
      <c r="D7802" s="343">
        <v>7.13</v>
      </c>
    </row>
    <row r="7803" spans="1:4" ht="38.25">
      <c r="A7803" s="341">
        <v>2592</v>
      </c>
      <c r="B7803" s="342" t="s">
        <v>8638</v>
      </c>
      <c r="C7803" s="341" t="s">
        <v>7278</v>
      </c>
      <c r="D7803" s="343">
        <v>118.2</v>
      </c>
    </row>
    <row r="7804" spans="1:4" ht="38.25">
      <c r="A7804" s="341">
        <v>2566</v>
      </c>
      <c r="B7804" s="342" t="s">
        <v>8639</v>
      </c>
      <c r="C7804" s="341" t="s">
        <v>7278</v>
      </c>
      <c r="D7804" s="343">
        <v>11.89</v>
      </c>
    </row>
    <row r="7805" spans="1:4" ht="38.25">
      <c r="A7805" s="341">
        <v>2589</v>
      </c>
      <c r="B7805" s="342" t="s">
        <v>8640</v>
      </c>
      <c r="C7805" s="341" t="s">
        <v>7278</v>
      </c>
      <c r="D7805" s="343">
        <v>15.81</v>
      </c>
    </row>
    <row r="7806" spans="1:4" ht="38.25">
      <c r="A7806" s="341">
        <v>2591</v>
      </c>
      <c r="B7806" s="342" t="s">
        <v>8641</v>
      </c>
      <c r="C7806" s="341" t="s">
        <v>7278</v>
      </c>
      <c r="D7806" s="343">
        <v>5.76</v>
      </c>
    </row>
    <row r="7807" spans="1:4" ht="38.25">
      <c r="A7807" s="341">
        <v>2590</v>
      </c>
      <c r="B7807" s="342" t="s">
        <v>8642</v>
      </c>
      <c r="C7807" s="341" t="s">
        <v>7278</v>
      </c>
      <c r="D7807" s="343">
        <v>9.6999999999999993</v>
      </c>
    </row>
    <row r="7808" spans="1:4" ht="38.25">
      <c r="A7808" s="341">
        <v>2567</v>
      </c>
      <c r="B7808" s="342" t="s">
        <v>8643</v>
      </c>
      <c r="C7808" s="341" t="s">
        <v>7278</v>
      </c>
      <c r="D7808" s="343">
        <v>23.19</v>
      </c>
    </row>
    <row r="7809" spans="1:4" ht="38.25">
      <c r="A7809" s="341">
        <v>2565</v>
      </c>
      <c r="B7809" s="342" t="s">
        <v>8644</v>
      </c>
      <c r="C7809" s="341" t="s">
        <v>7278</v>
      </c>
      <c r="D7809" s="343">
        <v>5.77</v>
      </c>
    </row>
    <row r="7810" spans="1:4" ht="38.25">
      <c r="A7810" s="341">
        <v>2568</v>
      </c>
      <c r="B7810" s="342" t="s">
        <v>8645</v>
      </c>
      <c r="C7810" s="341" t="s">
        <v>7278</v>
      </c>
      <c r="D7810" s="343">
        <v>64.400000000000006</v>
      </c>
    </row>
    <row r="7811" spans="1:4" ht="38.25">
      <c r="A7811" s="341">
        <v>2594</v>
      </c>
      <c r="B7811" s="342" t="s">
        <v>8646</v>
      </c>
      <c r="C7811" s="341" t="s">
        <v>7278</v>
      </c>
      <c r="D7811" s="343">
        <v>107.28</v>
      </c>
    </row>
    <row r="7812" spans="1:4" ht="38.25">
      <c r="A7812" s="341">
        <v>2587</v>
      </c>
      <c r="B7812" s="342" t="s">
        <v>8647</v>
      </c>
      <c r="C7812" s="341" t="s">
        <v>7278</v>
      </c>
      <c r="D7812" s="343">
        <v>18.28</v>
      </c>
    </row>
    <row r="7813" spans="1:4" ht="38.25">
      <c r="A7813" s="341">
        <v>2588</v>
      </c>
      <c r="B7813" s="342" t="s">
        <v>8648</v>
      </c>
      <c r="C7813" s="341" t="s">
        <v>7278</v>
      </c>
      <c r="D7813" s="343">
        <v>14.52</v>
      </c>
    </row>
    <row r="7814" spans="1:4" ht="38.25">
      <c r="A7814" s="341">
        <v>2569</v>
      </c>
      <c r="B7814" s="342" t="s">
        <v>8649</v>
      </c>
      <c r="C7814" s="341" t="s">
        <v>7278</v>
      </c>
      <c r="D7814" s="343">
        <v>5.59</v>
      </c>
    </row>
    <row r="7815" spans="1:4" ht="38.25">
      <c r="A7815" s="341">
        <v>2570</v>
      </c>
      <c r="B7815" s="342" t="s">
        <v>8650</v>
      </c>
      <c r="C7815" s="341" t="s">
        <v>7278</v>
      </c>
      <c r="D7815" s="343">
        <v>9.3800000000000008</v>
      </c>
    </row>
    <row r="7816" spans="1:4" ht="38.25">
      <c r="A7816" s="341">
        <v>2571</v>
      </c>
      <c r="B7816" s="342" t="s">
        <v>8651</v>
      </c>
      <c r="C7816" s="341" t="s">
        <v>7278</v>
      </c>
      <c r="D7816" s="343">
        <v>27.84</v>
      </c>
    </row>
    <row r="7817" spans="1:4" ht="38.25">
      <c r="A7817" s="341">
        <v>2593</v>
      </c>
      <c r="B7817" s="342" t="s">
        <v>8652</v>
      </c>
      <c r="C7817" s="341" t="s">
        <v>7278</v>
      </c>
      <c r="D7817" s="343">
        <v>5.96</v>
      </c>
    </row>
    <row r="7818" spans="1:4" ht="38.25">
      <c r="A7818" s="341">
        <v>2572</v>
      </c>
      <c r="B7818" s="342" t="s">
        <v>8653</v>
      </c>
      <c r="C7818" s="341" t="s">
        <v>7278</v>
      </c>
      <c r="D7818" s="343">
        <v>82.35</v>
      </c>
    </row>
    <row r="7819" spans="1:4" ht="38.25">
      <c r="A7819" s="341">
        <v>2595</v>
      </c>
      <c r="B7819" s="342" t="s">
        <v>8654</v>
      </c>
      <c r="C7819" s="341" t="s">
        <v>7278</v>
      </c>
      <c r="D7819" s="343">
        <v>128.49</v>
      </c>
    </row>
    <row r="7820" spans="1:4" ht="38.25">
      <c r="A7820" s="341">
        <v>2576</v>
      </c>
      <c r="B7820" s="342" t="s">
        <v>8655</v>
      </c>
      <c r="C7820" s="341" t="s">
        <v>7278</v>
      </c>
      <c r="D7820" s="343">
        <v>21.9</v>
      </c>
    </row>
    <row r="7821" spans="1:4" ht="38.25">
      <c r="A7821" s="341">
        <v>2575</v>
      </c>
      <c r="B7821" s="342" t="s">
        <v>8656</v>
      </c>
      <c r="C7821" s="341" t="s">
        <v>7278</v>
      </c>
      <c r="D7821" s="343">
        <v>16.46</v>
      </c>
    </row>
    <row r="7822" spans="1:4" ht="38.25">
      <c r="A7822" s="341">
        <v>2573</v>
      </c>
      <c r="B7822" s="342" t="s">
        <v>8657</v>
      </c>
      <c r="C7822" s="341" t="s">
        <v>7278</v>
      </c>
      <c r="D7822" s="343">
        <v>6.83</v>
      </c>
    </row>
    <row r="7823" spans="1:4" ht="38.25">
      <c r="A7823" s="341">
        <v>2586</v>
      </c>
      <c r="B7823" s="342" t="s">
        <v>8658</v>
      </c>
      <c r="C7823" s="341" t="s">
        <v>7278</v>
      </c>
      <c r="D7823" s="343">
        <v>11.08</v>
      </c>
    </row>
    <row r="7824" spans="1:4" ht="38.25">
      <c r="A7824" s="341">
        <v>2577</v>
      </c>
      <c r="B7824" s="342" t="s">
        <v>8659</v>
      </c>
      <c r="C7824" s="341" t="s">
        <v>7278</v>
      </c>
      <c r="D7824" s="343">
        <v>29.68</v>
      </c>
    </row>
    <row r="7825" spans="1:4" ht="38.25">
      <c r="A7825" s="341">
        <v>2574</v>
      </c>
      <c r="B7825" s="342" t="s">
        <v>8660</v>
      </c>
      <c r="C7825" s="341" t="s">
        <v>7278</v>
      </c>
      <c r="D7825" s="343">
        <v>6.88</v>
      </c>
    </row>
    <row r="7826" spans="1:4" ht="38.25">
      <c r="A7826" s="341">
        <v>2578</v>
      </c>
      <c r="B7826" s="342" t="s">
        <v>8661</v>
      </c>
      <c r="C7826" s="341" t="s">
        <v>7278</v>
      </c>
      <c r="D7826" s="343">
        <v>92.66</v>
      </c>
    </row>
    <row r="7827" spans="1:4" ht="38.25">
      <c r="A7827" s="341">
        <v>2585</v>
      </c>
      <c r="B7827" s="342" t="s">
        <v>8662</v>
      </c>
      <c r="C7827" s="341" t="s">
        <v>7278</v>
      </c>
      <c r="D7827" s="343">
        <v>127.15</v>
      </c>
    </row>
    <row r="7828" spans="1:4" ht="38.25">
      <c r="A7828" s="341">
        <v>12008</v>
      </c>
      <c r="B7828" s="342" t="s">
        <v>8663</v>
      </c>
      <c r="C7828" s="341" t="s">
        <v>7278</v>
      </c>
      <c r="D7828" s="343">
        <v>68.22</v>
      </c>
    </row>
    <row r="7829" spans="1:4" ht="38.25">
      <c r="A7829" s="341">
        <v>2582</v>
      </c>
      <c r="B7829" s="342" t="s">
        <v>8664</v>
      </c>
      <c r="C7829" s="341" t="s">
        <v>7278</v>
      </c>
      <c r="D7829" s="343">
        <v>20.309999999999999</v>
      </c>
    </row>
    <row r="7830" spans="1:4" ht="38.25">
      <c r="A7830" s="341">
        <v>2597</v>
      </c>
      <c r="B7830" s="342" t="s">
        <v>8665</v>
      </c>
      <c r="C7830" s="341" t="s">
        <v>7278</v>
      </c>
      <c r="D7830" s="343">
        <v>17.41</v>
      </c>
    </row>
    <row r="7831" spans="1:4" ht="38.25">
      <c r="A7831" s="341">
        <v>2579</v>
      </c>
      <c r="B7831" s="342" t="s">
        <v>8666</v>
      </c>
      <c r="C7831" s="341" t="s">
        <v>7278</v>
      </c>
      <c r="D7831" s="343">
        <v>8.2899999999999991</v>
      </c>
    </row>
    <row r="7832" spans="1:4" ht="38.25">
      <c r="A7832" s="341">
        <v>2581</v>
      </c>
      <c r="B7832" s="342" t="s">
        <v>8667</v>
      </c>
      <c r="C7832" s="341" t="s">
        <v>7278</v>
      </c>
      <c r="D7832" s="343">
        <v>10.6</v>
      </c>
    </row>
    <row r="7833" spans="1:4" ht="38.25">
      <c r="A7833" s="341">
        <v>2596</v>
      </c>
      <c r="B7833" s="342" t="s">
        <v>8668</v>
      </c>
      <c r="C7833" s="341" t="s">
        <v>7278</v>
      </c>
      <c r="D7833" s="343">
        <v>31.37</v>
      </c>
    </row>
    <row r="7834" spans="1:4" ht="38.25">
      <c r="A7834" s="341">
        <v>2580</v>
      </c>
      <c r="B7834" s="342" t="s">
        <v>8669</v>
      </c>
      <c r="C7834" s="341" t="s">
        <v>7278</v>
      </c>
      <c r="D7834" s="343">
        <v>9.08</v>
      </c>
    </row>
    <row r="7835" spans="1:4" ht="38.25">
      <c r="A7835" s="341">
        <v>2583</v>
      </c>
      <c r="B7835" s="342" t="s">
        <v>8670</v>
      </c>
      <c r="C7835" s="341" t="s">
        <v>7278</v>
      </c>
      <c r="D7835" s="343">
        <v>76.3</v>
      </c>
    </row>
    <row r="7836" spans="1:4" ht="38.25">
      <c r="A7836" s="341">
        <v>2584</v>
      </c>
      <c r="B7836" s="342" t="s">
        <v>8671</v>
      </c>
      <c r="C7836" s="341" t="s">
        <v>7278</v>
      </c>
      <c r="D7836" s="343">
        <v>127.02</v>
      </c>
    </row>
    <row r="7837" spans="1:4" ht="25.5">
      <c r="A7837" s="341">
        <v>12010</v>
      </c>
      <c r="B7837" s="342" t="s">
        <v>8672</v>
      </c>
      <c r="C7837" s="341" t="s">
        <v>7278</v>
      </c>
      <c r="D7837" s="343">
        <v>6.98</v>
      </c>
    </row>
    <row r="7838" spans="1:4" ht="25.5">
      <c r="A7838" s="341">
        <v>39329</v>
      </c>
      <c r="B7838" s="342" t="s">
        <v>8673</v>
      </c>
      <c r="C7838" s="341" t="s">
        <v>7278</v>
      </c>
      <c r="D7838" s="343">
        <v>7.3</v>
      </c>
    </row>
    <row r="7839" spans="1:4" ht="25.5">
      <c r="A7839" s="341">
        <v>39330</v>
      </c>
      <c r="B7839" s="342" t="s">
        <v>8674</v>
      </c>
      <c r="C7839" s="341" t="s">
        <v>7278</v>
      </c>
      <c r="D7839" s="343">
        <v>7.68</v>
      </c>
    </row>
    <row r="7840" spans="1:4" ht="25.5">
      <c r="A7840" s="341">
        <v>39332</v>
      </c>
      <c r="B7840" s="342" t="s">
        <v>8675</v>
      </c>
      <c r="C7840" s="341" t="s">
        <v>7278</v>
      </c>
      <c r="D7840" s="343">
        <v>8.58</v>
      </c>
    </row>
    <row r="7841" spans="1:4" ht="25.5">
      <c r="A7841" s="341">
        <v>39331</v>
      </c>
      <c r="B7841" s="342" t="s">
        <v>8676</v>
      </c>
      <c r="C7841" s="341" t="s">
        <v>7278</v>
      </c>
      <c r="D7841" s="343">
        <v>6.83</v>
      </c>
    </row>
    <row r="7842" spans="1:4" ht="25.5">
      <c r="A7842" s="341">
        <v>39333</v>
      </c>
      <c r="B7842" s="342" t="s">
        <v>8677</v>
      </c>
      <c r="C7842" s="341" t="s">
        <v>7278</v>
      </c>
      <c r="D7842" s="343">
        <v>6.66</v>
      </c>
    </row>
    <row r="7843" spans="1:4" ht="25.5">
      <c r="A7843" s="341">
        <v>39335</v>
      </c>
      <c r="B7843" s="342" t="s">
        <v>8678</v>
      </c>
      <c r="C7843" s="341" t="s">
        <v>7278</v>
      </c>
      <c r="D7843" s="343">
        <v>7.71</v>
      </c>
    </row>
    <row r="7844" spans="1:4" ht="25.5">
      <c r="A7844" s="341">
        <v>39334</v>
      </c>
      <c r="B7844" s="342" t="s">
        <v>8679</v>
      </c>
      <c r="C7844" s="341" t="s">
        <v>7278</v>
      </c>
      <c r="D7844" s="343">
        <v>6.12</v>
      </c>
    </row>
    <row r="7845" spans="1:4" ht="25.5">
      <c r="A7845" s="341">
        <v>12016</v>
      </c>
      <c r="B7845" s="342" t="s">
        <v>8680</v>
      </c>
      <c r="C7845" s="341" t="s">
        <v>7278</v>
      </c>
      <c r="D7845" s="343">
        <v>7.69</v>
      </c>
    </row>
    <row r="7846" spans="1:4" ht="25.5">
      <c r="A7846" s="341">
        <v>12015</v>
      </c>
      <c r="B7846" s="342" t="s">
        <v>8681</v>
      </c>
      <c r="C7846" s="341" t="s">
        <v>7278</v>
      </c>
      <c r="D7846" s="343">
        <v>8.9499999999999993</v>
      </c>
    </row>
    <row r="7847" spans="1:4" ht="25.5">
      <c r="A7847" s="341">
        <v>12020</v>
      </c>
      <c r="B7847" s="342" t="s">
        <v>8682</v>
      </c>
      <c r="C7847" s="341" t="s">
        <v>7278</v>
      </c>
      <c r="D7847" s="343">
        <v>7.69</v>
      </c>
    </row>
    <row r="7848" spans="1:4" ht="25.5">
      <c r="A7848" s="341">
        <v>12019</v>
      </c>
      <c r="B7848" s="342" t="s">
        <v>8683</v>
      </c>
      <c r="C7848" s="341" t="s">
        <v>7278</v>
      </c>
      <c r="D7848" s="343">
        <v>8.9499999999999993</v>
      </c>
    </row>
    <row r="7849" spans="1:4" ht="25.5">
      <c r="A7849" s="341">
        <v>39336</v>
      </c>
      <c r="B7849" s="342" t="s">
        <v>8684</v>
      </c>
      <c r="C7849" s="341" t="s">
        <v>7278</v>
      </c>
      <c r="D7849" s="343">
        <v>7.68</v>
      </c>
    </row>
    <row r="7850" spans="1:4" ht="25.5">
      <c r="A7850" s="341">
        <v>39338</v>
      </c>
      <c r="B7850" s="342" t="s">
        <v>8685</v>
      </c>
      <c r="C7850" s="341" t="s">
        <v>7278</v>
      </c>
      <c r="D7850" s="343">
        <v>8.58</v>
      </c>
    </row>
    <row r="7851" spans="1:4" ht="25.5">
      <c r="A7851" s="341">
        <v>39337</v>
      </c>
      <c r="B7851" s="342" t="s">
        <v>8686</v>
      </c>
      <c r="C7851" s="341" t="s">
        <v>7278</v>
      </c>
      <c r="D7851" s="343">
        <v>6.83</v>
      </c>
    </row>
    <row r="7852" spans="1:4">
      <c r="A7852" s="341">
        <v>39341</v>
      </c>
      <c r="B7852" s="342" t="s">
        <v>8687</v>
      </c>
      <c r="C7852" s="341" t="s">
        <v>7278</v>
      </c>
      <c r="D7852" s="343">
        <v>11.19</v>
      </c>
    </row>
    <row r="7853" spans="1:4" ht="25.5">
      <c r="A7853" s="341">
        <v>39340</v>
      </c>
      <c r="B7853" s="342" t="s">
        <v>8688</v>
      </c>
      <c r="C7853" s="341" t="s">
        <v>7278</v>
      </c>
      <c r="D7853" s="343">
        <v>8.2100000000000009</v>
      </c>
    </row>
    <row r="7854" spans="1:4" ht="25.5">
      <c r="A7854" s="341">
        <v>12025</v>
      </c>
      <c r="B7854" s="342" t="s">
        <v>8689</v>
      </c>
      <c r="C7854" s="341" t="s">
        <v>7278</v>
      </c>
      <c r="D7854" s="343">
        <v>8.48</v>
      </c>
    </row>
    <row r="7855" spans="1:4" ht="25.5">
      <c r="A7855" s="341">
        <v>39342</v>
      </c>
      <c r="B7855" s="342" t="s">
        <v>8690</v>
      </c>
      <c r="C7855" s="341" t="s">
        <v>7278</v>
      </c>
      <c r="D7855" s="343">
        <v>11.19</v>
      </c>
    </row>
    <row r="7856" spans="1:4" ht="25.5">
      <c r="A7856" s="341">
        <v>39343</v>
      </c>
      <c r="B7856" s="342" t="s">
        <v>8691</v>
      </c>
      <c r="C7856" s="341" t="s">
        <v>7278</v>
      </c>
      <c r="D7856" s="343">
        <v>9.4499999999999993</v>
      </c>
    </row>
    <row r="7857" spans="1:4">
      <c r="A7857" s="341">
        <v>39345</v>
      </c>
      <c r="B7857" s="342" t="s">
        <v>8692</v>
      </c>
      <c r="C7857" s="341" t="s">
        <v>7278</v>
      </c>
      <c r="D7857" s="343">
        <v>12.78</v>
      </c>
    </row>
    <row r="7858" spans="1:4" ht="25.5">
      <c r="A7858" s="341">
        <v>39344</v>
      </c>
      <c r="B7858" s="342" t="s">
        <v>8693</v>
      </c>
      <c r="C7858" s="341" t="s">
        <v>7278</v>
      </c>
      <c r="D7858" s="343">
        <v>9.1300000000000008</v>
      </c>
    </row>
    <row r="7859" spans="1:4" ht="25.5">
      <c r="A7859" s="341">
        <v>12623</v>
      </c>
      <c r="B7859" s="342" t="s">
        <v>8694</v>
      </c>
      <c r="C7859" s="341" t="s">
        <v>7287</v>
      </c>
      <c r="D7859" s="343">
        <v>11.43</v>
      </c>
    </row>
    <row r="7860" spans="1:4" ht="25.5">
      <c r="A7860" s="341">
        <v>34498</v>
      </c>
      <c r="B7860" s="342" t="s">
        <v>8695</v>
      </c>
      <c r="C7860" s="341" t="s">
        <v>7278</v>
      </c>
      <c r="D7860" s="343">
        <v>80.25</v>
      </c>
    </row>
    <row r="7861" spans="1:4" ht="25.5">
      <c r="A7861" s="341">
        <v>13244</v>
      </c>
      <c r="B7861" s="342" t="s">
        <v>8696</v>
      </c>
      <c r="C7861" s="341" t="s">
        <v>7278</v>
      </c>
      <c r="D7861" s="343">
        <v>33.78</v>
      </c>
    </row>
    <row r="7862" spans="1:4" ht="38.25">
      <c r="A7862" s="341">
        <v>38998</v>
      </c>
      <c r="B7862" s="342" t="s">
        <v>8697</v>
      </c>
      <c r="C7862" s="341" t="s">
        <v>7278</v>
      </c>
      <c r="D7862" s="343">
        <v>6.8</v>
      </c>
    </row>
    <row r="7863" spans="1:4" ht="38.25">
      <c r="A7863" s="341">
        <v>38999</v>
      </c>
      <c r="B7863" s="342" t="s">
        <v>8698</v>
      </c>
      <c r="C7863" s="341" t="s">
        <v>7278</v>
      </c>
      <c r="D7863" s="343">
        <v>11.25</v>
      </c>
    </row>
    <row r="7864" spans="1:4" ht="38.25">
      <c r="A7864" s="341">
        <v>38996</v>
      </c>
      <c r="B7864" s="342" t="s">
        <v>8699</v>
      </c>
      <c r="C7864" s="341" t="s">
        <v>7278</v>
      </c>
      <c r="D7864" s="343">
        <v>9.83</v>
      </c>
    </row>
    <row r="7865" spans="1:4" ht="38.25">
      <c r="A7865" s="341">
        <v>38997</v>
      </c>
      <c r="B7865" s="342" t="s">
        <v>8700</v>
      </c>
      <c r="C7865" s="341" t="s">
        <v>7278</v>
      </c>
      <c r="D7865" s="343">
        <v>15.9</v>
      </c>
    </row>
    <row r="7866" spans="1:4" ht="25.5">
      <c r="A7866" s="341">
        <v>39862</v>
      </c>
      <c r="B7866" s="342" t="s">
        <v>8701</v>
      </c>
      <c r="C7866" s="341" t="s">
        <v>7278</v>
      </c>
      <c r="D7866" s="343">
        <v>6.24</v>
      </c>
    </row>
    <row r="7867" spans="1:4" ht="25.5">
      <c r="A7867" s="341">
        <v>39863</v>
      </c>
      <c r="B7867" s="342" t="s">
        <v>8702</v>
      </c>
      <c r="C7867" s="341" t="s">
        <v>7278</v>
      </c>
      <c r="D7867" s="343">
        <v>6.32</v>
      </c>
    </row>
    <row r="7868" spans="1:4" ht="25.5">
      <c r="A7868" s="341">
        <v>39864</v>
      </c>
      <c r="B7868" s="342" t="s">
        <v>8703</v>
      </c>
      <c r="C7868" s="341" t="s">
        <v>7278</v>
      </c>
      <c r="D7868" s="343">
        <v>7.85</v>
      </c>
    </row>
    <row r="7869" spans="1:4" ht="25.5">
      <c r="A7869" s="341">
        <v>39865</v>
      </c>
      <c r="B7869" s="342" t="s">
        <v>8704</v>
      </c>
      <c r="C7869" s="341" t="s">
        <v>7278</v>
      </c>
      <c r="D7869" s="343">
        <v>11.07</v>
      </c>
    </row>
    <row r="7870" spans="1:4" ht="38.25">
      <c r="A7870" s="341">
        <v>2517</v>
      </c>
      <c r="B7870" s="342" t="s">
        <v>8705</v>
      </c>
      <c r="C7870" s="341" t="s">
        <v>7278</v>
      </c>
      <c r="D7870" s="343">
        <v>12.65</v>
      </c>
    </row>
    <row r="7871" spans="1:4" ht="38.25">
      <c r="A7871" s="341">
        <v>2522</v>
      </c>
      <c r="B7871" s="342" t="s">
        <v>8706</v>
      </c>
      <c r="C7871" s="341" t="s">
        <v>7278</v>
      </c>
      <c r="D7871" s="343">
        <v>8.18</v>
      </c>
    </row>
    <row r="7872" spans="1:4" ht="38.25">
      <c r="A7872" s="341">
        <v>2548</v>
      </c>
      <c r="B7872" s="342" t="s">
        <v>8707</v>
      </c>
      <c r="C7872" s="341" t="s">
        <v>7278</v>
      </c>
      <c r="D7872" s="343">
        <v>5.03</v>
      </c>
    </row>
    <row r="7873" spans="1:4" ht="38.25">
      <c r="A7873" s="341">
        <v>2516</v>
      </c>
      <c r="B7873" s="342" t="s">
        <v>8708</v>
      </c>
      <c r="C7873" s="341" t="s">
        <v>7278</v>
      </c>
      <c r="D7873" s="343">
        <v>6.56</v>
      </c>
    </row>
    <row r="7874" spans="1:4" ht="38.25">
      <c r="A7874" s="341">
        <v>2518</v>
      </c>
      <c r="B7874" s="342" t="s">
        <v>8709</v>
      </c>
      <c r="C7874" s="341" t="s">
        <v>7278</v>
      </c>
      <c r="D7874" s="343">
        <v>60.24</v>
      </c>
    </row>
    <row r="7875" spans="1:4" ht="38.25">
      <c r="A7875" s="341">
        <v>2521</v>
      </c>
      <c r="B7875" s="342" t="s">
        <v>8710</v>
      </c>
      <c r="C7875" s="341" t="s">
        <v>7278</v>
      </c>
      <c r="D7875" s="343">
        <v>25.64</v>
      </c>
    </row>
    <row r="7876" spans="1:4" ht="38.25">
      <c r="A7876" s="341">
        <v>2515</v>
      </c>
      <c r="B7876" s="342" t="s">
        <v>8711</v>
      </c>
      <c r="C7876" s="341" t="s">
        <v>7278</v>
      </c>
      <c r="D7876" s="343">
        <v>5.46</v>
      </c>
    </row>
    <row r="7877" spans="1:4" ht="38.25">
      <c r="A7877" s="341">
        <v>2519</v>
      </c>
      <c r="B7877" s="342" t="s">
        <v>8712</v>
      </c>
      <c r="C7877" s="341" t="s">
        <v>7278</v>
      </c>
      <c r="D7877" s="343">
        <v>72.64</v>
      </c>
    </row>
    <row r="7878" spans="1:4" ht="38.25">
      <c r="A7878" s="341">
        <v>2520</v>
      </c>
      <c r="B7878" s="342" t="s">
        <v>8713</v>
      </c>
      <c r="C7878" s="341" t="s">
        <v>7278</v>
      </c>
      <c r="D7878" s="343">
        <v>133.69</v>
      </c>
    </row>
    <row r="7879" spans="1:4" ht="38.25">
      <c r="A7879" s="341">
        <v>1602</v>
      </c>
      <c r="B7879" s="342" t="s">
        <v>8714</v>
      </c>
      <c r="C7879" s="341" t="s">
        <v>7278</v>
      </c>
      <c r="D7879" s="343">
        <v>25.55</v>
      </c>
    </row>
    <row r="7880" spans="1:4" ht="38.25">
      <c r="A7880" s="341">
        <v>1601</v>
      </c>
      <c r="B7880" s="342" t="s">
        <v>8715</v>
      </c>
      <c r="C7880" s="341" t="s">
        <v>7278</v>
      </c>
      <c r="D7880" s="343">
        <v>22.77</v>
      </c>
    </row>
    <row r="7881" spans="1:4" ht="38.25">
      <c r="A7881" s="341">
        <v>1598</v>
      </c>
      <c r="B7881" s="342" t="s">
        <v>8716</v>
      </c>
      <c r="C7881" s="341" t="s">
        <v>7278</v>
      </c>
      <c r="D7881" s="343">
        <v>6.74</v>
      </c>
    </row>
    <row r="7882" spans="1:4" ht="38.25">
      <c r="A7882" s="341">
        <v>1600</v>
      </c>
      <c r="B7882" s="342" t="s">
        <v>8717</v>
      </c>
      <c r="C7882" s="341" t="s">
        <v>7278</v>
      </c>
      <c r="D7882" s="343">
        <v>9.9499999999999993</v>
      </c>
    </row>
    <row r="7883" spans="1:4" ht="38.25">
      <c r="A7883" s="341">
        <v>1603</v>
      </c>
      <c r="B7883" s="342" t="s">
        <v>8718</v>
      </c>
      <c r="C7883" s="341" t="s">
        <v>7278</v>
      </c>
      <c r="D7883" s="343">
        <v>38.58</v>
      </c>
    </row>
    <row r="7884" spans="1:4" ht="38.25">
      <c r="A7884" s="341">
        <v>1599</v>
      </c>
      <c r="B7884" s="342" t="s">
        <v>8719</v>
      </c>
      <c r="C7884" s="341" t="s">
        <v>7278</v>
      </c>
      <c r="D7884" s="343">
        <v>7.82</v>
      </c>
    </row>
    <row r="7885" spans="1:4" ht="38.25">
      <c r="A7885" s="341">
        <v>1597</v>
      </c>
      <c r="B7885" s="342" t="s">
        <v>8720</v>
      </c>
      <c r="C7885" s="341" t="s">
        <v>7278</v>
      </c>
      <c r="D7885" s="343">
        <v>6.33</v>
      </c>
    </row>
    <row r="7886" spans="1:4">
      <c r="A7886" s="341">
        <v>39600</v>
      </c>
      <c r="B7886" s="342" t="s">
        <v>8721</v>
      </c>
      <c r="C7886" s="341" t="s">
        <v>7278</v>
      </c>
      <c r="D7886" s="343">
        <v>9.57</v>
      </c>
    </row>
    <row r="7887" spans="1:4">
      <c r="A7887" s="341">
        <v>39601</v>
      </c>
      <c r="B7887" s="342" t="s">
        <v>8722</v>
      </c>
      <c r="C7887" s="341" t="s">
        <v>7278</v>
      </c>
      <c r="D7887" s="343">
        <v>16.64</v>
      </c>
    </row>
    <row r="7888" spans="1:4">
      <c r="A7888" s="341">
        <v>39602</v>
      </c>
      <c r="B7888" s="342" t="s">
        <v>8723</v>
      </c>
      <c r="C7888" s="341" t="s">
        <v>7278</v>
      </c>
      <c r="D7888" s="343">
        <v>1.0900000000000001</v>
      </c>
    </row>
    <row r="7889" spans="1:4">
      <c r="A7889" s="341">
        <v>39603</v>
      </c>
      <c r="B7889" s="342" t="s">
        <v>8724</v>
      </c>
      <c r="C7889" s="341" t="s">
        <v>7278</v>
      </c>
      <c r="D7889" s="343">
        <v>1.87</v>
      </c>
    </row>
    <row r="7890" spans="1:4" ht="38.25">
      <c r="A7890" s="341">
        <v>11821</v>
      </c>
      <c r="B7890" s="342" t="s">
        <v>8725</v>
      </c>
      <c r="C7890" s="341" t="s">
        <v>7278</v>
      </c>
      <c r="D7890" s="343">
        <v>5.2</v>
      </c>
    </row>
    <row r="7891" spans="1:4" ht="38.25">
      <c r="A7891" s="341">
        <v>1562</v>
      </c>
      <c r="B7891" s="342" t="s">
        <v>8726</v>
      </c>
      <c r="C7891" s="341" t="s">
        <v>7278</v>
      </c>
      <c r="D7891" s="343">
        <v>8.52</v>
      </c>
    </row>
    <row r="7892" spans="1:4" ht="38.25">
      <c r="A7892" s="341">
        <v>1563</v>
      </c>
      <c r="B7892" s="342" t="s">
        <v>8727</v>
      </c>
      <c r="C7892" s="341" t="s">
        <v>7278</v>
      </c>
      <c r="D7892" s="343">
        <v>11.44</v>
      </c>
    </row>
    <row r="7893" spans="1:4" ht="25.5">
      <c r="A7893" s="341">
        <v>11856</v>
      </c>
      <c r="B7893" s="342" t="s">
        <v>8728</v>
      </c>
      <c r="C7893" s="341" t="s">
        <v>7278</v>
      </c>
      <c r="D7893" s="343">
        <v>3.41</v>
      </c>
    </row>
    <row r="7894" spans="1:4" ht="25.5">
      <c r="A7894" s="341">
        <v>11857</v>
      </c>
      <c r="B7894" s="342" t="s">
        <v>8729</v>
      </c>
      <c r="C7894" s="341" t="s">
        <v>7278</v>
      </c>
      <c r="D7894" s="343">
        <v>17.940000000000001</v>
      </c>
    </row>
    <row r="7895" spans="1:4" ht="25.5">
      <c r="A7895" s="341">
        <v>11858</v>
      </c>
      <c r="B7895" s="342" t="s">
        <v>8730</v>
      </c>
      <c r="C7895" s="341" t="s">
        <v>7278</v>
      </c>
      <c r="D7895" s="343">
        <v>22.27</v>
      </c>
    </row>
    <row r="7896" spans="1:4" ht="25.5">
      <c r="A7896" s="341">
        <v>1539</v>
      </c>
      <c r="B7896" s="342" t="s">
        <v>8731</v>
      </c>
      <c r="C7896" s="341" t="s">
        <v>7278</v>
      </c>
      <c r="D7896" s="343">
        <v>4</v>
      </c>
    </row>
    <row r="7897" spans="1:4" ht="25.5">
      <c r="A7897" s="341">
        <v>11859</v>
      </c>
      <c r="B7897" s="342" t="s">
        <v>8732</v>
      </c>
      <c r="C7897" s="341" t="s">
        <v>7278</v>
      </c>
      <c r="D7897" s="343">
        <v>30.3</v>
      </c>
    </row>
    <row r="7898" spans="1:4" ht="25.5">
      <c r="A7898" s="341">
        <v>1550</v>
      </c>
      <c r="B7898" s="342" t="s">
        <v>8733</v>
      </c>
      <c r="C7898" s="341" t="s">
        <v>7278</v>
      </c>
      <c r="D7898" s="343">
        <v>4.22</v>
      </c>
    </row>
    <row r="7899" spans="1:4" ht="25.5">
      <c r="A7899" s="341">
        <v>11854</v>
      </c>
      <c r="B7899" s="342" t="s">
        <v>8734</v>
      </c>
      <c r="C7899" s="341" t="s">
        <v>7278</v>
      </c>
      <c r="D7899" s="343">
        <v>5.28</v>
      </c>
    </row>
    <row r="7900" spans="1:4" ht="25.5">
      <c r="A7900" s="341">
        <v>11862</v>
      </c>
      <c r="B7900" s="342" t="s">
        <v>8735</v>
      </c>
      <c r="C7900" s="341" t="s">
        <v>7278</v>
      </c>
      <c r="D7900" s="343">
        <v>7.41</v>
      </c>
    </row>
    <row r="7901" spans="1:4" ht="25.5">
      <c r="A7901" s="341">
        <v>11863</v>
      </c>
      <c r="B7901" s="342" t="s">
        <v>8736</v>
      </c>
      <c r="C7901" s="341" t="s">
        <v>7278</v>
      </c>
      <c r="D7901" s="343">
        <v>2.99</v>
      </c>
    </row>
    <row r="7902" spans="1:4" ht="25.5">
      <c r="A7902" s="341">
        <v>11855</v>
      </c>
      <c r="B7902" s="342" t="s">
        <v>8737</v>
      </c>
      <c r="C7902" s="341" t="s">
        <v>7278</v>
      </c>
      <c r="D7902" s="343">
        <v>11.06</v>
      </c>
    </row>
    <row r="7903" spans="1:4" ht="25.5">
      <c r="A7903" s="341">
        <v>11864</v>
      </c>
      <c r="B7903" s="342" t="s">
        <v>8738</v>
      </c>
      <c r="C7903" s="341" t="s">
        <v>7278</v>
      </c>
      <c r="D7903" s="343">
        <v>16.72</v>
      </c>
    </row>
    <row r="7904" spans="1:4" ht="51">
      <c r="A7904" s="341">
        <v>2527</v>
      </c>
      <c r="B7904" s="342" t="s">
        <v>8739</v>
      </c>
      <c r="C7904" s="341" t="s">
        <v>7278</v>
      </c>
      <c r="D7904" s="343">
        <v>4.53</v>
      </c>
    </row>
    <row r="7905" spans="1:4" ht="51">
      <c r="A7905" s="341">
        <v>2526</v>
      </c>
      <c r="B7905" s="342" t="s">
        <v>8740</v>
      </c>
      <c r="C7905" s="341" t="s">
        <v>7278</v>
      </c>
      <c r="D7905" s="343">
        <v>2.9</v>
      </c>
    </row>
    <row r="7906" spans="1:4" ht="51">
      <c r="A7906" s="341">
        <v>2487</v>
      </c>
      <c r="B7906" s="342" t="s">
        <v>8741</v>
      </c>
      <c r="C7906" s="341" t="s">
        <v>7278</v>
      </c>
      <c r="D7906" s="343">
        <v>0.99</v>
      </c>
    </row>
    <row r="7907" spans="1:4" ht="51">
      <c r="A7907" s="341">
        <v>2483</v>
      </c>
      <c r="B7907" s="342" t="s">
        <v>8742</v>
      </c>
      <c r="C7907" s="341" t="s">
        <v>7278</v>
      </c>
      <c r="D7907" s="343">
        <v>2.06</v>
      </c>
    </row>
    <row r="7908" spans="1:4" ht="51">
      <c r="A7908" s="341">
        <v>2528</v>
      </c>
      <c r="B7908" s="342" t="s">
        <v>8743</v>
      </c>
      <c r="C7908" s="341" t="s">
        <v>7278</v>
      </c>
      <c r="D7908" s="343">
        <v>11.4</v>
      </c>
    </row>
    <row r="7909" spans="1:4" ht="51">
      <c r="A7909" s="341">
        <v>2489</v>
      </c>
      <c r="B7909" s="342" t="s">
        <v>8744</v>
      </c>
      <c r="C7909" s="341" t="s">
        <v>7278</v>
      </c>
      <c r="D7909" s="343">
        <v>5.0199999999999996</v>
      </c>
    </row>
    <row r="7910" spans="1:4" ht="51">
      <c r="A7910" s="341">
        <v>2488</v>
      </c>
      <c r="B7910" s="342" t="s">
        <v>8745</v>
      </c>
      <c r="C7910" s="341" t="s">
        <v>7278</v>
      </c>
      <c r="D7910" s="343">
        <v>1.1599999999999999</v>
      </c>
    </row>
    <row r="7911" spans="1:4" ht="51">
      <c r="A7911" s="341">
        <v>2484</v>
      </c>
      <c r="B7911" s="342" t="s">
        <v>8746</v>
      </c>
      <c r="C7911" s="341" t="s">
        <v>7278</v>
      </c>
      <c r="D7911" s="343">
        <v>16.55</v>
      </c>
    </row>
    <row r="7912" spans="1:4" ht="51">
      <c r="A7912" s="341">
        <v>2485</v>
      </c>
      <c r="B7912" s="342" t="s">
        <v>8747</v>
      </c>
      <c r="C7912" s="341" t="s">
        <v>7278</v>
      </c>
      <c r="D7912" s="343">
        <v>25.95</v>
      </c>
    </row>
    <row r="7913" spans="1:4" ht="25.5">
      <c r="A7913" s="341">
        <v>38005</v>
      </c>
      <c r="B7913" s="342" t="s">
        <v>8748</v>
      </c>
      <c r="C7913" s="341" t="s">
        <v>7278</v>
      </c>
      <c r="D7913" s="343">
        <v>16.91</v>
      </c>
    </row>
    <row r="7914" spans="1:4" ht="25.5">
      <c r="A7914" s="341">
        <v>38006</v>
      </c>
      <c r="B7914" s="342" t="s">
        <v>8749</v>
      </c>
      <c r="C7914" s="341" t="s">
        <v>7278</v>
      </c>
      <c r="D7914" s="343">
        <v>20.75</v>
      </c>
    </row>
    <row r="7915" spans="1:4" ht="25.5">
      <c r="A7915" s="341">
        <v>38428</v>
      </c>
      <c r="B7915" s="342" t="s">
        <v>8750</v>
      </c>
      <c r="C7915" s="341" t="s">
        <v>7278</v>
      </c>
      <c r="D7915" s="343">
        <v>19.440000000000001</v>
      </c>
    </row>
    <row r="7916" spans="1:4" ht="25.5">
      <c r="A7916" s="341">
        <v>38007</v>
      </c>
      <c r="B7916" s="342" t="s">
        <v>8751</v>
      </c>
      <c r="C7916" s="341" t="s">
        <v>7278</v>
      </c>
      <c r="D7916" s="343">
        <v>31.77</v>
      </c>
    </row>
    <row r="7917" spans="1:4" ht="25.5">
      <c r="A7917" s="341">
        <v>38008</v>
      </c>
      <c r="B7917" s="342" t="s">
        <v>8752</v>
      </c>
      <c r="C7917" s="341" t="s">
        <v>7278</v>
      </c>
      <c r="D7917" s="343">
        <v>127.94</v>
      </c>
    </row>
    <row r="7918" spans="1:4" ht="25.5">
      <c r="A7918" s="341">
        <v>38009</v>
      </c>
      <c r="B7918" s="342" t="s">
        <v>8753</v>
      </c>
      <c r="C7918" s="341" t="s">
        <v>7278</v>
      </c>
      <c r="D7918" s="343">
        <v>156.36000000000001</v>
      </c>
    </row>
    <row r="7919" spans="1:4" ht="38.25">
      <c r="A7919" s="341">
        <v>39279</v>
      </c>
      <c r="B7919" s="342" t="s">
        <v>8754</v>
      </c>
      <c r="C7919" s="341" t="s">
        <v>7278</v>
      </c>
      <c r="D7919" s="343">
        <v>9.92</v>
      </c>
    </row>
    <row r="7920" spans="1:4" ht="38.25">
      <c r="A7920" s="341">
        <v>38845</v>
      </c>
      <c r="B7920" s="342" t="s">
        <v>8755</v>
      </c>
      <c r="C7920" s="341" t="s">
        <v>7278</v>
      </c>
      <c r="D7920" s="343">
        <v>14.36</v>
      </c>
    </row>
    <row r="7921" spans="1:4" ht="38.25">
      <c r="A7921" s="341">
        <v>39280</v>
      </c>
      <c r="B7921" s="342" t="s">
        <v>8756</v>
      </c>
      <c r="C7921" s="341" t="s">
        <v>7278</v>
      </c>
      <c r="D7921" s="343">
        <v>12.86</v>
      </c>
    </row>
    <row r="7922" spans="1:4" ht="38.25">
      <c r="A7922" s="341">
        <v>39281</v>
      </c>
      <c r="B7922" s="342" t="s">
        <v>8757</v>
      </c>
      <c r="C7922" s="341" t="s">
        <v>7278</v>
      </c>
      <c r="D7922" s="343">
        <v>16.93</v>
      </c>
    </row>
    <row r="7923" spans="1:4" ht="38.25">
      <c r="A7923" s="341">
        <v>38849</v>
      </c>
      <c r="B7923" s="342" t="s">
        <v>8758</v>
      </c>
      <c r="C7923" s="341" t="s">
        <v>7278</v>
      </c>
      <c r="D7923" s="343">
        <v>14.51</v>
      </c>
    </row>
    <row r="7924" spans="1:4" ht="38.25">
      <c r="A7924" s="341">
        <v>39282</v>
      </c>
      <c r="B7924" s="342" t="s">
        <v>8759</v>
      </c>
      <c r="C7924" s="341" t="s">
        <v>7278</v>
      </c>
      <c r="D7924" s="343">
        <v>17.34</v>
      </c>
    </row>
    <row r="7925" spans="1:4" ht="38.25">
      <c r="A7925" s="341">
        <v>38852</v>
      </c>
      <c r="B7925" s="342" t="s">
        <v>8760</v>
      </c>
      <c r="C7925" s="341" t="s">
        <v>7278</v>
      </c>
      <c r="D7925" s="343">
        <v>23.59</v>
      </c>
    </row>
    <row r="7926" spans="1:4" ht="38.25">
      <c r="A7926" s="341">
        <v>38844</v>
      </c>
      <c r="B7926" s="342" t="s">
        <v>8761</v>
      </c>
      <c r="C7926" s="341" t="s">
        <v>7278</v>
      </c>
      <c r="D7926" s="343">
        <v>7.25</v>
      </c>
    </row>
    <row r="7927" spans="1:4" ht="38.25">
      <c r="A7927" s="341">
        <v>38846</v>
      </c>
      <c r="B7927" s="342" t="s">
        <v>8762</v>
      </c>
      <c r="C7927" s="341" t="s">
        <v>7278</v>
      </c>
      <c r="D7927" s="343">
        <v>7.93</v>
      </c>
    </row>
    <row r="7928" spans="1:4" ht="38.25">
      <c r="A7928" s="341">
        <v>38847</v>
      </c>
      <c r="B7928" s="342" t="s">
        <v>8763</v>
      </c>
      <c r="C7928" s="341" t="s">
        <v>7278</v>
      </c>
      <c r="D7928" s="343">
        <v>9.75</v>
      </c>
    </row>
    <row r="7929" spans="1:4" ht="38.25">
      <c r="A7929" s="341">
        <v>38850</v>
      </c>
      <c r="B7929" s="342" t="s">
        <v>8764</v>
      </c>
      <c r="C7929" s="341" t="s">
        <v>7278</v>
      </c>
      <c r="D7929" s="343">
        <v>13.56</v>
      </c>
    </row>
    <row r="7930" spans="1:4" ht="38.25">
      <c r="A7930" s="341">
        <v>38848</v>
      </c>
      <c r="B7930" s="342" t="s">
        <v>8765</v>
      </c>
      <c r="C7930" s="341" t="s">
        <v>7278</v>
      </c>
      <c r="D7930" s="343">
        <v>11.34</v>
      </c>
    </row>
    <row r="7931" spans="1:4" ht="38.25">
      <c r="A7931" s="341">
        <v>38851</v>
      </c>
      <c r="B7931" s="342" t="s">
        <v>8766</v>
      </c>
      <c r="C7931" s="341" t="s">
        <v>7278</v>
      </c>
      <c r="D7931" s="343">
        <v>20.61</v>
      </c>
    </row>
    <row r="7932" spans="1:4" ht="25.5">
      <c r="A7932" s="341">
        <v>38860</v>
      </c>
      <c r="B7932" s="342" t="s">
        <v>8767</v>
      </c>
      <c r="C7932" s="341" t="s">
        <v>7278</v>
      </c>
      <c r="D7932" s="343">
        <v>5.82</v>
      </c>
    </row>
    <row r="7933" spans="1:4" ht="25.5">
      <c r="A7933" s="341">
        <v>38861</v>
      </c>
      <c r="B7933" s="342" t="s">
        <v>8768</v>
      </c>
      <c r="C7933" s="341" t="s">
        <v>7278</v>
      </c>
      <c r="D7933" s="343">
        <v>7.84</v>
      </c>
    </row>
    <row r="7934" spans="1:4" ht="25.5">
      <c r="A7934" s="341">
        <v>38862</v>
      </c>
      <c r="B7934" s="342" t="s">
        <v>8769</v>
      </c>
      <c r="C7934" s="341" t="s">
        <v>7278</v>
      </c>
      <c r="D7934" s="343">
        <v>6.61</v>
      </c>
    </row>
    <row r="7935" spans="1:4" ht="25.5">
      <c r="A7935" s="341">
        <v>38863</v>
      </c>
      <c r="B7935" s="342" t="s">
        <v>8770</v>
      </c>
      <c r="C7935" s="341" t="s">
        <v>7278</v>
      </c>
      <c r="D7935" s="343">
        <v>7.59</v>
      </c>
    </row>
    <row r="7936" spans="1:4" ht="25.5">
      <c r="A7936" s="341">
        <v>38865</v>
      </c>
      <c r="B7936" s="342" t="s">
        <v>8771</v>
      </c>
      <c r="C7936" s="341" t="s">
        <v>7278</v>
      </c>
      <c r="D7936" s="343">
        <v>10.31</v>
      </c>
    </row>
    <row r="7937" spans="1:4" ht="25.5">
      <c r="A7937" s="341">
        <v>38864</v>
      </c>
      <c r="B7937" s="342" t="s">
        <v>8772</v>
      </c>
      <c r="C7937" s="341" t="s">
        <v>7278</v>
      </c>
      <c r="D7937" s="343">
        <v>15.76</v>
      </c>
    </row>
    <row r="7938" spans="1:4" ht="25.5">
      <c r="A7938" s="341">
        <v>38866</v>
      </c>
      <c r="B7938" s="342" t="s">
        <v>8773</v>
      </c>
      <c r="C7938" s="341" t="s">
        <v>7278</v>
      </c>
      <c r="D7938" s="343">
        <v>11.09</v>
      </c>
    </row>
    <row r="7939" spans="1:4" ht="25.5">
      <c r="A7939" s="341">
        <v>38868</v>
      </c>
      <c r="B7939" s="342" t="s">
        <v>8774</v>
      </c>
      <c r="C7939" s="341" t="s">
        <v>7278</v>
      </c>
      <c r="D7939" s="343">
        <v>18.5</v>
      </c>
    </row>
    <row r="7940" spans="1:4" ht="38.25">
      <c r="A7940" s="341">
        <v>38853</v>
      </c>
      <c r="B7940" s="342" t="s">
        <v>8775</v>
      </c>
      <c r="C7940" s="341" t="s">
        <v>7278</v>
      </c>
      <c r="D7940" s="343">
        <v>5.97</v>
      </c>
    </row>
    <row r="7941" spans="1:4" ht="38.25">
      <c r="A7941" s="341">
        <v>38854</v>
      </c>
      <c r="B7941" s="342" t="s">
        <v>8776</v>
      </c>
      <c r="C7941" s="341" t="s">
        <v>7278</v>
      </c>
      <c r="D7941" s="343">
        <v>8.17</v>
      </c>
    </row>
    <row r="7942" spans="1:4" ht="38.25">
      <c r="A7942" s="341">
        <v>38855</v>
      </c>
      <c r="B7942" s="342" t="s">
        <v>8777</v>
      </c>
      <c r="C7942" s="341" t="s">
        <v>7278</v>
      </c>
      <c r="D7942" s="343">
        <v>6.06</v>
      </c>
    </row>
    <row r="7943" spans="1:4" ht="38.25">
      <c r="A7943" s="341">
        <v>38856</v>
      </c>
      <c r="B7943" s="342" t="s">
        <v>8778</v>
      </c>
      <c r="C7943" s="341" t="s">
        <v>7278</v>
      </c>
      <c r="D7943" s="343">
        <v>9.73</v>
      </c>
    </row>
    <row r="7944" spans="1:4" ht="38.25">
      <c r="A7944" s="341">
        <v>38857</v>
      </c>
      <c r="B7944" s="342" t="s">
        <v>8779</v>
      </c>
      <c r="C7944" s="341" t="s">
        <v>7278</v>
      </c>
      <c r="D7944" s="343">
        <v>12.87</v>
      </c>
    </row>
    <row r="7945" spans="1:4" ht="38.25">
      <c r="A7945" s="341">
        <v>38858</v>
      </c>
      <c r="B7945" s="342" t="s">
        <v>8780</v>
      </c>
      <c r="C7945" s="341" t="s">
        <v>7278</v>
      </c>
      <c r="D7945" s="343">
        <v>11.7</v>
      </c>
    </row>
    <row r="7946" spans="1:4" ht="38.25">
      <c r="A7946" s="341">
        <v>38859</v>
      </c>
      <c r="B7946" s="342" t="s">
        <v>8781</v>
      </c>
      <c r="C7946" s="341" t="s">
        <v>7278</v>
      </c>
      <c r="D7946" s="343">
        <v>18.95</v>
      </c>
    </row>
    <row r="7947" spans="1:4" ht="38.25">
      <c r="A7947" s="341">
        <v>1607</v>
      </c>
      <c r="B7947" s="342" t="s">
        <v>8782</v>
      </c>
      <c r="C7947" s="341" t="s">
        <v>8783</v>
      </c>
      <c r="D7947" s="343">
        <v>0.15</v>
      </c>
    </row>
    <row r="7948" spans="1:4" ht="51">
      <c r="A7948" s="341">
        <v>11467</v>
      </c>
      <c r="B7948" s="342" t="s">
        <v>8784</v>
      </c>
      <c r="C7948" s="341" t="s">
        <v>7278</v>
      </c>
      <c r="D7948" s="343">
        <v>13.54</v>
      </c>
    </row>
    <row r="7949" spans="1:4" ht="51">
      <c r="A7949" s="341">
        <v>38169</v>
      </c>
      <c r="B7949" s="342" t="s">
        <v>8785</v>
      </c>
      <c r="C7949" s="341" t="s">
        <v>8783</v>
      </c>
      <c r="D7949" s="343">
        <v>61.06</v>
      </c>
    </row>
    <row r="7950" spans="1:4" ht="38.25">
      <c r="A7950" s="341">
        <v>6142</v>
      </c>
      <c r="B7950" s="342" t="s">
        <v>8786</v>
      </c>
      <c r="C7950" s="341" t="s">
        <v>7278</v>
      </c>
      <c r="D7950" s="343">
        <v>5.43</v>
      </c>
    </row>
    <row r="7951" spans="1:4" ht="38.25">
      <c r="A7951" s="341">
        <v>11686</v>
      </c>
      <c r="B7951" s="342" t="s">
        <v>8787</v>
      </c>
      <c r="C7951" s="341" t="s">
        <v>7278</v>
      </c>
      <c r="D7951" s="343">
        <v>7.53</v>
      </c>
    </row>
    <row r="7952" spans="1:4" ht="38.25">
      <c r="A7952" s="341">
        <v>37598</v>
      </c>
      <c r="B7952" s="342" t="s">
        <v>8788</v>
      </c>
      <c r="C7952" s="341" t="s">
        <v>7278</v>
      </c>
      <c r="D7952" s="343">
        <v>17.440000000000001</v>
      </c>
    </row>
    <row r="7953" spans="1:4" ht="63.75">
      <c r="A7953" s="341">
        <v>25398</v>
      </c>
      <c r="B7953" s="342" t="s">
        <v>8789</v>
      </c>
      <c r="C7953" s="341" t="s">
        <v>7278</v>
      </c>
      <c r="D7953" s="344">
        <v>2174.38</v>
      </c>
    </row>
    <row r="7954" spans="1:4" ht="76.5">
      <c r="A7954" s="341">
        <v>25399</v>
      </c>
      <c r="B7954" s="342" t="s">
        <v>8790</v>
      </c>
      <c r="C7954" s="341" t="s">
        <v>7278</v>
      </c>
      <c r="D7954" s="344">
        <v>1320.04</v>
      </c>
    </row>
    <row r="7955" spans="1:4" ht="51">
      <c r="A7955" s="341">
        <v>10667</v>
      </c>
      <c r="B7955" s="342" t="s">
        <v>8791</v>
      </c>
      <c r="C7955" s="341" t="s">
        <v>7278</v>
      </c>
      <c r="D7955" s="344">
        <v>9846</v>
      </c>
    </row>
    <row r="7956" spans="1:4" ht="38.25">
      <c r="A7956" s="341">
        <v>1613</v>
      </c>
      <c r="B7956" s="342" t="s">
        <v>8792</v>
      </c>
      <c r="C7956" s="341" t="s">
        <v>7278</v>
      </c>
      <c r="D7956" s="344">
        <v>1005.11</v>
      </c>
    </row>
    <row r="7957" spans="1:4" ht="38.25">
      <c r="A7957" s="341">
        <v>1626</v>
      </c>
      <c r="B7957" s="342" t="s">
        <v>8793</v>
      </c>
      <c r="C7957" s="341" t="s">
        <v>7278</v>
      </c>
      <c r="D7957" s="344">
        <v>1503.27</v>
      </c>
    </row>
    <row r="7958" spans="1:4" ht="38.25">
      <c r="A7958" s="341">
        <v>1625</v>
      </c>
      <c r="B7958" s="342" t="s">
        <v>8794</v>
      </c>
      <c r="C7958" s="341" t="s">
        <v>7278</v>
      </c>
      <c r="D7958" s="343">
        <v>104.99</v>
      </c>
    </row>
    <row r="7959" spans="1:4" ht="38.25">
      <c r="A7959" s="341">
        <v>1622</v>
      </c>
      <c r="B7959" s="342" t="s">
        <v>8795</v>
      </c>
      <c r="C7959" s="341" t="s">
        <v>7278</v>
      </c>
      <c r="D7959" s="344">
        <v>3392.27</v>
      </c>
    </row>
    <row r="7960" spans="1:4" ht="38.25">
      <c r="A7960" s="341">
        <v>1620</v>
      </c>
      <c r="B7960" s="342" t="s">
        <v>8796</v>
      </c>
      <c r="C7960" s="341" t="s">
        <v>7278</v>
      </c>
      <c r="D7960" s="343">
        <v>221.18</v>
      </c>
    </row>
    <row r="7961" spans="1:4" ht="38.25">
      <c r="A7961" s="341">
        <v>1629</v>
      </c>
      <c r="B7961" s="342" t="s">
        <v>8797</v>
      </c>
      <c r="C7961" s="341" t="s">
        <v>7278</v>
      </c>
      <c r="D7961" s="344">
        <v>8255.99</v>
      </c>
    </row>
    <row r="7962" spans="1:4" ht="38.25">
      <c r="A7962" s="341">
        <v>1627</v>
      </c>
      <c r="B7962" s="342" t="s">
        <v>8798</v>
      </c>
      <c r="C7962" s="341" t="s">
        <v>7278</v>
      </c>
      <c r="D7962" s="343">
        <v>422.78</v>
      </c>
    </row>
    <row r="7963" spans="1:4" ht="38.25">
      <c r="A7963" s="341">
        <v>1623</v>
      </c>
      <c r="B7963" s="342" t="s">
        <v>8799</v>
      </c>
      <c r="C7963" s="341" t="s">
        <v>7278</v>
      </c>
      <c r="D7963" s="343">
        <v>85.63</v>
      </c>
    </row>
    <row r="7964" spans="1:4" ht="38.25">
      <c r="A7964" s="341">
        <v>1619</v>
      </c>
      <c r="B7964" s="342" t="s">
        <v>8800</v>
      </c>
      <c r="C7964" s="341" t="s">
        <v>7278</v>
      </c>
      <c r="D7964" s="343">
        <v>117.79</v>
      </c>
    </row>
    <row r="7965" spans="1:4" ht="38.25">
      <c r="A7965" s="341">
        <v>1630</v>
      </c>
      <c r="B7965" s="342" t="s">
        <v>8801</v>
      </c>
      <c r="C7965" s="341" t="s">
        <v>7278</v>
      </c>
      <c r="D7965" s="344">
        <v>2593.46</v>
      </c>
    </row>
    <row r="7966" spans="1:4" ht="38.25">
      <c r="A7966" s="341">
        <v>1616</v>
      </c>
      <c r="B7966" s="342" t="s">
        <v>8802</v>
      </c>
      <c r="C7966" s="341" t="s">
        <v>7278</v>
      </c>
      <c r="D7966" s="344">
        <v>3988.79</v>
      </c>
    </row>
    <row r="7967" spans="1:4" ht="38.25">
      <c r="A7967" s="341">
        <v>1614</v>
      </c>
      <c r="B7967" s="342" t="s">
        <v>8803</v>
      </c>
      <c r="C7967" s="341" t="s">
        <v>7278</v>
      </c>
      <c r="D7967" s="343">
        <v>182.3</v>
      </c>
    </row>
    <row r="7968" spans="1:4" ht="38.25">
      <c r="A7968" s="341">
        <v>1617</v>
      </c>
      <c r="B7968" s="342" t="s">
        <v>8804</v>
      </c>
      <c r="C7968" s="341" t="s">
        <v>7278</v>
      </c>
      <c r="D7968" s="344">
        <v>4761.76</v>
      </c>
    </row>
    <row r="7969" spans="1:4" ht="38.25">
      <c r="A7969" s="341">
        <v>1621</v>
      </c>
      <c r="B7969" s="342" t="s">
        <v>8805</v>
      </c>
      <c r="C7969" s="341" t="s">
        <v>7278</v>
      </c>
      <c r="D7969" s="343">
        <v>326.04000000000002</v>
      </c>
    </row>
    <row r="7970" spans="1:4" ht="38.25">
      <c r="A7970" s="341">
        <v>1624</v>
      </c>
      <c r="B7970" s="342" t="s">
        <v>8806</v>
      </c>
      <c r="C7970" s="341" t="s">
        <v>7278</v>
      </c>
      <c r="D7970" s="344">
        <v>11704.64</v>
      </c>
    </row>
    <row r="7971" spans="1:4" ht="38.25">
      <c r="A7971" s="341">
        <v>1615</v>
      </c>
      <c r="B7971" s="342" t="s">
        <v>8807</v>
      </c>
      <c r="C7971" s="341" t="s">
        <v>7278</v>
      </c>
      <c r="D7971" s="343">
        <v>612.25</v>
      </c>
    </row>
    <row r="7972" spans="1:4" ht="38.25">
      <c r="A7972" s="341">
        <v>1612</v>
      </c>
      <c r="B7972" s="342" t="s">
        <v>8808</v>
      </c>
      <c r="C7972" s="341" t="s">
        <v>7278</v>
      </c>
      <c r="D7972" s="343">
        <v>80.64</v>
      </c>
    </row>
    <row r="7973" spans="1:4" ht="38.25">
      <c r="A7973" s="341">
        <v>1618</v>
      </c>
      <c r="B7973" s="342" t="s">
        <v>8809</v>
      </c>
      <c r="C7973" s="341" t="s">
        <v>7278</v>
      </c>
      <c r="D7973" s="343">
        <v>841.33</v>
      </c>
    </row>
    <row r="7974" spans="1:4" ht="25.5">
      <c r="A7974" s="341">
        <v>14211</v>
      </c>
      <c r="B7974" s="342" t="s">
        <v>8810</v>
      </c>
      <c r="C7974" s="341" t="s">
        <v>7278</v>
      </c>
      <c r="D7974" s="343">
        <v>23.8</v>
      </c>
    </row>
    <row r="7975" spans="1:4">
      <c r="A7975" s="341">
        <v>34500</v>
      </c>
      <c r="B7975" s="342" t="s">
        <v>8811</v>
      </c>
      <c r="C7975" s="341" t="s">
        <v>7275</v>
      </c>
      <c r="D7975" s="343">
        <v>116.37</v>
      </c>
    </row>
    <row r="7976" spans="1:4" ht="25.5">
      <c r="A7976" s="341">
        <v>40934</v>
      </c>
      <c r="B7976" s="342" t="s">
        <v>8812</v>
      </c>
      <c r="C7976" s="341" t="s">
        <v>7466</v>
      </c>
      <c r="D7976" s="344">
        <v>20515.259999999998</v>
      </c>
    </row>
    <row r="7977" spans="1:4" ht="25.5">
      <c r="A7977" s="341">
        <v>5328</v>
      </c>
      <c r="B7977" s="342" t="s">
        <v>8813</v>
      </c>
      <c r="C7977" s="341" t="s">
        <v>7278</v>
      </c>
      <c r="D7977" s="343">
        <v>4.01</v>
      </c>
    </row>
    <row r="7978" spans="1:4" ht="25.5">
      <c r="A7978" s="341">
        <v>38200</v>
      </c>
      <c r="B7978" s="342" t="s">
        <v>8814</v>
      </c>
      <c r="C7978" s="341" t="s">
        <v>8815</v>
      </c>
      <c r="D7978" s="343">
        <v>589.87</v>
      </c>
    </row>
    <row r="7979" spans="1:4" ht="38.25">
      <c r="A7979" s="341">
        <v>39269</v>
      </c>
      <c r="B7979" s="342" t="s">
        <v>8816</v>
      </c>
      <c r="C7979" s="341" t="s">
        <v>7287</v>
      </c>
      <c r="D7979" s="343">
        <v>0.76</v>
      </c>
    </row>
    <row r="7980" spans="1:4" ht="38.25">
      <c r="A7980" s="341">
        <v>11889</v>
      </c>
      <c r="B7980" s="342" t="s">
        <v>8817</v>
      </c>
      <c r="C7980" s="341" t="s">
        <v>7287</v>
      </c>
      <c r="D7980" s="343">
        <v>1.06</v>
      </c>
    </row>
    <row r="7981" spans="1:4" ht="38.25">
      <c r="A7981" s="341">
        <v>39270</v>
      </c>
      <c r="B7981" s="342" t="s">
        <v>8818</v>
      </c>
      <c r="C7981" s="341" t="s">
        <v>7287</v>
      </c>
      <c r="D7981" s="343">
        <v>1.27</v>
      </c>
    </row>
    <row r="7982" spans="1:4" ht="38.25">
      <c r="A7982" s="341">
        <v>11890</v>
      </c>
      <c r="B7982" s="342" t="s">
        <v>8819</v>
      </c>
      <c r="C7982" s="341" t="s">
        <v>7287</v>
      </c>
      <c r="D7982" s="343">
        <v>1.65</v>
      </c>
    </row>
    <row r="7983" spans="1:4" ht="38.25">
      <c r="A7983" s="341">
        <v>11891</v>
      </c>
      <c r="B7983" s="342" t="s">
        <v>8820</v>
      </c>
      <c r="C7983" s="341" t="s">
        <v>7287</v>
      </c>
      <c r="D7983" s="343">
        <v>2.72</v>
      </c>
    </row>
    <row r="7984" spans="1:4" ht="38.25">
      <c r="A7984" s="341">
        <v>11892</v>
      </c>
      <c r="B7984" s="342" t="s">
        <v>8821</v>
      </c>
      <c r="C7984" s="341" t="s">
        <v>7287</v>
      </c>
      <c r="D7984" s="343">
        <v>4.2</v>
      </c>
    </row>
    <row r="7985" spans="1:4">
      <c r="A7985" s="341">
        <v>37601</v>
      </c>
      <c r="B7985" s="342" t="s">
        <v>8822</v>
      </c>
      <c r="C7985" s="341" t="s">
        <v>7287</v>
      </c>
      <c r="D7985" s="343">
        <v>3.87</v>
      </c>
    </row>
    <row r="7986" spans="1:4">
      <c r="A7986" s="341">
        <v>1634</v>
      </c>
      <c r="B7986" s="342" t="s">
        <v>8823</v>
      </c>
      <c r="C7986" s="341" t="s">
        <v>7287</v>
      </c>
      <c r="D7986" s="343">
        <v>4</v>
      </c>
    </row>
    <row r="7987" spans="1:4" ht="38.25">
      <c r="A7987" s="341">
        <v>5086</v>
      </c>
      <c r="B7987" s="342" t="s">
        <v>8824</v>
      </c>
      <c r="C7987" s="341" t="s">
        <v>7338</v>
      </c>
      <c r="D7987" s="343">
        <v>25.28</v>
      </c>
    </row>
    <row r="7988" spans="1:4" ht="51">
      <c r="A7988" s="341">
        <v>11280</v>
      </c>
      <c r="B7988" s="342" t="s">
        <v>8825</v>
      </c>
      <c r="C7988" s="341" t="s">
        <v>7278</v>
      </c>
      <c r="D7988" s="344">
        <v>11769.34</v>
      </c>
    </row>
    <row r="7989" spans="1:4" ht="38.25">
      <c r="A7989" s="341">
        <v>40519</v>
      </c>
      <c r="B7989" s="342" t="s">
        <v>8826</v>
      </c>
      <c r="C7989" s="341" t="s">
        <v>7278</v>
      </c>
      <c r="D7989" s="344">
        <v>97022.39</v>
      </c>
    </row>
    <row r="7990" spans="1:4" ht="25.5">
      <c r="A7990" s="341">
        <v>39869</v>
      </c>
      <c r="B7990" s="342" t="s">
        <v>8827</v>
      </c>
      <c r="C7990" s="341" t="s">
        <v>7278</v>
      </c>
      <c r="D7990" s="343">
        <v>6.19</v>
      </c>
    </row>
    <row r="7991" spans="1:4" ht="25.5">
      <c r="A7991" s="341">
        <v>39870</v>
      </c>
      <c r="B7991" s="342" t="s">
        <v>8828</v>
      </c>
      <c r="C7991" s="341" t="s">
        <v>7278</v>
      </c>
      <c r="D7991" s="343">
        <v>9.48</v>
      </c>
    </row>
    <row r="7992" spans="1:4" ht="25.5">
      <c r="A7992" s="341">
        <v>39871</v>
      </c>
      <c r="B7992" s="342" t="s">
        <v>8829</v>
      </c>
      <c r="C7992" s="341" t="s">
        <v>7278</v>
      </c>
      <c r="D7992" s="343">
        <v>10.62</v>
      </c>
    </row>
    <row r="7993" spans="1:4" ht="25.5">
      <c r="A7993" s="341">
        <v>12722</v>
      </c>
      <c r="B7993" s="342" t="s">
        <v>8830</v>
      </c>
      <c r="C7993" s="341" t="s">
        <v>7278</v>
      </c>
      <c r="D7993" s="343">
        <v>355.56</v>
      </c>
    </row>
    <row r="7994" spans="1:4" ht="25.5">
      <c r="A7994" s="341">
        <v>12714</v>
      </c>
      <c r="B7994" s="342" t="s">
        <v>8831</v>
      </c>
      <c r="C7994" s="341" t="s">
        <v>7278</v>
      </c>
      <c r="D7994" s="343">
        <v>2.3199999999999998</v>
      </c>
    </row>
    <row r="7995" spans="1:4" ht="25.5">
      <c r="A7995" s="341">
        <v>12715</v>
      </c>
      <c r="B7995" s="342" t="s">
        <v>8832</v>
      </c>
      <c r="C7995" s="341" t="s">
        <v>7278</v>
      </c>
      <c r="D7995" s="343">
        <v>5.24</v>
      </c>
    </row>
    <row r="7996" spans="1:4" ht="25.5">
      <c r="A7996" s="341">
        <v>12716</v>
      </c>
      <c r="B7996" s="342" t="s">
        <v>8833</v>
      </c>
      <c r="C7996" s="341" t="s">
        <v>7278</v>
      </c>
      <c r="D7996" s="343">
        <v>9</v>
      </c>
    </row>
    <row r="7997" spans="1:4" ht="25.5">
      <c r="A7997" s="341">
        <v>12717</v>
      </c>
      <c r="B7997" s="342" t="s">
        <v>8834</v>
      </c>
      <c r="C7997" s="341" t="s">
        <v>7278</v>
      </c>
      <c r="D7997" s="343">
        <v>17.690000000000001</v>
      </c>
    </row>
    <row r="7998" spans="1:4" ht="25.5">
      <c r="A7998" s="341">
        <v>12718</v>
      </c>
      <c r="B7998" s="342" t="s">
        <v>8835</v>
      </c>
      <c r="C7998" s="341" t="s">
        <v>7278</v>
      </c>
      <c r="D7998" s="343">
        <v>27.14</v>
      </c>
    </row>
    <row r="7999" spans="1:4" ht="25.5">
      <c r="A7999" s="341">
        <v>12719</v>
      </c>
      <c r="B7999" s="342" t="s">
        <v>8836</v>
      </c>
      <c r="C7999" s="341" t="s">
        <v>7278</v>
      </c>
      <c r="D7999" s="343">
        <v>43.09</v>
      </c>
    </row>
    <row r="8000" spans="1:4" ht="25.5">
      <c r="A8000" s="341">
        <v>12720</v>
      </c>
      <c r="B8000" s="342" t="s">
        <v>8837</v>
      </c>
      <c r="C8000" s="341" t="s">
        <v>7278</v>
      </c>
      <c r="D8000" s="343">
        <v>150.06</v>
      </c>
    </row>
    <row r="8001" spans="1:4" ht="25.5">
      <c r="A8001" s="341">
        <v>12721</v>
      </c>
      <c r="B8001" s="342" t="s">
        <v>8838</v>
      </c>
      <c r="C8001" s="341" t="s">
        <v>7278</v>
      </c>
      <c r="D8001" s="343">
        <v>143.88999999999999</v>
      </c>
    </row>
    <row r="8002" spans="1:4" ht="25.5">
      <c r="A8002" s="341">
        <v>3468</v>
      </c>
      <c r="B8002" s="342" t="s">
        <v>8839</v>
      </c>
      <c r="C8002" s="341" t="s">
        <v>7278</v>
      </c>
      <c r="D8002" s="343">
        <v>21.46</v>
      </c>
    </row>
    <row r="8003" spans="1:4" ht="25.5">
      <c r="A8003" s="341">
        <v>3465</v>
      </c>
      <c r="B8003" s="342" t="s">
        <v>8840</v>
      </c>
      <c r="C8003" s="341" t="s">
        <v>7278</v>
      </c>
      <c r="D8003" s="343">
        <v>21.46</v>
      </c>
    </row>
    <row r="8004" spans="1:4" ht="25.5">
      <c r="A8004" s="341">
        <v>12403</v>
      </c>
      <c r="B8004" s="342" t="s">
        <v>8841</v>
      </c>
      <c r="C8004" s="341" t="s">
        <v>7278</v>
      </c>
      <c r="D8004" s="343">
        <v>15.29</v>
      </c>
    </row>
    <row r="8005" spans="1:4" ht="25.5">
      <c r="A8005" s="341">
        <v>3463</v>
      </c>
      <c r="B8005" s="342" t="s">
        <v>8842</v>
      </c>
      <c r="C8005" s="341" t="s">
        <v>7278</v>
      </c>
      <c r="D8005" s="343">
        <v>8.93</v>
      </c>
    </row>
    <row r="8006" spans="1:4" ht="25.5">
      <c r="A8006" s="341">
        <v>3464</v>
      </c>
      <c r="B8006" s="342" t="s">
        <v>8843</v>
      </c>
      <c r="C8006" s="341" t="s">
        <v>7278</v>
      </c>
      <c r="D8006" s="343">
        <v>8.93</v>
      </c>
    </row>
    <row r="8007" spans="1:4" ht="25.5">
      <c r="A8007" s="341">
        <v>3466</v>
      </c>
      <c r="B8007" s="342" t="s">
        <v>8844</v>
      </c>
      <c r="C8007" s="341" t="s">
        <v>7278</v>
      </c>
      <c r="D8007" s="343">
        <v>54.5</v>
      </c>
    </row>
    <row r="8008" spans="1:4" ht="25.5">
      <c r="A8008" s="341">
        <v>3467</v>
      </c>
      <c r="B8008" s="342" t="s">
        <v>8845</v>
      </c>
      <c r="C8008" s="341" t="s">
        <v>7278</v>
      </c>
      <c r="D8008" s="343">
        <v>30.78</v>
      </c>
    </row>
    <row r="8009" spans="1:4" ht="25.5">
      <c r="A8009" s="341">
        <v>3462</v>
      </c>
      <c r="B8009" s="342" t="s">
        <v>8846</v>
      </c>
      <c r="C8009" s="341" t="s">
        <v>7278</v>
      </c>
      <c r="D8009" s="343">
        <v>5.89</v>
      </c>
    </row>
    <row r="8010" spans="1:4" ht="25.5">
      <c r="A8010" s="341">
        <v>3446</v>
      </c>
      <c r="B8010" s="342" t="s">
        <v>8847</v>
      </c>
      <c r="C8010" s="341" t="s">
        <v>7278</v>
      </c>
      <c r="D8010" s="343">
        <v>18.14</v>
      </c>
    </row>
    <row r="8011" spans="1:4" ht="25.5">
      <c r="A8011" s="341">
        <v>3445</v>
      </c>
      <c r="B8011" s="342" t="s">
        <v>8848</v>
      </c>
      <c r="C8011" s="341" t="s">
        <v>7278</v>
      </c>
      <c r="D8011" s="343">
        <v>14.81</v>
      </c>
    </row>
    <row r="8012" spans="1:4" ht="25.5">
      <c r="A8012" s="341">
        <v>3441</v>
      </c>
      <c r="B8012" s="342" t="s">
        <v>8849</v>
      </c>
      <c r="C8012" s="341" t="s">
        <v>7278</v>
      </c>
      <c r="D8012" s="343">
        <v>4.18</v>
      </c>
    </row>
    <row r="8013" spans="1:4" ht="25.5">
      <c r="A8013" s="341">
        <v>3444</v>
      </c>
      <c r="B8013" s="342" t="s">
        <v>8850</v>
      </c>
      <c r="C8013" s="341" t="s">
        <v>7278</v>
      </c>
      <c r="D8013" s="343">
        <v>9.11</v>
      </c>
    </row>
    <row r="8014" spans="1:4" ht="25.5">
      <c r="A8014" s="341">
        <v>12402</v>
      </c>
      <c r="B8014" s="342" t="s">
        <v>8851</v>
      </c>
      <c r="C8014" s="341" t="s">
        <v>7278</v>
      </c>
      <c r="D8014" s="343">
        <v>51</v>
      </c>
    </row>
    <row r="8015" spans="1:4" ht="25.5">
      <c r="A8015" s="341">
        <v>3447</v>
      </c>
      <c r="B8015" s="342" t="s">
        <v>8852</v>
      </c>
      <c r="C8015" s="341" t="s">
        <v>7278</v>
      </c>
      <c r="D8015" s="343">
        <v>26.39</v>
      </c>
    </row>
    <row r="8016" spans="1:4" ht="25.5">
      <c r="A8016" s="341">
        <v>3442</v>
      </c>
      <c r="B8016" s="342" t="s">
        <v>8853</v>
      </c>
      <c r="C8016" s="341" t="s">
        <v>7278</v>
      </c>
      <c r="D8016" s="343">
        <v>6.25</v>
      </c>
    </row>
    <row r="8017" spans="1:4" ht="25.5">
      <c r="A8017" s="341">
        <v>3448</v>
      </c>
      <c r="B8017" s="342" t="s">
        <v>8854</v>
      </c>
      <c r="C8017" s="341" t="s">
        <v>7278</v>
      </c>
      <c r="D8017" s="343">
        <v>74.569999999999993</v>
      </c>
    </row>
    <row r="8018" spans="1:4" ht="25.5">
      <c r="A8018" s="341">
        <v>3449</v>
      </c>
      <c r="B8018" s="342" t="s">
        <v>8855</v>
      </c>
      <c r="C8018" s="341" t="s">
        <v>7278</v>
      </c>
      <c r="D8018" s="343">
        <v>130.66999999999999</v>
      </c>
    </row>
    <row r="8019" spans="1:4" ht="25.5">
      <c r="A8019" s="341">
        <v>37438</v>
      </c>
      <c r="B8019" s="342" t="s">
        <v>8856</v>
      </c>
      <c r="C8019" s="341" t="s">
        <v>7278</v>
      </c>
      <c r="D8019" s="343">
        <v>153.63</v>
      </c>
    </row>
    <row r="8020" spans="1:4" ht="25.5">
      <c r="A8020" s="341">
        <v>37439</v>
      </c>
      <c r="B8020" s="342" t="s">
        <v>8857</v>
      </c>
      <c r="C8020" s="341" t="s">
        <v>7278</v>
      </c>
      <c r="D8020" s="344">
        <v>1004.43</v>
      </c>
    </row>
    <row r="8021" spans="1:4" ht="25.5">
      <c r="A8021" s="341">
        <v>37435</v>
      </c>
      <c r="B8021" s="342" t="s">
        <v>8858</v>
      </c>
      <c r="C8021" s="341" t="s">
        <v>7278</v>
      </c>
      <c r="D8021" s="343">
        <v>18.05</v>
      </c>
    </row>
    <row r="8022" spans="1:4" ht="25.5">
      <c r="A8022" s="341">
        <v>37436</v>
      </c>
      <c r="B8022" s="342" t="s">
        <v>8859</v>
      </c>
      <c r="C8022" s="341" t="s">
        <v>7278</v>
      </c>
      <c r="D8022" s="343">
        <v>21.3</v>
      </c>
    </row>
    <row r="8023" spans="1:4" ht="25.5">
      <c r="A8023" s="341">
        <v>37437</v>
      </c>
      <c r="B8023" s="342" t="s">
        <v>8860</v>
      </c>
      <c r="C8023" s="341" t="s">
        <v>7278</v>
      </c>
      <c r="D8023" s="343">
        <v>30.81</v>
      </c>
    </row>
    <row r="8024" spans="1:4" ht="25.5">
      <c r="A8024" s="341">
        <v>3473</v>
      </c>
      <c r="B8024" s="342" t="s">
        <v>8861</v>
      </c>
      <c r="C8024" s="341" t="s">
        <v>7278</v>
      </c>
      <c r="D8024" s="343">
        <v>20.51</v>
      </c>
    </row>
    <row r="8025" spans="1:4" ht="25.5">
      <c r="A8025" s="341">
        <v>3474</v>
      </c>
      <c r="B8025" s="342" t="s">
        <v>8862</v>
      </c>
      <c r="C8025" s="341" t="s">
        <v>7278</v>
      </c>
      <c r="D8025" s="343">
        <v>16.91</v>
      </c>
    </row>
    <row r="8026" spans="1:4" ht="25.5">
      <c r="A8026" s="341">
        <v>3450</v>
      </c>
      <c r="B8026" s="342" t="s">
        <v>8863</v>
      </c>
      <c r="C8026" s="341" t="s">
        <v>7278</v>
      </c>
      <c r="D8026" s="343">
        <v>4.9000000000000004</v>
      </c>
    </row>
    <row r="8027" spans="1:4" ht="25.5">
      <c r="A8027" s="341">
        <v>3443</v>
      </c>
      <c r="B8027" s="342" t="s">
        <v>8864</v>
      </c>
      <c r="C8027" s="341" t="s">
        <v>7278</v>
      </c>
      <c r="D8027" s="343">
        <v>10.52</v>
      </c>
    </row>
    <row r="8028" spans="1:4" ht="25.5">
      <c r="A8028" s="341">
        <v>3453</v>
      </c>
      <c r="B8028" s="342" t="s">
        <v>8865</v>
      </c>
      <c r="C8028" s="341" t="s">
        <v>7278</v>
      </c>
      <c r="D8028" s="343">
        <v>59.88</v>
      </c>
    </row>
    <row r="8029" spans="1:4" ht="25.5">
      <c r="A8029" s="341">
        <v>3452</v>
      </c>
      <c r="B8029" s="342" t="s">
        <v>8866</v>
      </c>
      <c r="C8029" s="341" t="s">
        <v>7278</v>
      </c>
      <c r="D8029" s="343">
        <v>29.56</v>
      </c>
    </row>
    <row r="8030" spans="1:4" ht="25.5">
      <c r="A8030" s="341">
        <v>3451</v>
      </c>
      <c r="B8030" s="342" t="s">
        <v>8867</v>
      </c>
      <c r="C8030" s="341" t="s">
        <v>7278</v>
      </c>
      <c r="D8030" s="343">
        <v>5.86</v>
      </c>
    </row>
    <row r="8031" spans="1:4" ht="25.5">
      <c r="A8031" s="341">
        <v>3454</v>
      </c>
      <c r="B8031" s="342" t="s">
        <v>8868</v>
      </c>
      <c r="C8031" s="341" t="s">
        <v>7278</v>
      </c>
      <c r="D8031" s="343">
        <v>91.08</v>
      </c>
    </row>
    <row r="8032" spans="1:4" ht="25.5">
      <c r="A8032" s="341">
        <v>3458</v>
      </c>
      <c r="B8032" s="342" t="s">
        <v>8869</v>
      </c>
      <c r="C8032" s="341" t="s">
        <v>7278</v>
      </c>
      <c r="D8032" s="343">
        <v>16.440000000000001</v>
      </c>
    </row>
    <row r="8033" spans="1:4" ht="25.5">
      <c r="A8033" s="341">
        <v>3457</v>
      </c>
      <c r="B8033" s="342" t="s">
        <v>8870</v>
      </c>
      <c r="C8033" s="341" t="s">
        <v>7278</v>
      </c>
      <c r="D8033" s="343">
        <v>12.34</v>
      </c>
    </row>
    <row r="8034" spans="1:4" ht="25.5">
      <c r="A8034" s="341">
        <v>3455</v>
      </c>
      <c r="B8034" s="342" t="s">
        <v>8871</v>
      </c>
      <c r="C8034" s="341" t="s">
        <v>7278</v>
      </c>
      <c r="D8034" s="343">
        <v>3.5</v>
      </c>
    </row>
    <row r="8035" spans="1:4" ht="25.5">
      <c r="A8035" s="341">
        <v>3472</v>
      </c>
      <c r="B8035" s="342" t="s">
        <v>8872</v>
      </c>
      <c r="C8035" s="341" t="s">
        <v>7278</v>
      </c>
      <c r="D8035" s="343">
        <v>7.87</v>
      </c>
    </row>
    <row r="8036" spans="1:4" ht="25.5">
      <c r="A8036" s="341">
        <v>3470</v>
      </c>
      <c r="B8036" s="342" t="s">
        <v>8873</v>
      </c>
      <c r="C8036" s="341" t="s">
        <v>7278</v>
      </c>
      <c r="D8036" s="343">
        <v>45.92</v>
      </c>
    </row>
    <row r="8037" spans="1:4" ht="25.5">
      <c r="A8037" s="341">
        <v>3471</v>
      </c>
      <c r="B8037" s="342" t="s">
        <v>8874</v>
      </c>
      <c r="C8037" s="341" t="s">
        <v>7278</v>
      </c>
      <c r="D8037" s="343">
        <v>25.23</v>
      </c>
    </row>
    <row r="8038" spans="1:4" ht="25.5">
      <c r="A8038" s="341">
        <v>3456</v>
      </c>
      <c r="B8038" s="342" t="s">
        <v>8875</v>
      </c>
      <c r="C8038" s="341" t="s">
        <v>7278</v>
      </c>
      <c r="D8038" s="343">
        <v>5.24</v>
      </c>
    </row>
    <row r="8039" spans="1:4" ht="25.5">
      <c r="A8039" s="341">
        <v>3459</v>
      </c>
      <c r="B8039" s="342" t="s">
        <v>8876</v>
      </c>
      <c r="C8039" s="341" t="s">
        <v>7278</v>
      </c>
      <c r="D8039" s="343">
        <v>64.77</v>
      </c>
    </row>
    <row r="8040" spans="1:4" ht="25.5">
      <c r="A8040" s="341">
        <v>3469</v>
      </c>
      <c r="B8040" s="342" t="s">
        <v>8877</v>
      </c>
      <c r="C8040" s="341" t="s">
        <v>7278</v>
      </c>
      <c r="D8040" s="343">
        <v>123.18</v>
      </c>
    </row>
    <row r="8041" spans="1:4" ht="25.5">
      <c r="A8041" s="341">
        <v>3460</v>
      </c>
      <c r="B8041" s="342" t="s">
        <v>8878</v>
      </c>
      <c r="C8041" s="341" t="s">
        <v>7278</v>
      </c>
      <c r="D8041" s="343">
        <v>179.73</v>
      </c>
    </row>
    <row r="8042" spans="1:4" ht="25.5">
      <c r="A8042" s="341">
        <v>3461</v>
      </c>
      <c r="B8042" s="342" t="s">
        <v>8879</v>
      </c>
      <c r="C8042" s="341" t="s">
        <v>7278</v>
      </c>
      <c r="D8042" s="343">
        <v>459.39</v>
      </c>
    </row>
    <row r="8043" spans="1:4" ht="25.5">
      <c r="A8043" s="341">
        <v>37433</v>
      </c>
      <c r="B8043" s="342" t="s">
        <v>8880</v>
      </c>
      <c r="C8043" s="341" t="s">
        <v>7278</v>
      </c>
      <c r="D8043" s="343">
        <v>153.63</v>
      </c>
    </row>
    <row r="8044" spans="1:4" ht="25.5">
      <c r="A8044" s="341">
        <v>37430</v>
      </c>
      <c r="B8044" s="342" t="s">
        <v>8881</v>
      </c>
      <c r="C8044" s="341" t="s">
        <v>7278</v>
      </c>
      <c r="D8044" s="343">
        <v>19.25</v>
      </c>
    </row>
    <row r="8045" spans="1:4" ht="25.5">
      <c r="A8045" s="341">
        <v>37434</v>
      </c>
      <c r="B8045" s="342" t="s">
        <v>8882</v>
      </c>
      <c r="C8045" s="341" t="s">
        <v>7278</v>
      </c>
      <c r="D8045" s="344">
        <v>1432.45</v>
      </c>
    </row>
    <row r="8046" spans="1:4" ht="25.5">
      <c r="A8046" s="341">
        <v>37431</v>
      </c>
      <c r="B8046" s="342" t="s">
        <v>8883</v>
      </c>
      <c r="C8046" s="341" t="s">
        <v>7278</v>
      </c>
      <c r="D8046" s="343">
        <v>26.11</v>
      </c>
    </row>
    <row r="8047" spans="1:4" ht="25.5">
      <c r="A8047" s="341">
        <v>37432</v>
      </c>
      <c r="B8047" s="342" t="s">
        <v>8884</v>
      </c>
      <c r="C8047" s="341" t="s">
        <v>7278</v>
      </c>
      <c r="D8047" s="343">
        <v>48.17</v>
      </c>
    </row>
    <row r="8048" spans="1:4" ht="38.25">
      <c r="A8048" s="341">
        <v>37413</v>
      </c>
      <c r="B8048" s="342" t="s">
        <v>8885</v>
      </c>
      <c r="C8048" s="341" t="s">
        <v>7278</v>
      </c>
      <c r="D8048" s="343">
        <v>2.0699999999999998</v>
      </c>
    </row>
    <row r="8049" spans="1:4" ht="38.25">
      <c r="A8049" s="341">
        <v>37414</v>
      </c>
      <c r="B8049" s="342" t="s">
        <v>8886</v>
      </c>
      <c r="C8049" s="341" t="s">
        <v>7278</v>
      </c>
      <c r="D8049" s="343">
        <v>2.35</v>
      </c>
    </row>
    <row r="8050" spans="1:4" ht="38.25">
      <c r="A8050" s="341">
        <v>37415</v>
      </c>
      <c r="B8050" s="342" t="s">
        <v>8887</v>
      </c>
      <c r="C8050" s="341" t="s">
        <v>7278</v>
      </c>
      <c r="D8050" s="343">
        <v>4.2699999999999996</v>
      </c>
    </row>
    <row r="8051" spans="1:4" ht="38.25">
      <c r="A8051" s="341">
        <v>37416</v>
      </c>
      <c r="B8051" s="342" t="s">
        <v>8888</v>
      </c>
      <c r="C8051" s="341" t="s">
        <v>7278</v>
      </c>
      <c r="D8051" s="343">
        <v>1.93</v>
      </c>
    </row>
    <row r="8052" spans="1:4" ht="38.25">
      <c r="A8052" s="341">
        <v>37417</v>
      </c>
      <c r="B8052" s="342" t="s">
        <v>8889</v>
      </c>
      <c r="C8052" s="341" t="s">
        <v>7278</v>
      </c>
      <c r="D8052" s="343">
        <v>2.78</v>
      </c>
    </row>
    <row r="8053" spans="1:4" ht="38.25">
      <c r="A8053" s="341">
        <v>3112</v>
      </c>
      <c r="B8053" s="342" t="s">
        <v>8890</v>
      </c>
      <c r="C8053" s="341" t="s">
        <v>8783</v>
      </c>
      <c r="D8053" s="343">
        <v>51.07</v>
      </c>
    </row>
    <row r="8054" spans="1:4" ht="38.25">
      <c r="A8054" s="341">
        <v>3113</v>
      </c>
      <c r="B8054" s="342" t="s">
        <v>8891</v>
      </c>
      <c r="C8054" s="341" t="s">
        <v>8783</v>
      </c>
      <c r="D8054" s="343">
        <v>58.84</v>
      </c>
    </row>
    <row r="8055" spans="1:4" ht="51">
      <c r="A8055" s="341">
        <v>3114</v>
      </c>
      <c r="B8055" s="342" t="s">
        <v>8892</v>
      </c>
      <c r="C8055" s="341" t="s">
        <v>7278</v>
      </c>
      <c r="D8055" s="343">
        <v>26.58</v>
      </c>
    </row>
    <row r="8056" spans="1:4" ht="25.5">
      <c r="A8056" s="341">
        <v>34519</v>
      </c>
      <c r="B8056" s="342" t="s">
        <v>8893</v>
      </c>
      <c r="C8056" s="341" t="s">
        <v>7278</v>
      </c>
      <c r="D8056" s="343">
        <v>71.819999999999993</v>
      </c>
    </row>
    <row r="8057" spans="1:4" ht="38.25">
      <c r="A8057" s="341">
        <v>10510</v>
      </c>
      <c r="B8057" s="342" t="s">
        <v>8894</v>
      </c>
      <c r="C8057" s="341" t="s">
        <v>7278</v>
      </c>
      <c r="D8057" s="343">
        <v>65.62</v>
      </c>
    </row>
    <row r="8058" spans="1:4" ht="25.5">
      <c r="A8058" s="341">
        <v>1649</v>
      </c>
      <c r="B8058" s="342" t="s">
        <v>8895</v>
      </c>
      <c r="C8058" s="341" t="s">
        <v>7278</v>
      </c>
      <c r="D8058" s="343">
        <v>38.78</v>
      </c>
    </row>
    <row r="8059" spans="1:4" ht="25.5">
      <c r="A8059" s="341">
        <v>1653</v>
      </c>
      <c r="B8059" s="342" t="s">
        <v>8896</v>
      </c>
      <c r="C8059" s="341" t="s">
        <v>7278</v>
      </c>
      <c r="D8059" s="343">
        <v>30.37</v>
      </c>
    </row>
    <row r="8060" spans="1:4" ht="25.5">
      <c r="A8060" s="341">
        <v>1647</v>
      </c>
      <c r="B8060" s="342" t="s">
        <v>8897</v>
      </c>
      <c r="C8060" s="341" t="s">
        <v>7278</v>
      </c>
      <c r="D8060" s="343">
        <v>10.87</v>
      </c>
    </row>
    <row r="8061" spans="1:4" ht="25.5">
      <c r="A8061" s="341">
        <v>1648</v>
      </c>
      <c r="B8061" s="342" t="s">
        <v>8898</v>
      </c>
      <c r="C8061" s="341" t="s">
        <v>7278</v>
      </c>
      <c r="D8061" s="343">
        <v>20.88</v>
      </c>
    </row>
    <row r="8062" spans="1:4" ht="25.5">
      <c r="A8062" s="341">
        <v>1651</v>
      </c>
      <c r="B8062" s="342" t="s">
        <v>8899</v>
      </c>
      <c r="C8062" s="341" t="s">
        <v>7278</v>
      </c>
      <c r="D8062" s="343">
        <v>96.89</v>
      </c>
    </row>
    <row r="8063" spans="1:4" ht="25.5">
      <c r="A8063" s="341">
        <v>1650</v>
      </c>
      <c r="B8063" s="342" t="s">
        <v>8900</v>
      </c>
      <c r="C8063" s="341" t="s">
        <v>7278</v>
      </c>
      <c r="D8063" s="343">
        <v>53.56</v>
      </c>
    </row>
    <row r="8064" spans="1:4" ht="25.5">
      <c r="A8064" s="341">
        <v>1654</v>
      </c>
      <c r="B8064" s="342" t="s">
        <v>8901</v>
      </c>
      <c r="C8064" s="341" t="s">
        <v>7278</v>
      </c>
      <c r="D8064" s="343">
        <v>14.93</v>
      </c>
    </row>
    <row r="8065" spans="1:4" ht="25.5">
      <c r="A8065" s="341">
        <v>1652</v>
      </c>
      <c r="B8065" s="342" t="s">
        <v>8902</v>
      </c>
      <c r="C8065" s="341" t="s">
        <v>7278</v>
      </c>
      <c r="D8065" s="343">
        <v>139.07</v>
      </c>
    </row>
    <row r="8066" spans="1:4" ht="25.5">
      <c r="A8066" s="341">
        <v>1727</v>
      </c>
      <c r="B8066" s="342" t="s">
        <v>8903</v>
      </c>
      <c r="C8066" s="341" t="s">
        <v>7278</v>
      </c>
      <c r="D8066" s="343">
        <v>63.75</v>
      </c>
    </row>
    <row r="8067" spans="1:4" ht="25.5">
      <c r="A8067" s="341">
        <v>12920</v>
      </c>
      <c r="B8067" s="342" t="s">
        <v>8904</v>
      </c>
      <c r="C8067" s="341" t="s">
        <v>7278</v>
      </c>
      <c r="D8067" s="343">
        <v>84.25</v>
      </c>
    </row>
    <row r="8068" spans="1:4">
      <c r="A8068" s="341">
        <v>1725</v>
      </c>
      <c r="B8068" s="342" t="s">
        <v>8905</v>
      </c>
      <c r="C8068" s="341" t="s">
        <v>7278</v>
      </c>
      <c r="D8068" s="343">
        <v>18.39</v>
      </c>
    </row>
    <row r="8069" spans="1:4">
      <c r="A8069" s="341">
        <v>12943</v>
      </c>
      <c r="B8069" s="342" t="s">
        <v>8906</v>
      </c>
      <c r="C8069" s="341" t="s">
        <v>7278</v>
      </c>
      <c r="D8069" s="343">
        <v>45.39</v>
      </c>
    </row>
    <row r="8070" spans="1:4" ht="25.5">
      <c r="A8070" s="341">
        <v>1747</v>
      </c>
      <c r="B8070" s="342" t="s">
        <v>8907</v>
      </c>
      <c r="C8070" s="341" t="s">
        <v>7278</v>
      </c>
      <c r="D8070" s="343">
        <v>118.73</v>
      </c>
    </row>
    <row r="8071" spans="1:4" ht="25.5">
      <c r="A8071" s="341">
        <v>1744</v>
      </c>
      <c r="B8071" s="342" t="s">
        <v>8908</v>
      </c>
      <c r="C8071" s="341" t="s">
        <v>7278</v>
      </c>
      <c r="D8071" s="343">
        <v>82.24</v>
      </c>
    </row>
    <row r="8072" spans="1:4" ht="25.5">
      <c r="A8072" s="341">
        <v>1743</v>
      </c>
      <c r="B8072" s="342" t="s">
        <v>8909</v>
      </c>
      <c r="C8072" s="341" t="s">
        <v>7278</v>
      </c>
      <c r="D8072" s="343">
        <v>107.99</v>
      </c>
    </row>
    <row r="8073" spans="1:4" ht="25.5">
      <c r="A8073" s="341">
        <v>7241</v>
      </c>
      <c r="B8073" s="342" t="s">
        <v>8910</v>
      </c>
      <c r="C8073" s="341" t="s">
        <v>7273</v>
      </c>
      <c r="D8073" s="343">
        <v>36.299999999999997</v>
      </c>
    </row>
    <row r="8074" spans="1:4" ht="51">
      <c r="A8074" s="341">
        <v>39640</v>
      </c>
      <c r="B8074" s="342" t="s">
        <v>8911</v>
      </c>
      <c r="C8074" s="341" t="s">
        <v>7278</v>
      </c>
      <c r="D8074" s="343">
        <v>5.55</v>
      </c>
    </row>
    <row r="8075" spans="1:4" ht="51">
      <c r="A8075" s="341">
        <v>11013</v>
      </c>
      <c r="B8075" s="342" t="s">
        <v>8912</v>
      </c>
      <c r="C8075" s="341" t="s">
        <v>7278</v>
      </c>
      <c r="D8075" s="343">
        <v>11.43</v>
      </c>
    </row>
    <row r="8076" spans="1:4" ht="51">
      <c r="A8076" s="341">
        <v>11017</v>
      </c>
      <c r="B8076" s="342" t="s">
        <v>8913</v>
      </c>
      <c r="C8076" s="341" t="s">
        <v>7278</v>
      </c>
      <c r="D8076" s="343">
        <v>4.88</v>
      </c>
    </row>
    <row r="8077" spans="1:4" ht="38.25">
      <c r="A8077" s="341">
        <v>20236</v>
      </c>
      <c r="B8077" s="342" t="s">
        <v>8914</v>
      </c>
      <c r="C8077" s="341" t="s">
        <v>7278</v>
      </c>
      <c r="D8077" s="343">
        <v>21.49</v>
      </c>
    </row>
    <row r="8078" spans="1:4" ht="38.25">
      <c r="A8078" s="341">
        <v>7215</v>
      </c>
      <c r="B8078" s="342" t="s">
        <v>8915</v>
      </c>
      <c r="C8078" s="341" t="s">
        <v>7278</v>
      </c>
      <c r="D8078" s="343">
        <v>18.399999999999999</v>
      </c>
    </row>
    <row r="8079" spans="1:4" ht="38.25">
      <c r="A8079" s="341">
        <v>7216</v>
      </c>
      <c r="B8079" s="342" t="s">
        <v>8916</v>
      </c>
      <c r="C8079" s="341" t="s">
        <v>7278</v>
      </c>
      <c r="D8079" s="343">
        <v>76.900000000000006</v>
      </c>
    </row>
    <row r="8080" spans="1:4" ht="38.25">
      <c r="A8080" s="341">
        <v>20235</v>
      </c>
      <c r="B8080" s="342" t="s">
        <v>8917</v>
      </c>
      <c r="C8080" s="341" t="s">
        <v>7278</v>
      </c>
      <c r="D8080" s="343">
        <v>38.880000000000003</v>
      </c>
    </row>
    <row r="8081" spans="1:4" ht="38.25">
      <c r="A8081" s="341">
        <v>7181</v>
      </c>
      <c r="B8081" s="342" t="s">
        <v>8918</v>
      </c>
      <c r="C8081" s="341" t="s">
        <v>7278</v>
      </c>
      <c r="D8081" s="343">
        <v>3.02</v>
      </c>
    </row>
    <row r="8082" spans="1:4" ht="38.25">
      <c r="A8082" s="341">
        <v>40866</v>
      </c>
      <c r="B8082" s="342" t="s">
        <v>8919</v>
      </c>
      <c r="C8082" s="341" t="s">
        <v>7278</v>
      </c>
      <c r="D8082" s="343">
        <v>9.4</v>
      </c>
    </row>
    <row r="8083" spans="1:4" ht="38.25">
      <c r="A8083" s="341">
        <v>7214</v>
      </c>
      <c r="B8083" s="342" t="s">
        <v>8920</v>
      </c>
      <c r="C8083" s="341" t="s">
        <v>7278</v>
      </c>
      <c r="D8083" s="343">
        <v>26.34</v>
      </c>
    </row>
    <row r="8084" spans="1:4" ht="38.25">
      <c r="A8084" s="341">
        <v>7219</v>
      </c>
      <c r="B8084" s="342" t="s">
        <v>8921</v>
      </c>
      <c r="C8084" s="341" t="s">
        <v>7278</v>
      </c>
      <c r="D8084" s="343">
        <v>27.27</v>
      </c>
    </row>
    <row r="8085" spans="1:4" ht="25.5">
      <c r="A8085" s="341">
        <v>37972</v>
      </c>
      <c r="B8085" s="342" t="s">
        <v>8922</v>
      </c>
      <c r="C8085" s="341" t="s">
        <v>7278</v>
      </c>
      <c r="D8085" s="343">
        <v>6.06</v>
      </c>
    </row>
    <row r="8086" spans="1:4" ht="25.5">
      <c r="A8086" s="341">
        <v>37973</v>
      </c>
      <c r="B8086" s="342" t="s">
        <v>8923</v>
      </c>
      <c r="C8086" s="341" t="s">
        <v>7278</v>
      </c>
      <c r="D8086" s="343">
        <v>9.6999999999999993</v>
      </c>
    </row>
    <row r="8087" spans="1:4" ht="25.5">
      <c r="A8087" s="341">
        <v>37971</v>
      </c>
      <c r="B8087" s="342" t="s">
        <v>8924</v>
      </c>
      <c r="C8087" s="341" t="s">
        <v>7278</v>
      </c>
      <c r="D8087" s="343">
        <v>3.64</v>
      </c>
    </row>
    <row r="8088" spans="1:4" ht="25.5">
      <c r="A8088" s="341">
        <v>20094</v>
      </c>
      <c r="B8088" s="342" t="s">
        <v>8925</v>
      </c>
      <c r="C8088" s="341" t="s">
        <v>7278</v>
      </c>
      <c r="D8088" s="343">
        <v>10.77</v>
      </c>
    </row>
    <row r="8089" spans="1:4" ht="25.5">
      <c r="A8089" s="341">
        <v>20095</v>
      </c>
      <c r="B8089" s="342" t="s">
        <v>8926</v>
      </c>
      <c r="C8089" s="341" t="s">
        <v>7278</v>
      </c>
      <c r="D8089" s="343">
        <v>18.239999999999998</v>
      </c>
    </row>
    <row r="8090" spans="1:4" ht="25.5">
      <c r="A8090" s="341">
        <v>1954</v>
      </c>
      <c r="B8090" s="342" t="s">
        <v>8927</v>
      </c>
      <c r="C8090" s="341" t="s">
        <v>7278</v>
      </c>
      <c r="D8090" s="343">
        <v>78.34</v>
      </c>
    </row>
    <row r="8091" spans="1:4" ht="25.5">
      <c r="A8091" s="341">
        <v>1926</v>
      </c>
      <c r="B8091" s="342" t="s">
        <v>8928</v>
      </c>
      <c r="C8091" s="341" t="s">
        <v>7278</v>
      </c>
      <c r="D8091" s="343">
        <v>1.38</v>
      </c>
    </row>
    <row r="8092" spans="1:4" ht="25.5">
      <c r="A8092" s="341">
        <v>1927</v>
      </c>
      <c r="B8092" s="342" t="s">
        <v>8929</v>
      </c>
      <c r="C8092" s="341" t="s">
        <v>7278</v>
      </c>
      <c r="D8092" s="343">
        <v>1.67</v>
      </c>
    </row>
    <row r="8093" spans="1:4" ht="25.5">
      <c r="A8093" s="341">
        <v>1923</v>
      </c>
      <c r="B8093" s="342" t="s">
        <v>8930</v>
      </c>
      <c r="C8093" s="341" t="s">
        <v>7278</v>
      </c>
      <c r="D8093" s="343">
        <v>2.72</v>
      </c>
    </row>
    <row r="8094" spans="1:4" ht="25.5">
      <c r="A8094" s="341">
        <v>1929</v>
      </c>
      <c r="B8094" s="342" t="s">
        <v>8931</v>
      </c>
      <c r="C8094" s="341" t="s">
        <v>7278</v>
      </c>
      <c r="D8094" s="343">
        <v>3.44</v>
      </c>
    </row>
    <row r="8095" spans="1:4" ht="25.5">
      <c r="A8095" s="341">
        <v>1930</v>
      </c>
      <c r="B8095" s="342" t="s">
        <v>8932</v>
      </c>
      <c r="C8095" s="341" t="s">
        <v>7278</v>
      </c>
      <c r="D8095" s="343">
        <v>7.15</v>
      </c>
    </row>
    <row r="8096" spans="1:4" ht="25.5">
      <c r="A8096" s="341">
        <v>1924</v>
      </c>
      <c r="B8096" s="342" t="s">
        <v>8933</v>
      </c>
      <c r="C8096" s="341" t="s">
        <v>7278</v>
      </c>
      <c r="D8096" s="343">
        <v>12.12</v>
      </c>
    </row>
    <row r="8097" spans="1:4" ht="25.5">
      <c r="A8097" s="341">
        <v>1922</v>
      </c>
      <c r="B8097" s="342" t="s">
        <v>8934</v>
      </c>
      <c r="C8097" s="341" t="s">
        <v>7278</v>
      </c>
      <c r="D8097" s="343">
        <v>24.58</v>
      </c>
    </row>
    <row r="8098" spans="1:4" ht="25.5">
      <c r="A8098" s="341">
        <v>1953</v>
      </c>
      <c r="B8098" s="342" t="s">
        <v>8935</v>
      </c>
      <c r="C8098" s="341" t="s">
        <v>7278</v>
      </c>
      <c r="D8098" s="343">
        <v>29.36</v>
      </c>
    </row>
    <row r="8099" spans="1:4" ht="25.5">
      <c r="A8099" s="341">
        <v>1962</v>
      </c>
      <c r="B8099" s="342" t="s">
        <v>8936</v>
      </c>
      <c r="C8099" s="341" t="s">
        <v>7278</v>
      </c>
      <c r="D8099" s="343">
        <v>85.51</v>
      </c>
    </row>
    <row r="8100" spans="1:4" ht="25.5">
      <c r="A8100" s="341">
        <v>1955</v>
      </c>
      <c r="B8100" s="342" t="s">
        <v>8937</v>
      </c>
      <c r="C8100" s="341" t="s">
        <v>7278</v>
      </c>
      <c r="D8100" s="343">
        <v>1.45</v>
      </c>
    </row>
    <row r="8101" spans="1:4" ht="25.5">
      <c r="A8101" s="341">
        <v>1956</v>
      </c>
      <c r="B8101" s="342" t="s">
        <v>8938</v>
      </c>
      <c r="C8101" s="341" t="s">
        <v>7278</v>
      </c>
      <c r="D8101" s="343">
        <v>2.09</v>
      </c>
    </row>
    <row r="8102" spans="1:4" ht="25.5">
      <c r="A8102" s="341">
        <v>1957</v>
      </c>
      <c r="B8102" s="342" t="s">
        <v>8939</v>
      </c>
      <c r="C8102" s="341" t="s">
        <v>7278</v>
      </c>
      <c r="D8102" s="343">
        <v>4.2300000000000004</v>
      </c>
    </row>
    <row r="8103" spans="1:4" ht="25.5">
      <c r="A8103" s="341">
        <v>1958</v>
      </c>
      <c r="B8103" s="342" t="s">
        <v>8940</v>
      </c>
      <c r="C8103" s="341" t="s">
        <v>7278</v>
      </c>
      <c r="D8103" s="343">
        <v>7.68</v>
      </c>
    </row>
    <row r="8104" spans="1:4" ht="25.5">
      <c r="A8104" s="341">
        <v>1959</v>
      </c>
      <c r="B8104" s="342" t="s">
        <v>8941</v>
      </c>
      <c r="C8104" s="341" t="s">
        <v>7278</v>
      </c>
      <c r="D8104" s="343">
        <v>8.4700000000000006</v>
      </c>
    </row>
    <row r="8105" spans="1:4" ht="25.5">
      <c r="A8105" s="341">
        <v>1925</v>
      </c>
      <c r="B8105" s="342" t="s">
        <v>8942</v>
      </c>
      <c r="C8105" s="341" t="s">
        <v>7278</v>
      </c>
      <c r="D8105" s="343">
        <v>19.57</v>
      </c>
    </row>
    <row r="8106" spans="1:4" ht="25.5">
      <c r="A8106" s="341">
        <v>1960</v>
      </c>
      <c r="B8106" s="342" t="s">
        <v>8943</v>
      </c>
      <c r="C8106" s="341" t="s">
        <v>7278</v>
      </c>
      <c r="D8106" s="343">
        <v>33.79</v>
      </c>
    </row>
    <row r="8107" spans="1:4" ht="25.5">
      <c r="A8107" s="341">
        <v>1961</v>
      </c>
      <c r="B8107" s="342" t="s">
        <v>8944</v>
      </c>
      <c r="C8107" s="341" t="s">
        <v>7278</v>
      </c>
      <c r="D8107" s="343">
        <v>40.56</v>
      </c>
    </row>
    <row r="8108" spans="1:4" ht="25.5">
      <c r="A8108" s="341">
        <v>38426</v>
      </c>
      <c r="B8108" s="342" t="s">
        <v>8945</v>
      </c>
      <c r="C8108" s="341" t="s">
        <v>7278</v>
      </c>
      <c r="D8108" s="343">
        <v>20.079999999999998</v>
      </c>
    </row>
    <row r="8109" spans="1:4" ht="25.5">
      <c r="A8109" s="341">
        <v>38427</v>
      </c>
      <c r="B8109" s="342" t="s">
        <v>8946</v>
      </c>
      <c r="C8109" s="341" t="s">
        <v>7278</v>
      </c>
      <c r="D8109" s="343">
        <v>41.22</v>
      </c>
    </row>
    <row r="8110" spans="1:4" ht="25.5">
      <c r="A8110" s="341">
        <v>38425</v>
      </c>
      <c r="B8110" s="342" t="s">
        <v>8947</v>
      </c>
      <c r="C8110" s="341" t="s">
        <v>7278</v>
      </c>
      <c r="D8110" s="343">
        <v>10.46</v>
      </c>
    </row>
    <row r="8111" spans="1:4" ht="25.5">
      <c r="A8111" s="341">
        <v>38423</v>
      </c>
      <c r="B8111" s="342" t="s">
        <v>8948</v>
      </c>
      <c r="C8111" s="341" t="s">
        <v>7278</v>
      </c>
      <c r="D8111" s="343">
        <v>34.39</v>
      </c>
    </row>
    <row r="8112" spans="1:4" ht="25.5">
      <c r="A8112" s="341">
        <v>38424</v>
      </c>
      <c r="B8112" s="342" t="s">
        <v>8949</v>
      </c>
      <c r="C8112" s="341" t="s">
        <v>7278</v>
      </c>
      <c r="D8112" s="343">
        <v>51.53</v>
      </c>
    </row>
    <row r="8113" spans="1:4" ht="25.5">
      <c r="A8113" s="341">
        <v>38421</v>
      </c>
      <c r="B8113" s="342" t="s">
        <v>8950</v>
      </c>
      <c r="C8113" s="341" t="s">
        <v>7278</v>
      </c>
      <c r="D8113" s="343">
        <v>19.53</v>
      </c>
    </row>
    <row r="8114" spans="1:4" ht="25.5">
      <c r="A8114" s="341">
        <v>38422</v>
      </c>
      <c r="B8114" s="342" t="s">
        <v>8951</v>
      </c>
      <c r="C8114" s="341" t="s">
        <v>7278</v>
      </c>
      <c r="D8114" s="343">
        <v>22</v>
      </c>
    </row>
    <row r="8115" spans="1:4" ht="38.25">
      <c r="A8115" s="341">
        <v>39866</v>
      </c>
      <c r="B8115" s="342" t="s">
        <v>8952</v>
      </c>
      <c r="C8115" s="341" t="s">
        <v>7278</v>
      </c>
      <c r="D8115" s="343">
        <v>8.2100000000000009</v>
      </c>
    </row>
    <row r="8116" spans="1:4" ht="38.25">
      <c r="A8116" s="341">
        <v>39867</v>
      </c>
      <c r="B8116" s="342" t="s">
        <v>8953</v>
      </c>
      <c r="C8116" s="341" t="s">
        <v>7278</v>
      </c>
      <c r="D8116" s="343">
        <v>18.239999999999998</v>
      </c>
    </row>
    <row r="8117" spans="1:4" ht="38.25">
      <c r="A8117" s="341">
        <v>39868</v>
      </c>
      <c r="B8117" s="342" t="s">
        <v>8954</v>
      </c>
      <c r="C8117" s="341" t="s">
        <v>7278</v>
      </c>
      <c r="D8117" s="343">
        <v>32.869999999999997</v>
      </c>
    </row>
    <row r="8118" spans="1:4" ht="25.5">
      <c r="A8118" s="341">
        <v>37999</v>
      </c>
      <c r="B8118" s="342" t="s">
        <v>8955</v>
      </c>
      <c r="C8118" s="341" t="s">
        <v>7278</v>
      </c>
      <c r="D8118" s="343">
        <v>5.81</v>
      </c>
    </row>
    <row r="8119" spans="1:4" ht="25.5">
      <c r="A8119" s="341">
        <v>38000</v>
      </c>
      <c r="B8119" s="342" t="s">
        <v>8956</v>
      </c>
      <c r="C8119" s="341" t="s">
        <v>7278</v>
      </c>
      <c r="D8119" s="343">
        <v>7.68</v>
      </c>
    </row>
    <row r="8120" spans="1:4" ht="25.5">
      <c r="A8120" s="341">
        <v>38129</v>
      </c>
      <c r="B8120" s="342" t="s">
        <v>8957</v>
      </c>
      <c r="C8120" s="341" t="s">
        <v>7278</v>
      </c>
      <c r="D8120" s="343">
        <v>2.5499999999999998</v>
      </c>
    </row>
    <row r="8121" spans="1:4" ht="25.5">
      <c r="A8121" s="341">
        <v>38025</v>
      </c>
      <c r="B8121" s="342" t="s">
        <v>8958</v>
      </c>
      <c r="C8121" s="341" t="s">
        <v>7278</v>
      </c>
      <c r="D8121" s="343">
        <v>4.17</v>
      </c>
    </row>
    <row r="8122" spans="1:4" ht="25.5">
      <c r="A8122" s="341">
        <v>38026</v>
      </c>
      <c r="B8122" s="342" t="s">
        <v>8959</v>
      </c>
      <c r="C8122" s="341" t="s">
        <v>7278</v>
      </c>
      <c r="D8122" s="343">
        <v>10.79</v>
      </c>
    </row>
    <row r="8123" spans="1:4" ht="25.5">
      <c r="A8123" s="341">
        <v>1858</v>
      </c>
      <c r="B8123" s="342" t="s">
        <v>8960</v>
      </c>
      <c r="C8123" s="341" t="s">
        <v>7278</v>
      </c>
      <c r="D8123" s="343">
        <v>20.6</v>
      </c>
    </row>
    <row r="8124" spans="1:4" ht="25.5">
      <c r="A8124" s="341">
        <v>1844</v>
      </c>
      <c r="B8124" s="342" t="s">
        <v>8961</v>
      </c>
      <c r="C8124" s="341" t="s">
        <v>7278</v>
      </c>
      <c r="D8124" s="343">
        <v>88.35</v>
      </c>
    </row>
    <row r="8125" spans="1:4" ht="25.5">
      <c r="A8125" s="341">
        <v>1837</v>
      </c>
      <c r="B8125" s="342" t="s">
        <v>8962</v>
      </c>
      <c r="C8125" s="341" t="s">
        <v>7278</v>
      </c>
      <c r="D8125" s="343">
        <v>320.16000000000003</v>
      </c>
    </row>
    <row r="8126" spans="1:4" ht="25.5">
      <c r="A8126" s="341">
        <v>1860</v>
      </c>
      <c r="B8126" s="342" t="s">
        <v>8963</v>
      </c>
      <c r="C8126" s="341" t="s">
        <v>7278</v>
      </c>
      <c r="D8126" s="343">
        <v>630.49</v>
      </c>
    </row>
    <row r="8127" spans="1:4" ht="25.5">
      <c r="A8127" s="341">
        <v>1862</v>
      </c>
      <c r="B8127" s="342" t="s">
        <v>8964</v>
      </c>
      <c r="C8127" s="341" t="s">
        <v>7278</v>
      </c>
      <c r="D8127" s="344">
        <v>1012.97</v>
      </c>
    </row>
    <row r="8128" spans="1:4" ht="25.5">
      <c r="A8128" s="341">
        <v>1863</v>
      </c>
      <c r="B8128" s="342" t="s">
        <v>8965</v>
      </c>
      <c r="C8128" s="341" t="s">
        <v>7278</v>
      </c>
      <c r="D8128" s="343">
        <v>19.809999999999999</v>
      </c>
    </row>
    <row r="8129" spans="1:4" ht="25.5">
      <c r="A8129" s="341">
        <v>1865</v>
      </c>
      <c r="B8129" s="342" t="s">
        <v>8966</v>
      </c>
      <c r="C8129" s="341" t="s">
        <v>7278</v>
      </c>
      <c r="D8129" s="343">
        <v>88.97</v>
      </c>
    </row>
    <row r="8130" spans="1:4" ht="25.5">
      <c r="A8130" s="341">
        <v>1866</v>
      </c>
      <c r="B8130" s="342" t="s">
        <v>8967</v>
      </c>
      <c r="C8130" s="341" t="s">
        <v>7278</v>
      </c>
      <c r="D8130" s="343">
        <v>243.41</v>
      </c>
    </row>
    <row r="8131" spans="1:4" ht="25.5">
      <c r="A8131" s="341">
        <v>1853</v>
      </c>
      <c r="B8131" s="342" t="s">
        <v>8968</v>
      </c>
      <c r="C8131" s="341" t="s">
        <v>7278</v>
      </c>
      <c r="D8131" s="343">
        <v>359.86</v>
      </c>
    </row>
    <row r="8132" spans="1:4" ht="25.5">
      <c r="A8132" s="341">
        <v>1867</v>
      </c>
      <c r="B8132" s="342" t="s">
        <v>8969</v>
      </c>
      <c r="C8132" s="341" t="s">
        <v>7278</v>
      </c>
      <c r="D8132" s="343">
        <v>796.65</v>
      </c>
    </row>
    <row r="8133" spans="1:4" ht="25.5">
      <c r="A8133" s="341">
        <v>1868</v>
      </c>
      <c r="B8133" s="342" t="s">
        <v>8970</v>
      </c>
      <c r="C8133" s="341" t="s">
        <v>7278</v>
      </c>
      <c r="D8133" s="344">
        <v>1149.58</v>
      </c>
    </row>
    <row r="8134" spans="1:4" ht="25.5">
      <c r="A8134" s="341">
        <v>1859</v>
      </c>
      <c r="B8134" s="342" t="s">
        <v>8971</v>
      </c>
      <c r="C8134" s="341" t="s">
        <v>7278</v>
      </c>
      <c r="D8134" s="344">
        <v>1504.55</v>
      </c>
    </row>
    <row r="8135" spans="1:4" ht="25.5">
      <c r="A8135" s="341">
        <v>1836</v>
      </c>
      <c r="B8135" s="342" t="s">
        <v>8972</v>
      </c>
      <c r="C8135" s="341" t="s">
        <v>7278</v>
      </c>
      <c r="D8135" s="343">
        <v>194.63</v>
      </c>
    </row>
    <row r="8136" spans="1:4" ht="25.5">
      <c r="A8136" s="341">
        <v>36355</v>
      </c>
      <c r="B8136" s="342" t="s">
        <v>8973</v>
      </c>
      <c r="C8136" s="341" t="s">
        <v>7278</v>
      </c>
      <c r="D8136" s="343">
        <v>3.76</v>
      </c>
    </row>
    <row r="8137" spans="1:4" ht="25.5">
      <c r="A8137" s="341">
        <v>36356</v>
      </c>
      <c r="B8137" s="342" t="s">
        <v>8974</v>
      </c>
      <c r="C8137" s="341" t="s">
        <v>7278</v>
      </c>
      <c r="D8137" s="343">
        <v>6.32</v>
      </c>
    </row>
    <row r="8138" spans="1:4" ht="25.5">
      <c r="A8138" s="341">
        <v>1932</v>
      </c>
      <c r="B8138" s="342" t="s">
        <v>8975</v>
      </c>
      <c r="C8138" s="341" t="s">
        <v>7278</v>
      </c>
      <c r="D8138" s="343">
        <v>6.69</v>
      </c>
    </row>
    <row r="8139" spans="1:4" ht="25.5">
      <c r="A8139" s="341">
        <v>1933</v>
      </c>
      <c r="B8139" s="342" t="s">
        <v>8976</v>
      </c>
      <c r="C8139" s="341" t="s">
        <v>7278</v>
      </c>
      <c r="D8139" s="343">
        <v>2.94</v>
      </c>
    </row>
    <row r="8140" spans="1:4" ht="25.5">
      <c r="A8140" s="341">
        <v>1951</v>
      </c>
      <c r="B8140" s="342" t="s">
        <v>8977</v>
      </c>
      <c r="C8140" s="341" t="s">
        <v>7278</v>
      </c>
      <c r="D8140" s="343">
        <v>13.5</v>
      </c>
    </row>
    <row r="8141" spans="1:4" ht="25.5">
      <c r="A8141" s="341">
        <v>1966</v>
      </c>
      <c r="B8141" s="342" t="s">
        <v>8978</v>
      </c>
      <c r="C8141" s="341" t="s">
        <v>7278</v>
      </c>
      <c r="D8141" s="343">
        <v>14.32</v>
      </c>
    </row>
    <row r="8142" spans="1:4" ht="25.5">
      <c r="A8142" s="341">
        <v>1952</v>
      </c>
      <c r="B8142" s="342" t="s">
        <v>8979</v>
      </c>
      <c r="C8142" s="341" t="s">
        <v>7278</v>
      </c>
      <c r="D8142" s="343">
        <v>88.03</v>
      </c>
    </row>
    <row r="8143" spans="1:4" ht="25.5">
      <c r="A8143" s="341">
        <v>20104</v>
      </c>
      <c r="B8143" s="342" t="s">
        <v>8980</v>
      </c>
      <c r="C8143" s="341" t="s">
        <v>7278</v>
      </c>
      <c r="D8143" s="343">
        <v>334.58</v>
      </c>
    </row>
    <row r="8144" spans="1:4" ht="25.5">
      <c r="A8144" s="341">
        <v>20105</v>
      </c>
      <c r="B8144" s="342" t="s">
        <v>8981</v>
      </c>
      <c r="C8144" s="341" t="s">
        <v>7278</v>
      </c>
      <c r="D8144" s="343">
        <v>521.16</v>
      </c>
    </row>
    <row r="8145" spans="1:4" ht="25.5">
      <c r="A8145" s="341">
        <v>1965</v>
      </c>
      <c r="B8145" s="342" t="s">
        <v>8982</v>
      </c>
      <c r="C8145" s="341" t="s">
        <v>7278</v>
      </c>
      <c r="D8145" s="343">
        <v>26.27</v>
      </c>
    </row>
    <row r="8146" spans="1:4" ht="25.5">
      <c r="A8146" s="341">
        <v>10765</v>
      </c>
      <c r="B8146" s="342" t="s">
        <v>8983</v>
      </c>
      <c r="C8146" s="341" t="s">
        <v>7278</v>
      </c>
      <c r="D8146" s="343">
        <v>6.65</v>
      </c>
    </row>
    <row r="8147" spans="1:4" ht="25.5">
      <c r="A8147" s="341">
        <v>10767</v>
      </c>
      <c r="B8147" s="342" t="s">
        <v>8984</v>
      </c>
      <c r="C8147" s="341" t="s">
        <v>7278</v>
      </c>
      <c r="D8147" s="343">
        <v>18.29</v>
      </c>
    </row>
    <row r="8148" spans="1:4" ht="25.5">
      <c r="A8148" s="341">
        <v>1970</v>
      </c>
      <c r="B8148" s="342" t="s">
        <v>8985</v>
      </c>
      <c r="C8148" s="341" t="s">
        <v>7278</v>
      </c>
      <c r="D8148" s="343">
        <v>32.909999999999997</v>
      </c>
    </row>
    <row r="8149" spans="1:4" ht="25.5">
      <c r="A8149" s="341">
        <v>1967</v>
      </c>
      <c r="B8149" s="342" t="s">
        <v>8986</v>
      </c>
      <c r="C8149" s="341" t="s">
        <v>7278</v>
      </c>
      <c r="D8149" s="343">
        <v>3.04</v>
      </c>
    </row>
    <row r="8150" spans="1:4" ht="25.5">
      <c r="A8150" s="341">
        <v>1968</v>
      </c>
      <c r="B8150" s="342" t="s">
        <v>8987</v>
      </c>
      <c r="C8150" s="341" t="s">
        <v>7278</v>
      </c>
      <c r="D8150" s="343">
        <v>6.59</v>
      </c>
    </row>
    <row r="8151" spans="1:4" ht="25.5">
      <c r="A8151" s="341">
        <v>1969</v>
      </c>
      <c r="B8151" s="342" t="s">
        <v>8988</v>
      </c>
      <c r="C8151" s="341" t="s">
        <v>7278</v>
      </c>
      <c r="D8151" s="343">
        <v>20.58</v>
      </c>
    </row>
    <row r="8152" spans="1:4" ht="25.5">
      <c r="A8152" s="341">
        <v>1839</v>
      </c>
      <c r="B8152" s="342" t="s">
        <v>8989</v>
      </c>
      <c r="C8152" s="341" t="s">
        <v>7278</v>
      </c>
      <c r="D8152" s="343">
        <v>50.62</v>
      </c>
    </row>
    <row r="8153" spans="1:4" ht="25.5">
      <c r="A8153" s="341">
        <v>1835</v>
      </c>
      <c r="B8153" s="342" t="s">
        <v>8990</v>
      </c>
      <c r="C8153" s="341" t="s">
        <v>7278</v>
      </c>
      <c r="D8153" s="343">
        <v>12.4</v>
      </c>
    </row>
    <row r="8154" spans="1:4" ht="25.5">
      <c r="A8154" s="341">
        <v>1823</v>
      </c>
      <c r="B8154" s="342" t="s">
        <v>8991</v>
      </c>
      <c r="C8154" s="341" t="s">
        <v>7278</v>
      </c>
      <c r="D8154" s="343">
        <v>28.95</v>
      </c>
    </row>
    <row r="8155" spans="1:4" ht="25.5">
      <c r="A8155" s="341">
        <v>1827</v>
      </c>
      <c r="B8155" s="342" t="s">
        <v>8992</v>
      </c>
      <c r="C8155" s="341" t="s">
        <v>7278</v>
      </c>
      <c r="D8155" s="343">
        <v>52.09</v>
      </c>
    </row>
    <row r="8156" spans="1:4" ht="25.5">
      <c r="A8156" s="341">
        <v>1831</v>
      </c>
      <c r="B8156" s="342" t="s">
        <v>8993</v>
      </c>
      <c r="C8156" s="341" t="s">
        <v>7278</v>
      </c>
      <c r="D8156" s="343">
        <v>12.88</v>
      </c>
    </row>
    <row r="8157" spans="1:4" ht="25.5">
      <c r="A8157" s="341">
        <v>1825</v>
      </c>
      <c r="B8157" s="342" t="s">
        <v>8994</v>
      </c>
      <c r="C8157" s="341" t="s">
        <v>7278</v>
      </c>
      <c r="D8157" s="343">
        <v>28.9</v>
      </c>
    </row>
    <row r="8158" spans="1:4" ht="25.5">
      <c r="A8158" s="341">
        <v>1828</v>
      </c>
      <c r="B8158" s="342" t="s">
        <v>8995</v>
      </c>
      <c r="C8158" s="341" t="s">
        <v>7278</v>
      </c>
      <c r="D8158" s="343">
        <v>59.01</v>
      </c>
    </row>
    <row r="8159" spans="1:4" ht="25.5">
      <c r="A8159" s="341">
        <v>1845</v>
      </c>
      <c r="B8159" s="342" t="s">
        <v>8996</v>
      </c>
      <c r="C8159" s="341" t="s">
        <v>7278</v>
      </c>
      <c r="D8159" s="343">
        <v>14.11</v>
      </c>
    </row>
    <row r="8160" spans="1:4" ht="25.5">
      <c r="A8160" s="341">
        <v>1824</v>
      </c>
      <c r="B8160" s="342" t="s">
        <v>8997</v>
      </c>
      <c r="C8160" s="341" t="s">
        <v>7278</v>
      </c>
      <c r="D8160" s="343">
        <v>32.93</v>
      </c>
    </row>
    <row r="8161" spans="1:4" ht="25.5">
      <c r="A8161" s="341">
        <v>1941</v>
      </c>
      <c r="B8161" s="342" t="s">
        <v>8998</v>
      </c>
      <c r="C8161" s="341" t="s">
        <v>7278</v>
      </c>
      <c r="D8161" s="343">
        <v>13.01</v>
      </c>
    </row>
    <row r="8162" spans="1:4" ht="25.5">
      <c r="A8162" s="341">
        <v>1940</v>
      </c>
      <c r="B8162" s="342" t="s">
        <v>8999</v>
      </c>
      <c r="C8162" s="341" t="s">
        <v>7278</v>
      </c>
      <c r="D8162" s="343">
        <v>12.97</v>
      </c>
    </row>
    <row r="8163" spans="1:4" ht="25.5">
      <c r="A8163" s="341">
        <v>1937</v>
      </c>
      <c r="B8163" s="342" t="s">
        <v>9000</v>
      </c>
      <c r="C8163" s="341" t="s">
        <v>7278</v>
      </c>
      <c r="D8163" s="343">
        <v>2.0099999999999998</v>
      </c>
    </row>
    <row r="8164" spans="1:4" ht="25.5">
      <c r="A8164" s="341">
        <v>1939</v>
      </c>
      <c r="B8164" s="342" t="s">
        <v>9001</v>
      </c>
      <c r="C8164" s="341" t="s">
        <v>7278</v>
      </c>
      <c r="D8164" s="343">
        <v>4.5999999999999996</v>
      </c>
    </row>
    <row r="8165" spans="1:4" ht="25.5">
      <c r="A8165" s="341">
        <v>1942</v>
      </c>
      <c r="B8165" s="342" t="s">
        <v>9002</v>
      </c>
      <c r="C8165" s="341" t="s">
        <v>7278</v>
      </c>
      <c r="D8165" s="343">
        <v>24.64</v>
      </c>
    </row>
    <row r="8166" spans="1:4" ht="25.5">
      <c r="A8166" s="341">
        <v>1938</v>
      </c>
      <c r="B8166" s="342" t="s">
        <v>9003</v>
      </c>
      <c r="C8166" s="341" t="s">
        <v>7278</v>
      </c>
      <c r="D8166" s="343">
        <v>2.5299999999999998</v>
      </c>
    </row>
    <row r="8167" spans="1:4" ht="38.25">
      <c r="A8167" s="341">
        <v>20097</v>
      </c>
      <c r="B8167" s="342" t="s">
        <v>9004</v>
      </c>
      <c r="C8167" s="341" t="s">
        <v>7278</v>
      </c>
      <c r="D8167" s="343">
        <v>27.23</v>
      </c>
    </row>
    <row r="8168" spans="1:4" ht="38.25">
      <c r="A8168" s="341">
        <v>20098</v>
      </c>
      <c r="B8168" s="342" t="s">
        <v>9005</v>
      </c>
      <c r="C8168" s="341" t="s">
        <v>7278</v>
      </c>
      <c r="D8168" s="343">
        <v>196.36</v>
      </c>
    </row>
    <row r="8169" spans="1:4" ht="38.25">
      <c r="A8169" s="341">
        <v>20096</v>
      </c>
      <c r="B8169" s="342" t="s">
        <v>9006</v>
      </c>
      <c r="C8169" s="341" t="s">
        <v>7278</v>
      </c>
      <c r="D8169" s="343">
        <v>15.7</v>
      </c>
    </row>
    <row r="8170" spans="1:4" ht="25.5">
      <c r="A8170" s="341">
        <v>1964</v>
      </c>
      <c r="B8170" s="342" t="s">
        <v>9007</v>
      </c>
      <c r="C8170" s="341" t="s">
        <v>7278</v>
      </c>
      <c r="D8170" s="343">
        <v>20.02</v>
      </c>
    </row>
    <row r="8171" spans="1:4" ht="25.5">
      <c r="A8171" s="341">
        <v>1880</v>
      </c>
      <c r="B8171" s="342" t="s">
        <v>9008</v>
      </c>
      <c r="C8171" s="341" t="s">
        <v>7278</v>
      </c>
      <c r="D8171" s="343">
        <v>2.2799999999999998</v>
      </c>
    </row>
    <row r="8172" spans="1:4" ht="25.5">
      <c r="A8172" s="341">
        <v>39274</v>
      </c>
      <c r="B8172" s="342" t="s">
        <v>9009</v>
      </c>
      <c r="C8172" s="341" t="s">
        <v>7278</v>
      </c>
      <c r="D8172" s="343">
        <v>1.77</v>
      </c>
    </row>
    <row r="8173" spans="1:4" ht="38.25">
      <c r="A8173" s="341">
        <v>2628</v>
      </c>
      <c r="B8173" s="342" t="s">
        <v>9010</v>
      </c>
      <c r="C8173" s="341" t="s">
        <v>7278</v>
      </c>
      <c r="D8173" s="343">
        <v>236.57</v>
      </c>
    </row>
    <row r="8174" spans="1:4" ht="38.25">
      <c r="A8174" s="341">
        <v>2622</v>
      </c>
      <c r="B8174" s="342" t="s">
        <v>9011</v>
      </c>
      <c r="C8174" s="341" t="s">
        <v>7278</v>
      </c>
      <c r="D8174" s="343">
        <v>5.62</v>
      </c>
    </row>
    <row r="8175" spans="1:4" ht="38.25">
      <c r="A8175" s="341">
        <v>2623</v>
      </c>
      <c r="B8175" s="342" t="s">
        <v>9012</v>
      </c>
      <c r="C8175" s="341" t="s">
        <v>7278</v>
      </c>
      <c r="D8175" s="343">
        <v>6.76</v>
      </c>
    </row>
    <row r="8176" spans="1:4" ht="38.25">
      <c r="A8176" s="341">
        <v>2624</v>
      </c>
      <c r="B8176" s="342" t="s">
        <v>9013</v>
      </c>
      <c r="C8176" s="341" t="s">
        <v>7278</v>
      </c>
      <c r="D8176" s="343">
        <v>10.75</v>
      </c>
    </row>
    <row r="8177" spans="1:4" ht="38.25">
      <c r="A8177" s="341">
        <v>2625</v>
      </c>
      <c r="B8177" s="342" t="s">
        <v>9014</v>
      </c>
      <c r="C8177" s="341" t="s">
        <v>7278</v>
      </c>
      <c r="D8177" s="343">
        <v>22.7</v>
      </c>
    </row>
    <row r="8178" spans="1:4" ht="38.25">
      <c r="A8178" s="341">
        <v>2626</v>
      </c>
      <c r="B8178" s="342" t="s">
        <v>9015</v>
      </c>
      <c r="C8178" s="341" t="s">
        <v>7278</v>
      </c>
      <c r="D8178" s="343">
        <v>33.26</v>
      </c>
    </row>
    <row r="8179" spans="1:4" ht="38.25">
      <c r="A8179" s="341">
        <v>2630</v>
      </c>
      <c r="B8179" s="342" t="s">
        <v>9016</v>
      </c>
      <c r="C8179" s="341" t="s">
        <v>7278</v>
      </c>
      <c r="D8179" s="343">
        <v>50.58</v>
      </c>
    </row>
    <row r="8180" spans="1:4" ht="38.25">
      <c r="A8180" s="341">
        <v>2627</v>
      </c>
      <c r="B8180" s="342" t="s">
        <v>9017</v>
      </c>
      <c r="C8180" s="341" t="s">
        <v>7278</v>
      </c>
      <c r="D8180" s="343">
        <v>89.1</v>
      </c>
    </row>
    <row r="8181" spans="1:4" ht="38.25">
      <c r="A8181" s="341">
        <v>2629</v>
      </c>
      <c r="B8181" s="342" t="s">
        <v>9018</v>
      </c>
      <c r="C8181" s="341" t="s">
        <v>7278</v>
      </c>
      <c r="D8181" s="343">
        <v>120.52</v>
      </c>
    </row>
    <row r="8182" spans="1:4" ht="25.5">
      <c r="A8182" s="341">
        <v>12033</v>
      </c>
      <c r="B8182" s="342" t="s">
        <v>9019</v>
      </c>
      <c r="C8182" s="341" t="s">
        <v>7278</v>
      </c>
      <c r="D8182" s="343">
        <v>7.29</v>
      </c>
    </row>
    <row r="8183" spans="1:4" ht="25.5">
      <c r="A8183" s="341">
        <v>40408</v>
      </c>
      <c r="B8183" s="342" t="s">
        <v>9020</v>
      </c>
      <c r="C8183" s="341" t="s">
        <v>7278</v>
      </c>
      <c r="D8183" s="343">
        <v>4.79</v>
      </c>
    </row>
    <row r="8184" spans="1:4" ht="25.5">
      <c r="A8184" s="341">
        <v>40409</v>
      </c>
      <c r="B8184" s="342" t="s">
        <v>9021</v>
      </c>
      <c r="C8184" s="341" t="s">
        <v>7278</v>
      </c>
      <c r="D8184" s="343">
        <v>1.69</v>
      </c>
    </row>
    <row r="8185" spans="1:4" ht="25.5">
      <c r="A8185" s="341">
        <v>39276</v>
      </c>
      <c r="B8185" s="342" t="s">
        <v>9022</v>
      </c>
      <c r="C8185" s="341" t="s">
        <v>7278</v>
      </c>
      <c r="D8185" s="343">
        <v>4.3099999999999996</v>
      </c>
    </row>
    <row r="8186" spans="1:4" ht="25.5">
      <c r="A8186" s="341">
        <v>39277</v>
      </c>
      <c r="B8186" s="342" t="s">
        <v>9023</v>
      </c>
      <c r="C8186" s="341" t="s">
        <v>7278</v>
      </c>
      <c r="D8186" s="343">
        <v>11.65</v>
      </c>
    </row>
    <row r="8187" spans="1:4" ht="25.5">
      <c r="A8187" s="341">
        <v>12034</v>
      </c>
      <c r="B8187" s="342" t="s">
        <v>9024</v>
      </c>
      <c r="C8187" s="341" t="s">
        <v>7278</v>
      </c>
      <c r="D8187" s="343">
        <v>3.3</v>
      </c>
    </row>
    <row r="8188" spans="1:4" ht="25.5">
      <c r="A8188" s="341">
        <v>39879</v>
      </c>
      <c r="B8188" s="342" t="s">
        <v>9025</v>
      </c>
      <c r="C8188" s="341" t="s">
        <v>7278</v>
      </c>
      <c r="D8188" s="343">
        <v>2.2999999999999998</v>
      </c>
    </row>
    <row r="8189" spans="1:4" ht="25.5">
      <c r="A8189" s="341">
        <v>39880</v>
      </c>
      <c r="B8189" s="342" t="s">
        <v>9026</v>
      </c>
      <c r="C8189" s="341" t="s">
        <v>7278</v>
      </c>
      <c r="D8189" s="343">
        <v>5.1100000000000003</v>
      </c>
    </row>
    <row r="8190" spans="1:4" ht="25.5">
      <c r="A8190" s="341">
        <v>39881</v>
      </c>
      <c r="B8190" s="342" t="s">
        <v>9027</v>
      </c>
      <c r="C8190" s="341" t="s">
        <v>7278</v>
      </c>
      <c r="D8190" s="343">
        <v>8.1999999999999993</v>
      </c>
    </row>
    <row r="8191" spans="1:4" ht="25.5">
      <c r="A8191" s="341">
        <v>39882</v>
      </c>
      <c r="B8191" s="342" t="s">
        <v>9028</v>
      </c>
      <c r="C8191" s="341" t="s">
        <v>7278</v>
      </c>
      <c r="D8191" s="343">
        <v>21.6</v>
      </c>
    </row>
    <row r="8192" spans="1:4" ht="25.5">
      <c r="A8192" s="341">
        <v>39883</v>
      </c>
      <c r="B8192" s="342" t="s">
        <v>9029</v>
      </c>
      <c r="C8192" s="341" t="s">
        <v>7278</v>
      </c>
      <c r="D8192" s="343">
        <v>34.49</v>
      </c>
    </row>
    <row r="8193" spans="1:4" ht="25.5">
      <c r="A8193" s="341">
        <v>39884</v>
      </c>
      <c r="B8193" s="342" t="s">
        <v>9030</v>
      </c>
      <c r="C8193" s="341" t="s">
        <v>7278</v>
      </c>
      <c r="D8193" s="343">
        <v>51.23</v>
      </c>
    </row>
    <row r="8194" spans="1:4" ht="25.5">
      <c r="A8194" s="341">
        <v>39885</v>
      </c>
      <c r="B8194" s="342" t="s">
        <v>9031</v>
      </c>
      <c r="C8194" s="341" t="s">
        <v>7278</v>
      </c>
      <c r="D8194" s="343">
        <v>121.76</v>
      </c>
    </row>
    <row r="8195" spans="1:4" ht="25.5">
      <c r="A8195" s="341">
        <v>1777</v>
      </c>
      <c r="B8195" s="342" t="s">
        <v>9032</v>
      </c>
      <c r="C8195" s="341" t="s">
        <v>7278</v>
      </c>
      <c r="D8195" s="343">
        <v>41.81</v>
      </c>
    </row>
    <row r="8196" spans="1:4" ht="25.5">
      <c r="A8196" s="341">
        <v>1819</v>
      </c>
      <c r="B8196" s="342" t="s">
        <v>9033</v>
      </c>
      <c r="C8196" s="341" t="s">
        <v>7278</v>
      </c>
      <c r="D8196" s="343">
        <v>30.42</v>
      </c>
    </row>
    <row r="8197" spans="1:4" ht="25.5">
      <c r="A8197" s="341">
        <v>1775</v>
      </c>
      <c r="B8197" s="342" t="s">
        <v>9034</v>
      </c>
      <c r="C8197" s="341" t="s">
        <v>7278</v>
      </c>
      <c r="D8197" s="343">
        <v>9.1</v>
      </c>
    </row>
    <row r="8198" spans="1:4" ht="25.5">
      <c r="A8198" s="341">
        <v>1776</v>
      </c>
      <c r="B8198" s="342" t="s">
        <v>9035</v>
      </c>
      <c r="C8198" s="341" t="s">
        <v>7278</v>
      </c>
      <c r="D8198" s="343">
        <v>24.75</v>
      </c>
    </row>
    <row r="8199" spans="1:4" ht="25.5">
      <c r="A8199" s="341">
        <v>1778</v>
      </c>
      <c r="B8199" s="342" t="s">
        <v>9036</v>
      </c>
      <c r="C8199" s="341" t="s">
        <v>7278</v>
      </c>
      <c r="D8199" s="343">
        <v>101.21</v>
      </c>
    </row>
    <row r="8200" spans="1:4" ht="25.5">
      <c r="A8200" s="341">
        <v>1818</v>
      </c>
      <c r="B8200" s="342" t="s">
        <v>9037</v>
      </c>
      <c r="C8200" s="341" t="s">
        <v>7278</v>
      </c>
      <c r="D8200" s="343">
        <v>67.180000000000007</v>
      </c>
    </row>
    <row r="8201" spans="1:4" ht="25.5">
      <c r="A8201" s="341">
        <v>1820</v>
      </c>
      <c r="B8201" s="342" t="s">
        <v>9038</v>
      </c>
      <c r="C8201" s="341" t="s">
        <v>7278</v>
      </c>
      <c r="D8201" s="343">
        <v>13.14</v>
      </c>
    </row>
    <row r="8202" spans="1:4" ht="25.5">
      <c r="A8202" s="341">
        <v>1779</v>
      </c>
      <c r="B8202" s="342" t="s">
        <v>9039</v>
      </c>
      <c r="C8202" s="341" t="s">
        <v>7278</v>
      </c>
      <c r="D8202" s="343">
        <v>147.19999999999999</v>
      </c>
    </row>
    <row r="8203" spans="1:4" ht="25.5">
      <c r="A8203" s="341">
        <v>1780</v>
      </c>
      <c r="B8203" s="342" t="s">
        <v>9040</v>
      </c>
      <c r="C8203" s="341" t="s">
        <v>7278</v>
      </c>
      <c r="D8203" s="343">
        <v>303.47000000000003</v>
      </c>
    </row>
    <row r="8204" spans="1:4" ht="25.5">
      <c r="A8204" s="341">
        <v>1783</v>
      </c>
      <c r="B8204" s="342" t="s">
        <v>9041</v>
      </c>
      <c r="C8204" s="341" t="s">
        <v>7278</v>
      </c>
      <c r="D8204" s="343">
        <v>32.08</v>
      </c>
    </row>
    <row r="8205" spans="1:4" ht="25.5">
      <c r="A8205" s="341">
        <v>1782</v>
      </c>
      <c r="B8205" s="342" t="s">
        <v>9042</v>
      </c>
      <c r="C8205" s="341" t="s">
        <v>7278</v>
      </c>
      <c r="D8205" s="343">
        <v>25.37</v>
      </c>
    </row>
    <row r="8206" spans="1:4" ht="25.5">
      <c r="A8206" s="341">
        <v>1817</v>
      </c>
      <c r="B8206" s="342" t="s">
        <v>9043</v>
      </c>
      <c r="C8206" s="341" t="s">
        <v>7278</v>
      </c>
      <c r="D8206" s="343">
        <v>7.56</v>
      </c>
    </row>
    <row r="8207" spans="1:4" ht="25.5">
      <c r="A8207" s="341">
        <v>1781</v>
      </c>
      <c r="B8207" s="342" t="s">
        <v>9044</v>
      </c>
      <c r="C8207" s="341" t="s">
        <v>7278</v>
      </c>
      <c r="D8207" s="343">
        <v>16.53</v>
      </c>
    </row>
    <row r="8208" spans="1:4" ht="25.5">
      <c r="A8208" s="341">
        <v>1784</v>
      </c>
      <c r="B8208" s="342" t="s">
        <v>9045</v>
      </c>
      <c r="C8208" s="341" t="s">
        <v>7278</v>
      </c>
      <c r="D8208" s="343">
        <v>90.6</v>
      </c>
    </row>
    <row r="8209" spans="1:4" ht="25.5">
      <c r="A8209" s="341">
        <v>1810</v>
      </c>
      <c r="B8209" s="342" t="s">
        <v>9046</v>
      </c>
      <c r="C8209" s="341" t="s">
        <v>7278</v>
      </c>
      <c r="D8209" s="343">
        <v>50.25</v>
      </c>
    </row>
    <row r="8210" spans="1:4" ht="25.5">
      <c r="A8210" s="341">
        <v>1811</v>
      </c>
      <c r="B8210" s="342" t="s">
        <v>9047</v>
      </c>
      <c r="C8210" s="341" t="s">
        <v>7278</v>
      </c>
      <c r="D8210" s="343">
        <v>10.87</v>
      </c>
    </row>
    <row r="8211" spans="1:4" ht="25.5">
      <c r="A8211" s="341">
        <v>1812</v>
      </c>
      <c r="B8211" s="342" t="s">
        <v>9048</v>
      </c>
      <c r="C8211" s="341" t="s">
        <v>7278</v>
      </c>
      <c r="D8211" s="343">
        <v>126.86</v>
      </c>
    </row>
    <row r="8212" spans="1:4" ht="25.5">
      <c r="A8212" s="341">
        <v>40386</v>
      </c>
      <c r="B8212" s="342" t="s">
        <v>9049</v>
      </c>
      <c r="C8212" s="341" t="s">
        <v>7278</v>
      </c>
      <c r="D8212" s="343">
        <v>39.96</v>
      </c>
    </row>
    <row r="8213" spans="1:4" ht="25.5">
      <c r="A8213" s="341">
        <v>40384</v>
      </c>
      <c r="B8213" s="342" t="s">
        <v>9050</v>
      </c>
      <c r="C8213" s="341" t="s">
        <v>7278</v>
      </c>
      <c r="D8213" s="343">
        <v>27.36</v>
      </c>
    </row>
    <row r="8214" spans="1:4" ht="25.5">
      <c r="A8214" s="341">
        <v>40379</v>
      </c>
      <c r="B8214" s="342" t="s">
        <v>9051</v>
      </c>
      <c r="C8214" s="341" t="s">
        <v>7278</v>
      </c>
      <c r="D8214" s="343">
        <v>9.4499999999999993</v>
      </c>
    </row>
    <row r="8215" spans="1:4" ht="25.5">
      <c r="A8215" s="341">
        <v>40423</v>
      </c>
      <c r="B8215" s="342" t="s">
        <v>9052</v>
      </c>
      <c r="C8215" s="341" t="s">
        <v>7278</v>
      </c>
      <c r="D8215" s="343">
        <v>17.899999999999999</v>
      </c>
    </row>
    <row r="8216" spans="1:4" ht="25.5">
      <c r="A8216" s="341">
        <v>40389</v>
      </c>
      <c r="B8216" s="342" t="s">
        <v>9053</v>
      </c>
      <c r="C8216" s="341" t="s">
        <v>7278</v>
      </c>
      <c r="D8216" s="343">
        <v>113.51</v>
      </c>
    </row>
    <row r="8217" spans="1:4" ht="25.5">
      <c r="A8217" s="341">
        <v>40388</v>
      </c>
      <c r="B8217" s="342" t="s">
        <v>9054</v>
      </c>
      <c r="C8217" s="341" t="s">
        <v>7278</v>
      </c>
      <c r="D8217" s="343">
        <v>56.81</v>
      </c>
    </row>
    <row r="8218" spans="1:4" ht="25.5">
      <c r="A8218" s="341">
        <v>40381</v>
      </c>
      <c r="B8218" s="342" t="s">
        <v>9055</v>
      </c>
      <c r="C8218" s="341" t="s">
        <v>7278</v>
      </c>
      <c r="D8218" s="343">
        <v>12.61</v>
      </c>
    </row>
    <row r="8219" spans="1:4" ht="25.5">
      <c r="A8219" s="341">
        <v>40391</v>
      </c>
      <c r="B8219" s="342" t="s">
        <v>9056</v>
      </c>
      <c r="C8219" s="341" t="s">
        <v>7278</v>
      </c>
      <c r="D8219" s="343">
        <v>294.62</v>
      </c>
    </row>
    <row r="8220" spans="1:4" ht="25.5">
      <c r="A8220" s="341">
        <v>40414</v>
      </c>
      <c r="B8220" s="342" t="s">
        <v>9057</v>
      </c>
      <c r="C8220" s="341" t="s">
        <v>7278</v>
      </c>
      <c r="D8220" s="343">
        <v>14.36</v>
      </c>
    </row>
    <row r="8221" spans="1:4" ht="25.5">
      <c r="A8221" s="341">
        <v>40416</v>
      </c>
      <c r="B8221" s="342" t="s">
        <v>9058</v>
      </c>
      <c r="C8221" s="341" t="s">
        <v>7278</v>
      </c>
      <c r="D8221" s="343">
        <v>19.86</v>
      </c>
    </row>
    <row r="8222" spans="1:4" ht="25.5">
      <c r="A8222" s="341">
        <v>40418</v>
      </c>
      <c r="B8222" s="342" t="s">
        <v>9059</v>
      </c>
      <c r="C8222" s="341" t="s">
        <v>7278</v>
      </c>
      <c r="D8222" s="343">
        <v>23.68</v>
      </c>
    </row>
    <row r="8223" spans="1:4" ht="38.25">
      <c r="A8223" s="341">
        <v>2615</v>
      </c>
      <c r="B8223" s="342" t="s">
        <v>9060</v>
      </c>
      <c r="C8223" s="341" t="s">
        <v>7278</v>
      </c>
      <c r="D8223" s="343">
        <v>157.13999999999999</v>
      </c>
    </row>
    <row r="8224" spans="1:4" ht="38.25">
      <c r="A8224" s="341">
        <v>2635</v>
      </c>
      <c r="B8224" s="342" t="s">
        <v>9061</v>
      </c>
      <c r="C8224" s="341" t="s">
        <v>7278</v>
      </c>
      <c r="D8224" s="343">
        <v>4.6900000000000004</v>
      </c>
    </row>
    <row r="8225" spans="1:4" ht="38.25">
      <c r="A8225" s="341">
        <v>2609</v>
      </c>
      <c r="B8225" s="342" t="s">
        <v>9062</v>
      </c>
      <c r="C8225" s="341" t="s">
        <v>7278</v>
      </c>
      <c r="D8225" s="343">
        <v>5.28</v>
      </c>
    </row>
    <row r="8226" spans="1:4" ht="38.25">
      <c r="A8226" s="341">
        <v>2634</v>
      </c>
      <c r="B8226" s="342" t="s">
        <v>9063</v>
      </c>
      <c r="C8226" s="341" t="s">
        <v>7278</v>
      </c>
      <c r="D8226" s="343">
        <v>6.93</v>
      </c>
    </row>
    <row r="8227" spans="1:4" ht="38.25">
      <c r="A8227" s="341">
        <v>2611</v>
      </c>
      <c r="B8227" s="342" t="s">
        <v>9064</v>
      </c>
      <c r="C8227" s="341" t="s">
        <v>7278</v>
      </c>
      <c r="D8227" s="343">
        <v>19.53</v>
      </c>
    </row>
    <row r="8228" spans="1:4" ht="38.25">
      <c r="A8228" s="341">
        <v>2612</v>
      </c>
      <c r="B8228" s="342" t="s">
        <v>9065</v>
      </c>
      <c r="C8228" s="341" t="s">
        <v>7278</v>
      </c>
      <c r="D8228" s="343">
        <v>28.42</v>
      </c>
    </row>
    <row r="8229" spans="1:4" ht="38.25">
      <c r="A8229" s="341">
        <v>2613</v>
      </c>
      <c r="B8229" s="342" t="s">
        <v>9066</v>
      </c>
      <c r="C8229" s="341" t="s">
        <v>7278</v>
      </c>
      <c r="D8229" s="343">
        <v>68.59</v>
      </c>
    </row>
    <row r="8230" spans="1:4" ht="38.25">
      <c r="A8230" s="341">
        <v>2614</v>
      </c>
      <c r="B8230" s="342" t="s">
        <v>9067</v>
      </c>
      <c r="C8230" s="341" t="s">
        <v>7278</v>
      </c>
      <c r="D8230" s="343">
        <v>95.38</v>
      </c>
    </row>
    <row r="8231" spans="1:4" ht="25.5">
      <c r="A8231" s="341">
        <v>34359</v>
      </c>
      <c r="B8231" s="342" t="s">
        <v>9068</v>
      </c>
      <c r="C8231" s="341" t="s">
        <v>7278</v>
      </c>
      <c r="D8231" s="343">
        <v>5.93</v>
      </c>
    </row>
    <row r="8232" spans="1:4" ht="25.5">
      <c r="A8232" s="341">
        <v>1789</v>
      </c>
      <c r="B8232" s="342" t="s">
        <v>9069</v>
      </c>
      <c r="C8232" s="341" t="s">
        <v>7278</v>
      </c>
      <c r="D8232" s="343">
        <v>40.130000000000003</v>
      </c>
    </row>
    <row r="8233" spans="1:4" ht="25.5">
      <c r="A8233" s="341">
        <v>1788</v>
      </c>
      <c r="B8233" s="342" t="s">
        <v>9070</v>
      </c>
      <c r="C8233" s="341" t="s">
        <v>7278</v>
      </c>
      <c r="D8233" s="343">
        <v>32.17</v>
      </c>
    </row>
    <row r="8234" spans="1:4" ht="25.5">
      <c r="A8234" s="341">
        <v>1786</v>
      </c>
      <c r="B8234" s="342" t="s">
        <v>9071</v>
      </c>
      <c r="C8234" s="341" t="s">
        <v>7278</v>
      </c>
      <c r="D8234" s="343">
        <v>7.98</v>
      </c>
    </row>
    <row r="8235" spans="1:4" ht="25.5">
      <c r="A8235" s="341">
        <v>1787</v>
      </c>
      <c r="B8235" s="342" t="s">
        <v>9072</v>
      </c>
      <c r="C8235" s="341" t="s">
        <v>7278</v>
      </c>
      <c r="D8235" s="343">
        <v>19.12</v>
      </c>
    </row>
    <row r="8236" spans="1:4" ht="25.5">
      <c r="A8236" s="341">
        <v>1791</v>
      </c>
      <c r="B8236" s="342" t="s">
        <v>9073</v>
      </c>
      <c r="C8236" s="341" t="s">
        <v>7278</v>
      </c>
      <c r="D8236" s="343">
        <v>115.99</v>
      </c>
    </row>
    <row r="8237" spans="1:4" ht="25.5">
      <c r="A8237" s="341">
        <v>1790</v>
      </c>
      <c r="B8237" s="342" t="s">
        <v>9074</v>
      </c>
      <c r="C8237" s="341" t="s">
        <v>7278</v>
      </c>
      <c r="D8237" s="343">
        <v>66.83</v>
      </c>
    </row>
    <row r="8238" spans="1:4" ht="25.5">
      <c r="A8238" s="341">
        <v>1813</v>
      </c>
      <c r="B8238" s="342" t="s">
        <v>9075</v>
      </c>
      <c r="C8238" s="341" t="s">
        <v>7278</v>
      </c>
      <c r="D8238" s="343">
        <v>12.67</v>
      </c>
    </row>
    <row r="8239" spans="1:4" ht="25.5">
      <c r="A8239" s="341">
        <v>1792</v>
      </c>
      <c r="B8239" s="342" t="s">
        <v>9076</v>
      </c>
      <c r="C8239" s="341" t="s">
        <v>7278</v>
      </c>
      <c r="D8239" s="343">
        <v>156.56</v>
      </c>
    </row>
    <row r="8240" spans="1:4" ht="25.5">
      <c r="A8240" s="341">
        <v>1793</v>
      </c>
      <c r="B8240" s="342" t="s">
        <v>9077</v>
      </c>
      <c r="C8240" s="341" t="s">
        <v>7278</v>
      </c>
      <c r="D8240" s="343">
        <v>316.37</v>
      </c>
    </row>
    <row r="8241" spans="1:4" ht="25.5">
      <c r="A8241" s="341">
        <v>1809</v>
      </c>
      <c r="B8241" s="342" t="s">
        <v>9078</v>
      </c>
      <c r="C8241" s="341" t="s">
        <v>7278</v>
      </c>
      <c r="D8241" s="343">
        <v>37.619999999999997</v>
      </c>
    </row>
    <row r="8242" spans="1:4" ht="25.5">
      <c r="A8242" s="341">
        <v>1814</v>
      </c>
      <c r="B8242" s="342" t="s">
        <v>9079</v>
      </c>
      <c r="C8242" s="341" t="s">
        <v>7278</v>
      </c>
      <c r="D8242" s="343">
        <v>30.91</v>
      </c>
    </row>
    <row r="8243" spans="1:4" ht="25.5">
      <c r="A8243" s="341">
        <v>1803</v>
      </c>
      <c r="B8243" s="342" t="s">
        <v>9080</v>
      </c>
      <c r="C8243" s="341" t="s">
        <v>7278</v>
      </c>
      <c r="D8243" s="343">
        <v>7.81</v>
      </c>
    </row>
    <row r="8244" spans="1:4" ht="25.5">
      <c r="A8244" s="341">
        <v>1805</v>
      </c>
      <c r="B8244" s="342" t="s">
        <v>9081</v>
      </c>
      <c r="C8244" s="341" t="s">
        <v>7278</v>
      </c>
      <c r="D8244" s="343">
        <v>17.940000000000001</v>
      </c>
    </row>
    <row r="8245" spans="1:4" ht="25.5">
      <c r="A8245" s="341">
        <v>1821</v>
      </c>
      <c r="B8245" s="342" t="s">
        <v>9082</v>
      </c>
      <c r="C8245" s="341" t="s">
        <v>7278</v>
      </c>
      <c r="D8245" s="343">
        <v>105.97</v>
      </c>
    </row>
    <row r="8246" spans="1:4" ht="25.5">
      <c r="A8246" s="341">
        <v>1806</v>
      </c>
      <c r="B8246" s="342" t="s">
        <v>9083</v>
      </c>
      <c r="C8246" s="341" t="s">
        <v>7278</v>
      </c>
      <c r="D8246" s="343">
        <v>63.07</v>
      </c>
    </row>
    <row r="8247" spans="1:4" ht="25.5">
      <c r="A8247" s="341">
        <v>1804</v>
      </c>
      <c r="B8247" s="342" t="s">
        <v>9084</v>
      </c>
      <c r="C8247" s="341" t="s">
        <v>7278</v>
      </c>
      <c r="D8247" s="343">
        <v>11.12</v>
      </c>
    </row>
    <row r="8248" spans="1:4" ht="25.5">
      <c r="A8248" s="341">
        <v>1807</v>
      </c>
      <c r="B8248" s="342" t="s">
        <v>9085</v>
      </c>
      <c r="C8248" s="341" t="s">
        <v>7278</v>
      </c>
      <c r="D8248" s="343">
        <v>151.55000000000001</v>
      </c>
    </row>
    <row r="8249" spans="1:4" ht="25.5">
      <c r="A8249" s="341">
        <v>1808</v>
      </c>
      <c r="B8249" s="342" t="s">
        <v>9086</v>
      </c>
      <c r="C8249" s="341" t="s">
        <v>7278</v>
      </c>
      <c r="D8249" s="343">
        <v>303.83999999999997</v>
      </c>
    </row>
    <row r="8250" spans="1:4" ht="25.5">
      <c r="A8250" s="341">
        <v>1797</v>
      </c>
      <c r="B8250" s="342" t="s">
        <v>9087</v>
      </c>
      <c r="C8250" s="341" t="s">
        <v>7278</v>
      </c>
      <c r="D8250" s="343">
        <v>45.57</v>
      </c>
    </row>
    <row r="8251" spans="1:4" ht="25.5">
      <c r="A8251" s="341">
        <v>1796</v>
      </c>
      <c r="B8251" s="342" t="s">
        <v>9088</v>
      </c>
      <c r="C8251" s="341" t="s">
        <v>7278</v>
      </c>
      <c r="D8251" s="343">
        <v>34.950000000000003</v>
      </c>
    </row>
    <row r="8252" spans="1:4" ht="25.5">
      <c r="A8252" s="341">
        <v>1794</v>
      </c>
      <c r="B8252" s="342" t="s">
        <v>9089</v>
      </c>
      <c r="C8252" s="341" t="s">
        <v>7278</v>
      </c>
      <c r="D8252" s="343">
        <v>8.34</v>
      </c>
    </row>
    <row r="8253" spans="1:4" ht="25.5">
      <c r="A8253" s="341">
        <v>1816</v>
      </c>
      <c r="B8253" s="342" t="s">
        <v>9090</v>
      </c>
      <c r="C8253" s="341" t="s">
        <v>7278</v>
      </c>
      <c r="D8253" s="343">
        <v>18.809999999999999</v>
      </c>
    </row>
    <row r="8254" spans="1:4" ht="25.5">
      <c r="A8254" s="341">
        <v>1815</v>
      </c>
      <c r="B8254" s="342" t="s">
        <v>9091</v>
      </c>
      <c r="C8254" s="341" t="s">
        <v>7278</v>
      </c>
      <c r="D8254" s="343">
        <v>144.49</v>
      </c>
    </row>
    <row r="8255" spans="1:4" ht="25.5">
      <c r="A8255" s="341">
        <v>1798</v>
      </c>
      <c r="B8255" s="342" t="s">
        <v>9092</v>
      </c>
      <c r="C8255" s="341" t="s">
        <v>7278</v>
      </c>
      <c r="D8255" s="343">
        <v>64.650000000000006</v>
      </c>
    </row>
    <row r="8256" spans="1:4" ht="25.5">
      <c r="A8256" s="341">
        <v>1795</v>
      </c>
      <c r="B8256" s="342" t="s">
        <v>9093</v>
      </c>
      <c r="C8256" s="341" t="s">
        <v>7278</v>
      </c>
      <c r="D8256" s="343">
        <v>11.56</v>
      </c>
    </row>
    <row r="8257" spans="1:4" ht="25.5">
      <c r="A8257" s="341">
        <v>1799</v>
      </c>
      <c r="B8257" s="342" t="s">
        <v>9094</v>
      </c>
      <c r="C8257" s="341" t="s">
        <v>7278</v>
      </c>
      <c r="D8257" s="343">
        <v>188.18</v>
      </c>
    </row>
    <row r="8258" spans="1:4" ht="25.5">
      <c r="A8258" s="341">
        <v>1800</v>
      </c>
      <c r="B8258" s="342" t="s">
        <v>9095</v>
      </c>
      <c r="C8258" s="341" t="s">
        <v>7278</v>
      </c>
      <c r="D8258" s="343">
        <v>359.27</v>
      </c>
    </row>
    <row r="8259" spans="1:4" ht="25.5">
      <c r="A8259" s="341">
        <v>1802</v>
      </c>
      <c r="B8259" s="342" t="s">
        <v>9096</v>
      </c>
      <c r="C8259" s="341" t="s">
        <v>7278</v>
      </c>
      <c r="D8259" s="343">
        <v>898.69</v>
      </c>
    </row>
    <row r="8260" spans="1:4" ht="38.25">
      <c r="A8260" s="341">
        <v>40385</v>
      </c>
      <c r="B8260" s="342" t="s">
        <v>9097</v>
      </c>
      <c r="C8260" s="341" t="s">
        <v>7278</v>
      </c>
      <c r="D8260" s="343">
        <v>39.96</v>
      </c>
    </row>
    <row r="8261" spans="1:4" ht="38.25">
      <c r="A8261" s="341">
        <v>40383</v>
      </c>
      <c r="B8261" s="342" t="s">
        <v>9098</v>
      </c>
      <c r="C8261" s="341" t="s">
        <v>7278</v>
      </c>
      <c r="D8261" s="343">
        <v>27.36</v>
      </c>
    </row>
    <row r="8262" spans="1:4" ht="25.5">
      <c r="A8262" s="341">
        <v>40378</v>
      </c>
      <c r="B8262" s="342" t="s">
        <v>9099</v>
      </c>
      <c r="C8262" s="341" t="s">
        <v>7278</v>
      </c>
      <c r="D8262" s="343">
        <v>9.4499999999999993</v>
      </c>
    </row>
    <row r="8263" spans="1:4" ht="25.5">
      <c r="A8263" s="341">
        <v>40382</v>
      </c>
      <c r="B8263" s="342" t="s">
        <v>9100</v>
      </c>
      <c r="C8263" s="341" t="s">
        <v>7278</v>
      </c>
      <c r="D8263" s="343">
        <v>17.899999999999999</v>
      </c>
    </row>
    <row r="8264" spans="1:4" ht="38.25">
      <c r="A8264" s="341">
        <v>40422</v>
      </c>
      <c r="B8264" s="342" t="s">
        <v>9101</v>
      </c>
      <c r="C8264" s="341" t="s">
        <v>7278</v>
      </c>
      <c r="D8264" s="343">
        <v>121.94</v>
      </c>
    </row>
    <row r="8265" spans="1:4" ht="25.5">
      <c r="A8265" s="341">
        <v>40387</v>
      </c>
      <c r="B8265" s="342" t="s">
        <v>9102</v>
      </c>
      <c r="C8265" s="341" t="s">
        <v>7278</v>
      </c>
      <c r="D8265" s="343">
        <v>62.08</v>
      </c>
    </row>
    <row r="8266" spans="1:4" ht="25.5">
      <c r="A8266" s="341">
        <v>40380</v>
      </c>
      <c r="B8266" s="342" t="s">
        <v>9103</v>
      </c>
      <c r="C8266" s="341" t="s">
        <v>7278</v>
      </c>
      <c r="D8266" s="343">
        <v>12.61</v>
      </c>
    </row>
    <row r="8267" spans="1:4" ht="25.5">
      <c r="A8267" s="341">
        <v>40390</v>
      </c>
      <c r="B8267" s="342" t="s">
        <v>9104</v>
      </c>
      <c r="C8267" s="341" t="s">
        <v>7278</v>
      </c>
      <c r="D8267" s="343">
        <v>256.81</v>
      </c>
    </row>
    <row r="8268" spans="1:4" ht="25.5">
      <c r="A8268" s="341">
        <v>40413</v>
      </c>
      <c r="B8268" s="342" t="s">
        <v>9105</v>
      </c>
      <c r="C8268" s="341" t="s">
        <v>7278</v>
      </c>
      <c r="D8268" s="343">
        <v>15.6</v>
      </c>
    </row>
    <row r="8269" spans="1:4" ht="25.5">
      <c r="A8269" s="341">
        <v>40415</v>
      </c>
      <c r="B8269" s="342" t="s">
        <v>9106</v>
      </c>
      <c r="C8269" s="341" t="s">
        <v>7278</v>
      </c>
      <c r="D8269" s="343">
        <v>22.24</v>
      </c>
    </row>
    <row r="8270" spans="1:4" ht="25.5">
      <c r="A8270" s="341">
        <v>40417</v>
      </c>
      <c r="B8270" s="342" t="s">
        <v>9107</v>
      </c>
      <c r="C8270" s="341" t="s">
        <v>7278</v>
      </c>
      <c r="D8270" s="343">
        <v>26.23</v>
      </c>
    </row>
    <row r="8271" spans="1:4" ht="25.5">
      <c r="A8271" s="341">
        <v>39271</v>
      </c>
      <c r="B8271" s="342" t="s">
        <v>9108</v>
      </c>
      <c r="C8271" s="341" t="s">
        <v>7278</v>
      </c>
      <c r="D8271" s="343">
        <v>1.47</v>
      </c>
    </row>
    <row r="8272" spans="1:4" ht="25.5">
      <c r="A8272" s="341">
        <v>39273</v>
      </c>
      <c r="B8272" s="342" t="s">
        <v>9109</v>
      </c>
      <c r="C8272" s="341" t="s">
        <v>7278</v>
      </c>
      <c r="D8272" s="343">
        <v>2.4900000000000002</v>
      </c>
    </row>
    <row r="8273" spans="1:4" ht="25.5">
      <c r="A8273" s="341">
        <v>39272</v>
      </c>
      <c r="B8273" s="342" t="s">
        <v>9110</v>
      </c>
      <c r="C8273" s="341" t="s">
        <v>7278</v>
      </c>
      <c r="D8273" s="343">
        <v>1.8</v>
      </c>
    </row>
    <row r="8274" spans="1:4" ht="25.5">
      <c r="A8274" s="341">
        <v>1875</v>
      </c>
      <c r="B8274" s="342" t="s">
        <v>9111</v>
      </c>
      <c r="C8274" s="341" t="s">
        <v>7278</v>
      </c>
      <c r="D8274" s="343">
        <v>3.98</v>
      </c>
    </row>
    <row r="8275" spans="1:4" ht="25.5">
      <c r="A8275" s="341">
        <v>1874</v>
      </c>
      <c r="B8275" s="342" t="s">
        <v>9112</v>
      </c>
      <c r="C8275" s="341" t="s">
        <v>7278</v>
      </c>
      <c r="D8275" s="343">
        <v>3.29</v>
      </c>
    </row>
    <row r="8276" spans="1:4" ht="25.5">
      <c r="A8276" s="341">
        <v>1870</v>
      </c>
      <c r="B8276" s="342" t="s">
        <v>9113</v>
      </c>
      <c r="C8276" s="341" t="s">
        <v>7278</v>
      </c>
      <c r="D8276" s="343">
        <v>1.9</v>
      </c>
    </row>
    <row r="8277" spans="1:4" ht="25.5">
      <c r="A8277" s="341">
        <v>1884</v>
      </c>
      <c r="B8277" s="342" t="s">
        <v>9114</v>
      </c>
      <c r="C8277" s="341" t="s">
        <v>7278</v>
      </c>
      <c r="D8277" s="343">
        <v>2.91</v>
      </c>
    </row>
    <row r="8278" spans="1:4" ht="25.5">
      <c r="A8278" s="341">
        <v>1887</v>
      </c>
      <c r="B8278" s="342" t="s">
        <v>9115</v>
      </c>
      <c r="C8278" s="341" t="s">
        <v>7278</v>
      </c>
      <c r="D8278" s="343">
        <v>16.52</v>
      </c>
    </row>
    <row r="8279" spans="1:4" ht="25.5">
      <c r="A8279" s="341">
        <v>1876</v>
      </c>
      <c r="B8279" s="342" t="s">
        <v>9116</v>
      </c>
      <c r="C8279" s="341" t="s">
        <v>7278</v>
      </c>
      <c r="D8279" s="343">
        <v>6.47</v>
      </c>
    </row>
    <row r="8280" spans="1:4" ht="25.5">
      <c r="A8280" s="341">
        <v>1879</v>
      </c>
      <c r="B8280" s="342" t="s">
        <v>9117</v>
      </c>
      <c r="C8280" s="341" t="s">
        <v>7278</v>
      </c>
      <c r="D8280" s="343">
        <v>1.92</v>
      </c>
    </row>
    <row r="8281" spans="1:4" ht="25.5">
      <c r="A8281" s="341">
        <v>1877</v>
      </c>
      <c r="B8281" s="342" t="s">
        <v>9118</v>
      </c>
      <c r="C8281" s="341" t="s">
        <v>7278</v>
      </c>
      <c r="D8281" s="343">
        <v>16.54</v>
      </c>
    </row>
    <row r="8282" spans="1:4" ht="25.5">
      <c r="A8282" s="341">
        <v>1878</v>
      </c>
      <c r="B8282" s="342" t="s">
        <v>9119</v>
      </c>
      <c r="C8282" s="341" t="s">
        <v>7278</v>
      </c>
      <c r="D8282" s="343">
        <v>33.229999999999997</v>
      </c>
    </row>
    <row r="8283" spans="1:4" ht="38.25">
      <c r="A8283" s="341">
        <v>2621</v>
      </c>
      <c r="B8283" s="342" t="s">
        <v>9120</v>
      </c>
      <c r="C8283" s="341" t="s">
        <v>7278</v>
      </c>
      <c r="D8283" s="343">
        <v>167.14</v>
      </c>
    </row>
    <row r="8284" spans="1:4" ht="38.25">
      <c r="A8284" s="341">
        <v>2616</v>
      </c>
      <c r="B8284" s="342" t="s">
        <v>9121</v>
      </c>
      <c r="C8284" s="341" t="s">
        <v>7278</v>
      </c>
      <c r="D8284" s="343">
        <v>4.7300000000000004</v>
      </c>
    </row>
    <row r="8285" spans="1:4" ht="38.25">
      <c r="A8285" s="341">
        <v>2633</v>
      </c>
      <c r="B8285" s="342" t="s">
        <v>9122</v>
      </c>
      <c r="C8285" s="341" t="s">
        <v>7278</v>
      </c>
      <c r="D8285" s="343">
        <v>5.35</v>
      </c>
    </row>
    <row r="8286" spans="1:4" ht="38.25">
      <c r="A8286" s="341">
        <v>2617</v>
      </c>
      <c r="B8286" s="342" t="s">
        <v>9123</v>
      </c>
      <c r="C8286" s="341" t="s">
        <v>7278</v>
      </c>
      <c r="D8286" s="343">
        <v>7.27</v>
      </c>
    </row>
    <row r="8287" spans="1:4" ht="38.25">
      <c r="A8287" s="341">
        <v>2618</v>
      </c>
      <c r="B8287" s="342" t="s">
        <v>9124</v>
      </c>
      <c r="C8287" s="341" t="s">
        <v>7278</v>
      </c>
      <c r="D8287" s="343">
        <v>16.55</v>
      </c>
    </row>
    <row r="8288" spans="1:4" ht="38.25">
      <c r="A8288" s="341">
        <v>2632</v>
      </c>
      <c r="B8288" s="342" t="s">
        <v>9125</v>
      </c>
      <c r="C8288" s="341" t="s">
        <v>7278</v>
      </c>
      <c r="D8288" s="343">
        <v>20.190000000000001</v>
      </c>
    </row>
    <row r="8289" spans="1:4" ht="38.25">
      <c r="A8289" s="341">
        <v>2631</v>
      </c>
      <c r="B8289" s="342" t="s">
        <v>9126</v>
      </c>
      <c r="C8289" s="341" t="s">
        <v>7278</v>
      </c>
      <c r="D8289" s="343">
        <v>29.65</v>
      </c>
    </row>
    <row r="8290" spans="1:4" ht="38.25">
      <c r="A8290" s="341">
        <v>2619</v>
      </c>
      <c r="B8290" s="342" t="s">
        <v>9127</v>
      </c>
      <c r="C8290" s="341" t="s">
        <v>7278</v>
      </c>
      <c r="D8290" s="343">
        <v>75.06</v>
      </c>
    </row>
    <row r="8291" spans="1:4" ht="38.25">
      <c r="A8291" s="341">
        <v>2620</v>
      </c>
      <c r="B8291" s="342" t="s">
        <v>9128</v>
      </c>
      <c r="C8291" s="341" t="s">
        <v>7278</v>
      </c>
      <c r="D8291" s="343">
        <v>98.55</v>
      </c>
    </row>
    <row r="8292" spans="1:4">
      <c r="A8292" s="341">
        <v>25968</v>
      </c>
      <c r="B8292" s="342" t="s">
        <v>9129</v>
      </c>
      <c r="C8292" s="341" t="s">
        <v>7278</v>
      </c>
      <c r="D8292" s="343">
        <v>30.93</v>
      </c>
    </row>
    <row r="8293" spans="1:4" ht="38.25">
      <c r="A8293" s="341">
        <v>38369</v>
      </c>
      <c r="B8293" s="342" t="s">
        <v>9130</v>
      </c>
      <c r="C8293" s="341" t="s">
        <v>7278</v>
      </c>
      <c r="D8293" s="343">
        <v>9.99</v>
      </c>
    </row>
    <row r="8294" spans="1:4" ht="25.5">
      <c r="A8294" s="341">
        <v>38370</v>
      </c>
      <c r="B8294" s="342" t="s">
        <v>9131</v>
      </c>
      <c r="C8294" s="341" t="s">
        <v>7278</v>
      </c>
      <c r="D8294" s="343">
        <v>9.99</v>
      </c>
    </row>
    <row r="8295" spans="1:4">
      <c r="A8295" s="341">
        <v>38372</v>
      </c>
      <c r="B8295" s="342" t="s">
        <v>9132</v>
      </c>
      <c r="C8295" s="341" t="s">
        <v>7278</v>
      </c>
      <c r="D8295" s="343">
        <v>15.39</v>
      </c>
    </row>
    <row r="8296" spans="1:4">
      <c r="A8296" s="341">
        <v>2357</v>
      </c>
      <c r="B8296" s="342" t="s">
        <v>9133</v>
      </c>
      <c r="C8296" s="341" t="s">
        <v>7275</v>
      </c>
      <c r="D8296" s="343">
        <v>14.87</v>
      </c>
    </row>
    <row r="8297" spans="1:4">
      <c r="A8297" s="341">
        <v>40806</v>
      </c>
      <c r="B8297" s="342" t="s">
        <v>9134</v>
      </c>
      <c r="C8297" s="341" t="s">
        <v>7466</v>
      </c>
      <c r="D8297" s="344">
        <v>2062.92</v>
      </c>
    </row>
    <row r="8298" spans="1:4">
      <c r="A8298" s="341">
        <v>2355</v>
      </c>
      <c r="B8298" s="342" t="s">
        <v>9135</v>
      </c>
      <c r="C8298" s="341" t="s">
        <v>7275</v>
      </c>
      <c r="D8298" s="343">
        <v>19.72</v>
      </c>
    </row>
    <row r="8299" spans="1:4">
      <c r="A8299" s="341">
        <v>40805</v>
      </c>
      <c r="B8299" s="342" t="s">
        <v>9136</v>
      </c>
      <c r="C8299" s="341" t="s">
        <v>7466</v>
      </c>
      <c r="D8299" s="344">
        <v>2734.9</v>
      </c>
    </row>
    <row r="8300" spans="1:4">
      <c r="A8300" s="341">
        <v>2358</v>
      </c>
      <c r="B8300" s="342" t="s">
        <v>9137</v>
      </c>
      <c r="C8300" s="341" t="s">
        <v>7275</v>
      </c>
      <c r="D8300" s="343">
        <v>15.76</v>
      </c>
    </row>
    <row r="8301" spans="1:4">
      <c r="A8301" s="341">
        <v>40807</v>
      </c>
      <c r="B8301" s="342" t="s">
        <v>9138</v>
      </c>
      <c r="C8301" s="341" t="s">
        <v>7466</v>
      </c>
      <c r="D8301" s="344">
        <v>2186.08</v>
      </c>
    </row>
    <row r="8302" spans="1:4">
      <c r="A8302" s="341">
        <v>2359</v>
      </c>
      <c r="B8302" s="342" t="s">
        <v>9139</v>
      </c>
      <c r="C8302" s="341" t="s">
        <v>7275</v>
      </c>
      <c r="D8302" s="343">
        <v>15.76</v>
      </c>
    </row>
    <row r="8303" spans="1:4">
      <c r="A8303" s="341">
        <v>40808</v>
      </c>
      <c r="B8303" s="342" t="s">
        <v>9140</v>
      </c>
      <c r="C8303" s="341" t="s">
        <v>7466</v>
      </c>
      <c r="D8303" s="344">
        <v>2185.48</v>
      </c>
    </row>
    <row r="8304" spans="1:4" ht="25.5">
      <c r="A8304" s="341">
        <v>39397</v>
      </c>
      <c r="B8304" s="342" t="s">
        <v>9141</v>
      </c>
      <c r="C8304" s="341" t="s">
        <v>7340</v>
      </c>
      <c r="D8304" s="343">
        <v>12.29</v>
      </c>
    </row>
    <row r="8305" spans="1:4" ht="38.25">
      <c r="A8305" s="341">
        <v>2692</v>
      </c>
      <c r="B8305" s="342" t="s">
        <v>9142</v>
      </c>
      <c r="C8305" s="341" t="s">
        <v>7340</v>
      </c>
      <c r="D8305" s="343">
        <v>5.82</v>
      </c>
    </row>
    <row r="8306" spans="1:4">
      <c r="A8306" s="341">
        <v>6</v>
      </c>
      <c r="B8306" s="342" t="s">
        <v>9143</v>
      </c>
      <c r="C8306" s="341" t="s">
        <v>7340</v>
      </c>
      <c r="D8306" s="343">
        <v>10.79</v>
      </c>
    </row>
    <row r="8307" spans="1:4">
      <c r="A8307" s="341">
        <v>5330</v>
      </c>
      <c r="B8307" s="342" t="s">
        <v>9144</v>
      </c>
      <c r="C8307" s="341" t="s">
        <v>7340</v>
      </c>
      <c r="D8307" s="343">
        <v>33.950000000000003</v>
      </c>
    </row>
    <row r="8308" spans="1:4" ht="25.5">
      <c r="A8308" s="341">
        <v>26017</v>
      </c>
      <c r="B8308" s="342" t="s">
        <v>9145</v>
      </c>
      <c r="C8308" s="341" t="s">
        <v>7278</v>
      </c>
      <c r="D8308" s="343">
        <v>31.01</v>
      </c>
    </row>
    <row r="8309" spans="1:4" ht="25.5">
      <c r="A8309" s="341">
        <v>25931</v>
      </c>
      <c r="B8309" s="342" t="s">
        <v>9146</v>
      </c>
      <c r="C8309" s="341" t="s">
        <v>7278</v>
      </c>
      <c r="D8309" s="343">
        <v>98.55</v>
      </c>
    </row>
    <row r="8310" spans="1:4" ht="38.25">
      <c r="A8310" s="341">
        <v>38140</v>
      </c>
      <c r="B8310" s="342" t="s">
        <v>9147</v>
      </c>
      <c r="C8310" s="341" t="s">
        <v>7278</v>
      </c>
      <c r="D8310" s="343">
        <v>23.9</v>
      </c>
    </row>
    <row r="8311" spans="1:4" ht="38.25">
      <c r="A8311" s="341">
        <v>13887</v>
      </c>
      <c r="B8311" s="342" t="s">
        <v>9148</v>
      </c>
      <c r="C8311" s="341" t="s">
        <v>7278</v>
      </c>
      <c r="D8311" s="343">
        <v>565.85</v>
      </c>
    </row>
    <row r="8312" spans="1:4" ht="25.5">
      <c r="A8312" s="341">
        <v>26018</v>
      </c>
      <c r="B8312" s="342" t="s">
        <v>9149</v>
      </c>
      <c r="C8312" s="341" t="s">
        <v>7278</v>
      </c>
      <c r="D8312" s="343">
        <v>25.19</v>
      </c>
    </row>
    <row r="8313" spans="1:4" ht="38.25">
      <c r="A8313" s="341">
        <v>26019</v>
      </c>
      <c r="B8313" s="342" t="s">
        <v>9150</v>
      </c>
      <c r="C8313" s="341" t="s">
        <v>7278</v>
      </c>
      <c r="D8313" s="343">
        <v>23.78</v>
      </c>
    </row>
    <row r="8314" spans="1:4" ht="25.5">
      <c r="A8314" s="341">
        <v>26020</v>
      </c>
      <c r="B8314" s="342" t="s">
        <v>9151</v>
      </c>
      <c r="C8314" s="341" t="s">
        <v>7278</v>
      </c>
      <c r="D8314" s="343">
        <v>6.2</v>
      </c>
    </row>
    <row r="8315" spans="1:4" ht="25.5">
      <c r="A8315" s="341">
        <v>34544</v>
      </c>
      <c r="B8315" s="342" t="s">
        <v>9152</v>
      </c>
      <c r="C8315" s="341" t="s">
        <v>7278</v>
      </c>
      <c r="D8315" s="344">
        <v>1092.6600000000001</v>
      </c>
    </row>
    <row r="8316" spans="1:4" ht="38.25">
      <c r="A8316" s="341">
        <v>34729</v>
      </c>
      <c r="B8316" s="342" t="s">
        <v>9153</v>
      </c>
      <c r="C8316" s="341" t="s">
        <v>7278</v>
      </c>
      <c r="D8316" s="343">
        <v>859.55</v>
      </c>
    </row>
    <row r="8317" spans="1:4" ht="38.25">
      <c r="A8317" s="341">
        <v>34734</v>
      </c>
      <c r="B8317" s="342" t="s">
        <v>9154</v>
      </c>
      <c r="C8317" s="341" t="s">
        <v>7278</v>
      </c>
      <c r="D8317" s="344">
        <v>1330.86</v>
      </c>
    </row>
    <row r="8318" spans="1:4" ht="38.25">
      <c r="A8318" s="341">
        <v>34738</v>
      </c>
      <c r="B8318" s="342" t="s">
        <v>9155</v>
      </c>
      <c r="C8318" s="341" t="s">
        <v>7278</v>
      </c>
      <c r="D8318" s="344">
        <v>3109.3</v>
      </c>
    </row>
    <row r="8319" spans="1:4">
      <c r="A8319" s="341">
        <v>2391</v>
      </c>
      <c r="B8319" s="342" t="s">
        <v>9156</v>
      </c>
      <c r="C8319" s="341" t="s">
        <v>7278</v>
      </c>
      <c r="D8319" s="343">
        <v>252.89</v>
      </c>
    </row>
    <row r="8320" spans="1:4" ht="25.5">
      <c r="A8320" s="341">
        <v>2374</v>
      </c>
      <c r="B8320" s="342" t="s">
        <v>9157</v>
      </c>
      <c r="C8320" s="341" t="s">
        <v>7278</v>
      </c>
      <c r="D8320" s="343">
        <v>286.89</v>
      </c>
    </row>
    <row r="8321" spans="1:4" ht="25.5">
      <c r="A8321" s="341">
        <v>2377</v>
      </c>
      <c r="B8321" s="342" t="s">
        <v>9158</v>
      </c>
      <c r="C8321" s="341" t="s">
        <v>7278</v>
      </c>
      <c r="D8321" s="343">
        <v>402.62</v>
      </c>
    </row>
    <row r="8322" spans="1:4" ht="25.5">
      <c r="A8322" s="341">
        <v>2393</v>
      </c>
      <c r="B8322" s="342" t="s">
        <v>9159</v>
      </c>
      <c r="C8322" s="341" t="s">
        <v>7278</v>
      </c>
      <c r="D8322" s="343">
        <v>674.25</v>
      </c>
    </row>
    <row r="8323" spans="1:4" ht="25.5">
      <c r="A8323" s="341">
        <v>34705</v>
      </c>
      <c r="B8323" s="342" t="s">
        <v>9160</v>
      </c>
      <c r="C8323" s="341" t="s">
        <v>7278</v>
      </c>
      <c r="D8323" s="343">
        <v>589.73</v>
      </c>
    </row>
    <row r="8324" spans="1:4" ht="25.5">
      <c r="A8324" s="341">
        <v>34707</v>
      </c>
      <c r="B8324" s="342" t="s">
        <v>9161</v>
      </c>
      <c r="C8324" s="341" t="s">
        <v>7278</v>
      </c>
      <c r="D8324" s="344">
        <v>1092.78</v>
      </c>
    </row>
    <row r="8325" spans="1:4" ht="25.5">
      <c r="A8325" s="341">
        <v>2378</v>
      </c>
      <c r="B8325" s="342" t="s">
        <v>9162</v>
      </c>
      <c r="C8325" s="341" t="s">
        <v>7278</v>
      </c>
      <c r="D8325" s="343">
        <v>926.17</v>
      </c>
    </row>
    <row r="8326" spans="1:4" ht="25.5">
      <c r="A8326" s="341">
        <v>2379</v>
      </c>
      <c r="B8326" s="342" t="s">
        <v>9163</v>
      </c>
      <c r="C8326" s="341" t="s">
        <v>7278</v>
      </c>
      <c r="D8326" s="343">
        <v>926.17</v>
      </c>
    </row>
    <row r="8327" spans="1:4" ht="25.5">
      <c r="A8327" s="341">
        <v>2376</v>
      </c>
      <c r="B8327" s="342" t="s">
        <v>9164</v>
      </c>
      <c r="C8327" s="341" t="s">
        <v>7278</v>
      </c>
      <c r="D8327" s="344">
        <v>1525.4</v>
      </c>
    </row>
    <row r="8328" spans="1:4" ht="25.5">
      <c r="A8328" s="341">
        <v>2394</v>
      </c>
      <c r="B8328" s="342" t="s">
        <v>9165</v>
      </c>
      <c r="C8328" s="341" t="s">
        <v>7278</v>
      </c>
      <c r="D8328" s="344">
        <v>3261.03</v>
      </c>
    </row>
    <row r="8329" spans="1:4" ht="25.5">
      <c r="A8329" s="341">
        <v>34686</v>
      </c>
      <c r="B8329" s="342" t="s">
        <v>9166</v>
      </c>
      <c r="C8329" s="341" t="s">
        <v>7278</v>
      </c>
      <c r="D8329" s="343">
        <v>9.7899999999999991</v>
      </c>
    </row>
    <row r="8330" spans="1:4">
      <c r="A8330" s="341">
        <v>34616</v>
      </c>
      <c r="B8330" s="342" t="s">
        <v>9167</v>
      </c>
      <c r="C8330" s="341" t="s">
        <v>7278</v>
      </c>
      <c r="D8330" s="343">
        <v>37.840000000000003</v>
      </c>
    </row>
    <row r="8331" spans="1:4">
      <c r="A8331" s="341">
        <v>34623</v>
      </c>
      <c r="B8331" s="342" t="s">
        <v>9168</v>
      </c>
      <c r="C8331" s="341" t="s">
        <v>7278</v>
      </c>
      <c r="D8331" s="343">
        <v>37.26</v>
      </c>
    </row>
    <row r="8332" spans="1:4">
      <c r="A8332" s="341">
        <v>34628</v>
      </c>
      <c r="B8332" s="342" t="s">
        <v>9169</v>
      </c>
      <c r="C8332" s="341" t="s">
        <v>7278</v>
      </c>
      <c r="D8332" s="343">
        <v>53.37</v>
      </c>
    </row>
    <row r="8333" spans="1:4" ht="25.5">
      <c r="A8333" s="341">
        <v>34653</v>
      </c>
      <c r="B8333" s="342" t="s">
        <v>9170</v>
      </c>
      <c r="C8333" s="341" t="s">
        <v>7278</v>
      </c>
      <c r="D8333" s="343">
        <v>6.6</v>
      </c>
    </row>
    <row r="8334" spans="1:4">
      <c r="A8334" s="341">
        <v>34688</v>
      </c>
      <c r="B8334" s="342" t="s">
        <v>9171</v>
      </c>
      <c r="C8334" s="341" t="s">
        <v>7278</v>
      </c>
      <c r="D8334" s="343">
        <v>11.96</v>
      </c>
    </row>
    <row r="8335" spans="1:4" ht="25.5">
      <c r="A8335" s="341">
        <v>34709</v>
      </c>
      <c r="B8335" s="342" t="s">
        <v>9172</v>
      </c>
      <c r="C8335" s="341" t="s">
        <v>7278</v>
      </c>
      <c r="D8335" s="343">
        <v>46.36</v>
      </c>
    </row>
    <row r="8336" spans="1:4">
      <c r="A8336" s="341">
        <v>34714</v>
      </c>
      <c r="B8336" s="342" t="s">
        <v>9173</v>
      </c>
      <c r="C8336" s="341" t="s">
        <v>7278</v>
      </c>
      <c r="D8336" s="343">
        <v>55.37</v>
      </c>
    </row>
    <row r="8337" spans="1:4" ht="25.5">
      <c r="A8337" s="341">
        <v>2388</v>
      </c>
      <c r="B8337" s="342" t="s">
        <v>9174</v>
      </c>
      <c r="C8337" s="341" t="s">
        <v>7278</v>
      </c>
      <c r="D8337" s="343">
        <v>46.01</v>
      </c>
    </row>
    <row r="8338" spans="1:4" ht="25.5">
      <c r="A8338" s="341">
        <v>34606</v>
      </c>
      <c r="B8338" s="342" t="s">
        <v>9175</v>
      </c>
      <c r="C8338" s="341" t="s">
        <v>7278</v>
      </c>
      <c r="D8338" s="343">
        <v>70.58</v>
      </c>
    </row>
    <row r="8339" spans="1:4" ht="25.5">
      <c r="A8339" s="341">
        <v>34689</v>
      </c>
      <c r="B8339" s="342" t="s">
        <v>9176</v>
      </c>
      <c r="C8339" s="341" t="s">
        <v>7278</v>
      </c>
      <c r="D8339" s="343">
        <v>22.47</v>
      </c>
    </row>
    <row r="8340" spans="1:4" ht="25.5">
      <c r="A8340" s="341">
        <v>2370</v>
      </c>
      <c r="B8340" s="342" t="s">
        <v>9177</v>
      </c>
      <c r="C8340" s="341" t="s">
        <v>7278</v>
      </c>
      <c r="D8340" s="343">
        <v>8.5500000000000007</v>
      </c>
    </row>
    <row r="8341" spans="1:4" ht="25.5">
      <c r="A8341" s="341">
        <v>2386</v>
      </c>
      <c r="B8341" s="342" t="s">
        <v>9178</v>
      </c>
      <c r="C8341" s="341" t="s">
        <v>7278</v>
      </c>
      <c r="D8341" s="343">
        <v>14.34</v>
      </c>
    </row>
    <row r="8342" spans="1:4" ht="25.5">
      <c r="A8342" s="341">
        <v>2392</v>
      </c>
      <c r="B8342" s="342" t="s">
        <v>9179</v>
      </c>
      <c r="C8342" s="341" t="s">
        <v>7278</v>
      </c>
      <c r="D8342" s="343">
        <v>57.39</v>
      </c>
    </row>
    <row r="8343" spans="1:4" ht="25.5">
      <c r="A8343" s="341">
        <v>2373</v>
      </c>
      <c r="B8343" s="342" t="s">
        <v>9180</v>
      </c>
      <c r="C8343" s="341" t="s">
        <v>7278</v>
      </c>
      <c r="D8343" s="343">
        <v>80.86</v>
      </c>
    </row>
    <row r="8344" spans="1:4" ht="38.25">
      <c r="A8344" s="341">
        <v>39465</v>
      </c>
      <c r="B8344" s="342" t="s">
        <v>9181</v>
      </c>
      <c r="C8344" s="341" t="s">
        <v>7278</v>
      </c>
      <c r="D8344" s="343">
        <v>49.4</v>
      </c>
    </row>
    <row r="8345" spans="1:4" ht="38.25">
      <c r="A8345" s="341">
        <v>39466</v>
      </c>
      <c r="B8345" s="342" t="s">
        <v>9182</v>
      </c>
      <c r="C8345" s="341" t="s">
        <v>7278</v>
      </c>
      <c r="D8345" s="343">
        <v>55.57</v>
      </c>
    </row>
    <row r="8346" spans="1:4" ht="38.25">
      <c r="A8346" s="341">
        <v>39467</v>
      </c>
      <c r="B8346" s="342" t="s">
        <v>9183</v>
      </c>
      <c r="C8346" s="341" t="s">
        <v>7278</v>
      </c>
      <c r="D8346" s="343">
        <v>71.08</v>
      </c>
    </row>
    <row r="8347" spans="1:4" ht="38.25">
      <c r="A8347" s="341">
        <v>39468</v>
      </c>
      <c r="B8347" s="342" t="s">
        <v>9184</v>
      </c>
      <c r="C8347" s="341" t="s">
        <v>7278</v>
      </c>
      <c r="D8347" s="343">
        <v>126.35</v>
      </c>
    </row>
    <row r="8348" spans="1:4" ht="38.25">
      <c r="A8348" s="341">
        <v>39469</v>
      </c>
      <c r="B8348" s="342" t="s">
        <v>9185</v>
      </c>
      <c r="C8348" s="341" t="s">
        <v>7278</v>
      </c>
      <c r="D8348" s="343">
        <v>51.47</v>
      </c>
    </row>
    <row r="8349" spans="1:4" ht="38.25">
      <c r="A8349" s="341">
        <v>39470</v>
      </c>
      <c r="B8349" s="342" t="s">
        <v>9186</v>
      </c>
      <c r="C8349" s="341" t="s">
        <v>7278</v>
      </c>
      <c r="D8349" s="343">
        <v>63.24</v>
      </c>
    </row>
    <row r="8350" spans="1:4" ht="38.25">
      <c r="A8350" s="341">
        <v>39471</v>
      </c>
      <c r="B8350" s="342" t="s">
        <v>9187</v>
      </c>
      <c r="C8350" s="341" t="s">
        <v>7278</v>
      </c>
      <c r="D8350" s="343">
        <v>76</v>
      </c>
    </row>
    <row r="8351" spans="1:4" ht="38.25">
      <c r="A8351" s="341">
        <v>39472</v>
      </c>
      <c r="B8351" s="342" t="s">
        <v>9188</v>
      </c>
      <c r="C8351" s="341" t="s">
        <v>7278</v>
      </c>
      <c r="D8351" s="343">
        <v>132.04</v>
      </c>
    </row>
    <row r="8352" spans="1:4" ht="38.25">
      <c r="A8352" s="341">
        <v>39473</v>
      </c>
      <c r="B8352" s="342" t="s">
        <v>9189</v>
      </c>
      <c r="C8352" s="341" t="s">
        <v>7278</v>
      </c>
      <c r="D8352" s="343">
        <v>85.3</v>
      </c>
    </row>
    <row r="8353" spans="1:4" ht="38.25">
      <c r="A8353" s="341">
        <v>39474</v>
      </c>
      <c r="B8353" s="342" t="s">
        <v>9190</v>
      </c>
      <c r="C8353" s="341" t="s">
        <v>7278</v>
      </c>
      <c r="D8353" s="343">
        <v>90.93</v>
      </c>
    </row>
    <row r="8354" spans="1:4" ht="38.25">
      <c r="A8354" s="341">
        <v>39475</v>
      </c>
      <c r="B8354" s="342" t="s">
        <v>9191</v>
      </c>
      <c r="C8354" s="341" t="s">
        <v>7278</v>
      </c>
      <c r="D8354" s="343">
        <v>103.17</v>
      </c>
    </row>
    <row r="8355" spans="1:4" ht="38.25">
      <c r="A8355" s="341">
        <v>39476</v>
      </c>
      <c r="B8355" s="342" t="s">
        <v>9192</v>
      </c>
      <c r="C8355" s="341" t="s">
        <v>7278</v>
      </c>
      <c r="D8355" s="343">
        <v>194.22</v>
      </c>
    </row>
    <row r="8356" spans="1:4" ht="38.25">
      <c r="A8356" s="341">
        <v>39477</v>
      </c>
      <c r="B8356" s="342" t="s">
        <v>9193</v>
      </c>
      <c r="C8356" s="341" t="s">
        <v>7278</v>
      </c>
      <c r="D8356" s="343">
        <v>95.16</v>
      </c>
    </row>
    <row r="8357" spans="1:4" ht="38.25">
      <c r="A8357" s="341">
        <v>39478</v>
      </c>
      <c r="B8357" s="342" t="s">
        <v>9194</v>
      </c>
      <c r="C8357" s="341" t="s">
        <v>7278</v>
      </c>
      <c r="D8357" s="343">
        <v>98.11</v>
      </c>
    </row>
    <row r="8358" spans="1:4" ht="38.25">
      <c r="A8358" s="341">
        <v>39479</v>
      </c>
      <c r="B8358" s="342" t="s">
        <v>9195</v>
      </c>
      <c r="C8358" s="341" t="s">
        <v>7278</v>
      </c>
      <c r="D8358" s="343">
        <v>115.59</v>
      </c>
    </row>
    <row r="8359" spans="1:4" ht="38.25">
      <c r="A8359" s="341">
        <v>39480</v>
      </c>
      <c r="B8359" s="342" t="s">
        <v>9196</v>
      </c>
      <c r="C8359" s="341" t="s">
        <v>7278</v>
      </c>
      <c r="D8359" s="343">
        <v>238.52</v>
      </c>
    </row>
    <row r="8360" spans="1:4" ht="25.5">
      <c r="A8360" s="341">
        <v>39459</v>
      </c>
      <c r="B8360" s="342" t="s">
        <v>9197</v>
      </c>
      <c r="C8360" s="341" t="s">
        <v>7278</v>
      </c>
      <c r="D8360" s="343">
        <v>202.44</v>
      </c>
    </row>
    <row r="8361" spans="1:4" ht="25.5">
      <c r="A8361" s="341">
        <v>39445</v>
      </c>
      <c r="B8361" s="342" t="s">
        <v>9198</v>
      </c>
      <c r="C8361" s="341" t="s">
        <v>7278</v>
      </c>
      <c r="D8361" s="343">
        <v>101.65</v>
      </c>
    </row>
    <row r="8362" spans="1:4" ht="25.5">
      <c r="A8362" s="341">
        <v>39446</v>
      </c>
      <c r="B8362" s="342" t="s">
        <v>9199</v>
      </c>
      <c r="C8362" s="341" t="s">
        <v>7278</v>
      </c>
      <c r="D8362" s="343">
        <v>103.45</v>
      </c>
    </row>
    <row r="8363" spans="1:4" ht="25.5">
      <c r="A8363" s="341">
        <v>39447</v>
      </c>
      <c r="B8363" s="342" t="s">
        <v>9200</v>
      </c>
      <c r="C8363" s="341" t="s">
        <v>7278</v>
      </c>
      <c r="D8363" s="343">
        <v>110.63</v>
      </c>
    </row>
    <row r="8364" spans="1:4" ht="25.5">
      <c r="A8364" s="341">
        <v>39448</v>
      </c>
      <c r="B8364" s="342" t="s">
        <v>9201</v>
      </c>
      <c r="C8364" s="341" t="s">
        <v>7278</v>
      </c>
      <c r="D8364" s="343">
        <v>188.65</v>
      </c>
    </row>
    <row r="8365" spans="1:4" ht="25.5">
      <c r="A8365" s="341">
        <v>39450</v>
      </c>
      <c r="B8365" s="342" t="s">
        <v>9202</v>
      </c>
      <c r="C8365" s="341" t="s">
        <v>7278</v>
      </c>
      <c r="D8365" s="343">
        <v>115.1</v>
      </c>
    </row>
    <row r="8366" spans="1:4" ht="25.5">
      <c r="A8366" s="341">
        <v>39451</v>
      </c>
      <c r="B8366" s="342" t="s">
        <v>9203</v>
      </c>
      <c r="C8366" s="341" t="s">
        <v>7278</v>
      </c>
      <c r="D8366" s="343">
        <v>125.54</v>
      </c>
    </row>
    <row r="8367" spans="1:4" ht="25.5">
      <c r="A8367" s="341">
        <v>39452</v>
      </c>
      <c r="B8367" s="342" t="s">
        <v>9204</v>
      </c>
      <c r="C8367" s="341" t="s">
        <v>7278</v>
      </c>
      <c r="D8367" s="343">
        <v>126.29</v>
      </c>
    </row>
    <row r="8368" spans="1:4" ht="25.5">
      <c r="A8368" s="341">
        <v>39523</v>
      </c>
      <c r="B8368" s="342" t="s">
        <v>9205</v>
      </c>
      <c r="C8368" s="341" t="s">
        <v>7278</v>
      </c>
      <c r="D8368" s="343">
        <v>211.34</v>
      </c>
    </row>
    <row r="8369" spans="1:4" ht="25.5">
      <c r="A8369" s="341">
        <v>39449</v>
      </c>
      <c r="B8369" s="342" t="s">
        <v>9206</v>
      </c>
      <c r="C8369" s="341" t="s">
        <v>7278</v>
      </c>
      <c r="D8369" s="343">
        <v>234.05</v>
      </c>
    </row>
    <row r="8370" spans="1:4" ht="25.5">
      <c r="A8370" s="341">
        <v>39455</v>
      </c>
      <c r="B8370" s="342" t="s">
        <v>9207</v>
      </c>
      <c r="C8370" s="341" t="s">
        <v>7278</v>
      </c>
      <c r="D8370" s="343">
        <v>115.81</v>
      </c>
    </row>
    <row r="8371" spans="1:4" ht="25.5">
      <c r="A8371" s="341">
        <v>39456</v>
      </c>
      <c r="B8371" s="342" t="s">
        <v>9208</v>
      </c>
      <c r="C8371" s="341" t="s">
        <v>7278</v>
      </c>
      <c r="D8371" s="343">
        <v>115.9</v>
      </c>
    </row>
    <row r="8372" spans="1:4" ht="25.5">
      <c r="A8372" s="341">
        <v>39457</v>
      </c>
      <c r="B8372" s="342" t="s">
        <v>9209</v>
      </c>
      <c r="C8372" s="341" t="s">
        <v>7278</v>
      </c>
      <c r="D8372" s="343">
        <v>126.35</v>
      </c>
    </row>
    <row r="8373" spans="1:4" ht="25.5">
      <c r="A8373" s="341">
        <v>39458</v>
      </c>
      <c r="B8373" s="342" t="s">
        <v>9210</v>
      </c>
      <c r="C8373" s="341" t="s">
        <v>7278</v>
      </c>
      <c r="D8373" s="343">
        <v>235.77</v>
      </c>
    </row>
    <row r="8374" spans="1:4" ht="25.5">
      <c r="A8374" s="341">
        <v>39464</v>
      </c>
      <c r="B8374" s="342" t="s">
        <v>9211</v>
      </c>
      <c r="C8374" s="341" t="s">
        <v>7278</v>
      </c>
      <c r="D8374" s="343">
        <v>379.14</v>
      </c>
    </row>
    <row r="8375" spans="1:4" ht="25.5">
      <c r="A8375" s="341">
        <v>39460</v>
      </c>
      <c r="B8375" s="342" t="s">
        <v>9212</v>
      </c>
      <c r="C8375" s="341" t="s">
        <v>7278</v>
      </c>
      <c r="D8375" s="343">
        <v>143.80000000000001</v>
      </c>
    </row>
    <row r="8376" spans="1:4" ht="25.5">
      <c r="A8376" s="341">
        <v>39461</v>
      </c>
      <c r="B8376" s="342" t="s">
        <v>9213</v>
      </c>
      <c r="C8376" s="341" t="s">
        <v>7278</v>
      </c>
      <c r="D8376" s="343">
        <v>168.5</v>
      </c>
    </row>
    <row r="8377" spans="1:4" ht="25.5">
      <c r="A8377" s="341">
        <v>39462</v>
      </c>
      <c r="B8377" s="342" t="s">
        <v>9214</v>
      </c>
      <c r="C8377" s="341" t="s">
        <v>7278</v>
      </c>
      <c r="D8377" s="343">
        <v>162.38999999999999</v>
      </c>
    </row>
    <row r="8378" spans="1:4" ht="25.5">
      <c r="A8378" s="341">
        <v>39463</v>
      </c>
      <c r="B8378" s="342" t="s">
        <v>9215</v>
      </c>
      <c r="C8378" s="341" t="s">
        <v>7278</v>
      </c>
      <c r="D8378" s="343">
        <v>376.2</v>
      </c>
    </row>
    <row r="8379" spans="1:4" ht="25.5">
      <c r="A8379" s="341">
        <v>26039</v>
      </c>
      <c r="B8379" s="342" t="s">
        <v>9216</v>
      </c>
      <c r="C8379" s="341" t="s">
        <v>7278</v>
      </c>
      <c r="D8379" s="344">
        <v>231038.02</v>
      </c>
    </row>
    <row r="8380" spans="1:4" ht="38.25">
      <c r="A8380" s="341">
        <v>2401</v>
      </c>
      <c r="B8380" s="342" t="s">
        <v>9217</v>
      </c>
      <c r="C8380" s="341" t="s">
        <v>7278</v>
      </c>
      <c r="D8380" s="344">
        <v>53141.3</v>
      </c>
    </row>
    <row r="8381" spans="1:4" ht="38.25">
      <c r="A8381" s="341">
        <v>38870</v>
      </c>
      <c r="B8381" s="342" t="s">
        <v>9218</v>
      </c>
      <c r="C8381" s="341" t="s">
        <v>7278</v>
      </c>
      <c r="D8381" s="343">
        <v>33.93</v>
      </c>
    </row>
    <row r="8382" spans="1:4" ht="38.25">
      <c r="A8382" s="341">
        <v>38869</v>
      </c>
      <c r="B8382" s="342" t="s">
        <v>9219</v>
      </c>
      <c r="C8382" s="341" t="s">
        <v>7278</v>
      </c>
      <c r="D8382" s="343">
        <v>29.92</v>
      </c>
    </row>
    <row r="8383" spans="1:4" ht="38.25">
      <c r="A8383" s="341">
        <v>38872</v>
      </c>
      <c r="B8383" s="342" t="s">
        <v>9220</v>
      </c>
      <c r="C8383" s="341" t="s">
        <v>7278</v>
      </c>
      <c r="D8383" s="343">
        <v>46.34</v>
      </c>
    </row>
    <row r="8384" spans="1:4" ht="38.25">
      <c r="A8384" s="341">
        <v>38871</v>
      </c>
      <c r="B8384" s="342" t="s">
        <v>9221</v>
      </c>
      <c r="C8384" s="341" t="s">
        <v>7278</v>
      </c>
      <c r="D8384" s="343">
        <v>37.28</v>
      </c>
    </row>
    <row r="8385" spans="1:4" ht="38.25">
      <c r="A8385" s="341">
        <v>39283</v>
      </c>
      <c r="B8385" s="342" t="s">
        <v>9222</v>
      </c>
      <c r="C8385" s="341" t="s">
        <v>7278</v>
      </c>
      <c r="D8385" s="343">
        <v>116.11</v>
      </c>
    </row>
    <row r="8386" spans="1:4" ht="38.25">
      <c r="A8386" s="341">
        <v>39284</v>
      </c>
      <c r="B8386" s="342" t="s">
        <v>9223</v>
      </c>
      <c r="C8386" s="341" t="s">
        <v>7278</v>
      </c>
      <c r="D8386" s="343">
        <v>125.82</v>
      </c>
    </row>
    <row r="8387" spans="1:4" ht="38.25">
      <c r="A8387" s="341">
        <v>39285</v>
      </c>
      <c r="B8387" s="342" t="s">
        <v>9224</v>
      </c>
      <c r="C8387" s="341" t="s">
        <v>7278</v>
      </c>
      <c r="D8387" s="343">
        <v>127.64</v>
      </c>
    </row>
    <row r="8388" spans="1:4" ht="38.25">
      <c r="A8388" s="341">
        <v>39286</v>
      </c>
      <c r="B8388" s="342" t="s">
        <v>9225</v>
      </c>
      <c r="C8388" s="341" t="s">
        <v>7278</v>
      </c>
      <c r="D8388" s="343">
        <v>124.86</v>
      </c>
    </row>
    <row r="8389" spans="1:4" ht="38.25">
      <c r="A8389" s="341">
        <v>39287</v>
      </c>
      <c r="B8389" s="342" t="s">
        <v>9226</v>
      </c>
      <c r="C8389" s="341" t="s">
        <v>7278</v>
      </c>
      <c r="D8389" s="343">
        <v>146.61000000000001</v>
      </c>
    </row>
    <row r="8390" spans="1:4" ht="38.25">
      <c r="A8390" s="341">
        <v>39288</v>
      </c>
      <c r="B8390" s="342" t="s">
        <v>9227</v>
      </c>
      <c r="C8390" s="341" t="s">
        <v>7278</v>
      </c>
      <c r="D8390" s="343">
        <v>156.46</v>
      </c>
    </row>
    <row r="8391" spans="1:4" ht="38.25">
      <c r="A8391" s="341">
        <v>2414</v>
      </c>
      <c r="B8391" s="342" t="s">
        <v>9228</v>
      </c>
      <c r="C8391" s="341" t="s">
        <v>7273</v>
      </c>
      <c r="D8391" s="343">
        <v>90.28</v>
      </c>
    </row>
    <row r="8392" spans="1:4" ht="38.25">
      <c r="A8392" s="341">
        <v>2413</v>
      </c>
      <c r="B8392" s="342" t="s">
        <v>9229</v>
      </c>
      <c r="C8392" s="341" t="s">
        <v>7273</v>
      </c>
      <c r="D8392" s="343">
        <v>86.85</v>
      </c>
    </row>
    <row r="8393" spans="1:4" ht="38.25">
      <c r="A8393" s="341">
        <v>2405</v>
      </c>
      <c r="B8393" s="342" t="s">
        <v>9230</v>
      </c>
      <c r="C8393" s="341" t="s">
        <v>7273</v>
      </c>
      <c r="D8393" s="343">
        <v>101.09</v>
      </c>
    </row>
    <row r="8394" spans="1:4" ht="38.25">
      <c r="A8394" s="341">
        <v>13361</v>
      </c>
      <c r="B8394" s="342" t="s">
        <v>9231</v>
      </c>
      <c r="C8394" s="341" t="s">
        <v>7273</v>
      </c>
      <c r="D8394" s="343">
        <v>84.57</v>
      </c>
    </row>
    <row r="8395" spans="1:4" ht="38.25">
      <c r="A8395" s="341">
        <v>11987</v>
      </c>
      <c r="B8395" s="342" t="s">
        <v>9232</v>
      </c>
      <c r="C8395" s="341" t="s">
        <v>7273</v>
      </c>
      <c r="D8395" s="343">
        <v>226.28</v>
      </c>
    </row>
    <row r="8396" spans="1:4" ht="38.25">
      <c r="A8396" s="341">
        <v>2416</v>
      </c>
      <c r="B8396" s="342" t="s">
        <v>9233</v>
      </c>
      <c r="C8396" s="341" t="s">
        <v>7273</v>
      </c>
      <c r="D8396" s="343">
        <v>100.11</v>
      </c>
    </row>
    <row r="8397" spans="1:4" ht="38.25">
      <c r="A8397" s="341">
        <v>2412</v>
      </c>
      <c r="B8397" s="342" t="s">
        <v>9234</v>
      </c>
      <c r="C8397" s="341" t="s">
        <v>7273</v>
      </c>
      <c r="D8397" s="343">
        <v>96.68</v>
      </c>
    </row>
    <row r="8398" spans="1:4" ht="38.25">
      <c r="A8398" s="341">
        <v>2411</v>
      </c>
      <c r="B8398" s="342" t="s">
        <v>9235</v>
      </c>
      <c r="C8398" s="341" t="s">
        <v>7273</v>
      </c>
      <c r="D8398" s="343">
        <v>84.57</v>
      </c>
    </row>
    <row r="8399" spans="1:4" ht="38.25">
      <c r="A8399" s="341">
        <v>2406</v>
      </c>
      <c r="B8399" s="342" t="s">
        <v>9236</v>
      </c>
      <c r="C8399" s="341" t="s">
        <v>7273</v>
      </c>
      <c r="D8399" s="343">
        <v>82.28</v>
      </c>
    </row>
    <row r="8400" spans="1:4" ht="38.25">
      <c r="A8400" s="341">
        <v>10571</v>
      </c>
      <c r="B8400" s="342" t="s">
        <v>9237</v>
      </c>
      <c r="C8400" s="341" t="s">
        <v>7273</v>
      </c>
      <c r="D8400" s="343">
        <v>201.14</v>
      </c>
    </row>
    <row r="8401" spans="1:4" ht="38.25">
      <c r="A8401" s="341">
        <v>11985</v>
      </c>
      <c r="B8401" s="342" t="s">
        <v>9238</v>
      </c>
      <c r="C8401" s="341" t="s">
        <v>7273</v>
      </c>
      <c r="D8401" s="343">
        <v>194.28</v>
      </c>
    </row>
    <row r="8402" spans="1:4" ht="38.25">
      <c r="A8402" s="341">
        <v>2410</v>
      </c>
      <c r="B8402" s="342" t="s">
        <v>9239</v>
      </c>
      <c r="C8402" s="341" t="s">
        <v>7273</v>
      </c>
      <c r="D8402" s="343">
        <v>85.71</v>
      </c>
    </row>
    <row r="8403" spans="1:4" ht="38.25">
      <c r="A8403" s="341">
        <v>2417</v>
      </c>
      <c r="B8403" s="342" t="s">
        <v>9240</v>
      </c>
      <c r="C8403" s="341" t="s">
        <v>7273</v>
      </c>
      <c r="D8403" s="343">
        <v>91.42</v>
      </c>
    </row>
    <row r="8404" spans="1:4" ht="38.25">
      <c r="A8404" s="341">
        <v>2415</v>
      </c>
      <c r="B8404" s="342" t="s">
        <v>9241</v>
      </c>
      <c r="C8404" s="341" t="s">
        <v>7273</v>
      </c>
      <c r="D8404" s="343">
        <v>73.14</v>
      </c>
    </row>
    <row r="8405" spans="1:4" ht="38.25">
      <c r="A8405" s="341">
        <v>13360</v>
      </c>
      <c r="B8405" s="342" t="s">
        <v>9242</v>
      </c>
      <c r="C8405" s="341" t="s">
        <v>7273</v>
      </c>
      <c r="D8405" s="343">
        <v>73.14</v>
      </c>
    </row>
    <row r="8406" spans="1:4" ht="38.25">
      <c r="A8406" s="341">
        <v>11983</v>
      </c>
      <c r="B8406" s="342" t="s">
        <v>9243</v>
      </c>
      <c r="C8406" s="341" t="s">
        <v>7273</v>
      </c>
      <c r="D8406" s="343">
        <v>178.28</v>
      </c>
    </row>
    <row r="8407" spans="1:4" ht="38.25">
      <c r="A8407" s="341">
        <v>11986</v>
      </c>
      <c r="B8407" s="342" t="s">
        <v>9244</v>
      </c>
      <c r="C8407" s="341" t="s">
        <v>7273</v>
      </c>
      <c r="D8407" s="343">
        <v>217.14</v>
      </c>
    </row>
    <row r="8408" spans="1:4" ht="51">
      <c r="A8408" s="341">
        <v>25976</v>
      </c>
      <c r="B8408" s="342" t="s">
        <v>9245</v>
      </c>
      <c r="C8408" s="341" t="s">
        <v>7273</v>
      </c>
      <c r="D8408" s="343">
        <v>535.34</v>
      </c>
    </row>
    <row r="8409" spans="1:4" ht="25.5">
      <c r="A8409" s="341">
        <v>10629</v>
      </c>
      <c r="B8409" s="342" t="s">
        <v>9246</v>
      </c>
      <c r="C8409" s="341" t="s">
        <v>7273</v>
      </c>
      <c r="D8409" s="343">
        <v>442.04</v>
      </c>
    </row>
    <row r="8410" spans="1:4" ht="25.5">
      <c r="A8410" s="341">
        <v>10698</v>
      </c>
      <c r="B8410" s="342" t="s">
        <v>9247</v>
      </c>
      <c r="C8410" s="341" t="s">
        <v>7273</v>
      </c>
      <c r="D8410" s="343">
        <v>133.91</v>
      </c>
    </row>
    <row r="8411" spans="1:4" ht="51">
      <c r="A8411" s="341">
        <v>40521</v>
      </c>
      <c r="B8411" s="342" t="s">
        <v>9248</v>
      </c>
      <c r="C8411" s="341" t="s">
        <v>7278</v>
      </c>
      <c r="D8411" s="344">
        <v>102828.13</v>
      </c>
    </row>
    <row r="8412" spans="1:4" ht="38.25">
      <c r="A8412" s="341">
        <v>2432</v>
      </c>
      <c r="B8412" s="342" t="s">
        <v>9249</v>
      </c>
      <c r="C8412" s="341" t="s">
        <v>7278</v>
      </c>
      <c r="D8412" s="343">
        <v>14.38</v>
      </c>
    </row>
    <row r="8413" spans="1:4" ht="38.25">
      <c r="A8413" s="341">
        <v>2418</v>
      </c>
      <c r="B8413" s="342" t="s">
        <v>9250</v>
      </c>
      <c r="C8413" s="341" t="s">
        <v>7278</v>
      </c>
      <c r="D8413" s="343">
        <v>6.67</v>
      </c>
    </row>
    <row r="8414" spans="1:4" ht="38.25">
      <c r="A8414" s="341">
        <v>2433</v>
      </c>
      <c r="B8414" s="342" t="s">
        <v>9251</v>
      </c>
      <c r="C8414" s="341" t="s">
        <v>7278</v>
      </c>
      <c r="D8414" s="343">
        <v>4.87</v>
      </c>
    </row>
    <row r="8415" spans="1:4" ht="38.25">
      <c r="A8415" s="341">
        <v>2420</v>
      </c>
      <c r="B8415" s="342" t="s">
        <v>9252</v>
      </c>
      <c r="C8415" s="341" t="s">
        <v>7278</v>
      </c>
      <c r="D8415" s="343">
        <v>8.36</v>
      </c>
    </row>
    <row r="8416" spans="1:4" ht="38.25">
      <c r="A8416" s="341">
        <v>2421</v>
      </c>
      <c r="B8416" s="342" t="s">
        <v>9253</v>
      </c>
      <c r="C8416" s="341" t="s">
        <v>7278</v>
      </c>
      <c r="D8416" s="343">
        <v>18.25</v>
      </c>
    </row>
    <row r="8417" spans="1:4" ht="38.25">
      <c r="A8417" s="341">
        <v>11447</v>
      </c>
      <c r="B8417" s="342" t="s">
        <v>9254</v>
      </c>
      <c r="C8417" s="341" t="s">
        <v>7278</v>
      </c>
      <c r="D8417" s="343">
        <v>16.53</v>
      </c>
    </row>
    <row r="8418" spans="1:4" ht="25.5">
      <c r="A8418" s="341">
        <v>2429</v>
      </c>
      <c r="B8418" s="342" t="s">
        <v>9255</v>
      </c>
      <c r="C8418" s="341" t="s">
        <v>7278</v>
      </c>
      <c r="D8418" s="343">
        <v>41.84</v>
      </c>
    </row>
    <row r="8419" spans="1:4" ht="25.5">
      <c r="A8419" s="341">
        <v>11449</v>
      </c>
      <c r="B8419" s="342" t="s">
        <v>9256</v>
      </c>
      <c r="C8419" s="341" t="s">
        <v>7278</v>
      </c>
      <c r="D8419" s="343">
        <v>45.07</v>
      </c>
    </row>
    <row r="8420" spans="1:4" ht="25.5">
      <c r="A8420" s="341">
        <v>11451</v>
      </c>
      <c r="B8420" s="342" t="s">
        <v>9257</v>
      </c>
      <c r="C8420" s="341" t="s">
        <v>7278</v>
      </c>
      <c r="D8420" s="343">
        <v>44.32</v>
      </c>
    </row>
    <row r="8421" spans="1:4" ht="25.5">
      <c r="A8421" s="341">
        <v>11116</v>
      </c>
      <c r="B8421" s="342" t="s">
        <v>9258</v>
      </c>
      <c r="C8421" s="341" t="s">
        <v>7278</v>
      </c>
      <c r="D8421" s="343">
        <v>471.55</v>
      </c>
    </row>
    <row r="8422" spans="1:4" ht="25.5">
      <c r="A8422" s="341">
        <v>38411</v>
      </c>
      <c r="B8422" s="342" t="s">
        <v>9259</v>
      </c>
      <c r="C8422" s="341" t="s">
        <v>7278</v>
      </c>
      <c r="D8422" s="344">
        <v>1129.95</v>
      </c>
    </row>
    <row r="8423" spans="1:4" ht="25.5">
      <c r="A8423" s="341">
        <v>1370</v>
      </c>
      <c r="B8423" s="342" t="s">
        <v>9260</v>
      </c>
      <c r="C8423" s="341" t="s">
        <v>7278</v>
      </c>
      <c r="D8423" s="343">
        <v>70.94</v>
      </c>
    </row>
    <row r="8424" spans="1:4" ht="25.5">
      <c r="A8424" s="341">
        <v>38189</v>
      </c>
      <c r="B8424" s="342" t="s">
        <v>9261</v>
      </c>
      <c r="C8424" s="341" t="s">
        <v>7278</v>
      </c>
      <c r="D8424" s="343">
        <v>182.01</v>
      </c>
    </row>
    <row r="8425" spans="1:4" ht="25.5">
      <c r="A8425" s="341">
        <v>38190</v>
      </c>
      <c r="B8425" s="342" t="s">
        <v>9262</v>
      </c>
      <c r="C8425" s="341" t="s">
        <v>7278</v>
      </c>
      <c r="D8425" s="343">
        <v>409.31</v>
      </c>
    </row>
    <row r="8426" spans="1:4" ht="38.25">
      <c r="A8426" s="341">
        <v>36516</v>
      </c>
      <c r="B8426" s="342" t="s">
        <v>9263</v>
      </c>
      <c r="C8426" s="341" t="s">
        <v>7278</v>
      </c>
      <c r="D8426" s="344">
        <v>71153.02</v>
      </c>
    </row>
    <row r="8427" spans="1:4">
      <c r="A8427" s="341">
        <v>34777</v>
      </c>
      <c r="B8427" s="342" t="s">
        <v>9264</v>
      </c>
      <c r="C8427" s="341" t="s">
        <v>7278</v>
      </c>
      <c r="D8427" s="343">
        <v>1.56</v>
      </c>
    </row>
    <row r="8428" spans="1:4">
      <c r="A8428" s="341">
        <v>7273</v>
      </c>
      <c r="B8428" s="342" t="s">
        <v>9265</v>
      </c>
      <c r="C8428" s="341" t="s">
        <v>7278</v>
      </c>
      <c r="D8428" s="343">
        <v>2.57</v>
      </c>
    </row>
    <row r="8429" spans="1:4">
      <c r="A8429" s="341">
        <v>7272</v>
      </c>
      <c r="B8429" s="342" t="s">
        <v>9266</v>
      </c>
      <c r="C8429" s="341" t="s">
        <v>7278</v>
      </c>
      <c r="D8429" s="343">
        <v>3.58</v>
      </c>
    </row>
    <row r="8430" spans="1:4" ht="25.5">
      <c r="A8430" s="341">
        <v>10605</v>
      </c>
      <c r="B8430" s="342" t="s">
        <v>9267</v>
      </c>
      <c r="C8430" s="341" t="s">
        <v>7278</v>
      </c>
      <c r="D8430" s="343">
        <v>2.06</v>
      </c>
    </row>
    <row r="8431" spans="1:4" ht="25.5">
      <c r="A8431" s="341">
        <v>10604</v>
      </c>
      <c r="B8431" s="342" t="s">
        <v>9268</v>
      </c>
      <c r="C8431" s="341" t="s">
        <v>7278</v>
      </c>
      <c r="D8431" s="343">
        <v>4.1100000000000003</v>
      </c>
    </row>
    <row r="8432" spans="1:4" ht="25.5">
      <c r="A8432" s="341">
        <v>672</v>
      </c>
      <c r="B8432" s="342" t="s">
        <v>9269</v>
      </c>
      <c r="C8432" s="341" t="s">
        <v>7278</v>
      </c>
      <c r="D8432" s="343">
        <v>4.1399999999999997</v>
      </c>
    </row>
    <row r="8433" spans="1:4" ht="25.5">
      <c r="A8433" s="341">
        <v>668</v>
      </c>
      <c r="B8433" s="342" t="s">
        <v>9270</v>
      </c>
      <c r="C8433" s="341" t="s">
        <v>7278</v>
      </c>
      <c r="D8433" s="343">
        <v>6.53</v>
      </c>
    </row>
    <row r="8434" spans="1:4" ht="25.5">
      <c r="A8434" s="341">
        <v>10578</v>
      </c>
      <c r="B8434" s="342" t="s">
        <v>9271</v>
      </c>
      <c r="C8434" s="341" t="s">
        <v>7278</v>
      </c>
      <c r="D8434" s="343">
        <v>11.39</v>
      </c>
    </row>
    <row r="8435" spans="1:4" ht="25.5">
      <c r="A8435" s="341">
        <v>666</v>
      </c>
      <c r="B8435" s="342" t="s">
        <v>9272</v>
      </c>
      <c r="C8435" s="341" t="s">
        <v>7278</v>
      </c>
      <c r="D8435" s="343">
        <v>11.31</v>
      </c>
    </row>
    <row r="8436" spans="1:4" ht="25.5">
      <c r="A8436" s="341">
        <v>665</v>
      </c>
      <c r="B8436" s="342" t="s">
        <v>9273</v>
      </c>
      <c r="C8436" s="341" t="s">
        <v>7278</v>
      </c>
      <c r="D8436" s="343">
        <v>21.2</v>
      </c>
    </row>
    <row r="8437" spans="1:4" ht="25.5">
      <c r="A8437" s="341">
        <v>10577</v>
      </c>
      <c r="B8437" s="342" t="s">
        <v>9274</v>
      </c>
      <c r="C8437" s="341" t="s">
        <v>7278</v>
      </c>
      <c r="D8437" s="343">
        <v>16.59</v>
      </c>
    </row>
    <row r="8438" spans="1:4" ht="25.5">
      <c r="A8438" s="341">
        <v>10583</v>
      </c>
      <c r="B8438" s="342" t="s">
        <v>9275</v>
      </c>
      <c r="C8438" s="341" t="s">
        <v>7278</v>
      </c>
      <c r="D8438" s="343">
        <v>9.3000000000000007</v>
      </c>
    </row>
    <row r="8439" spans="1:4" ht="25.5">
      <c r="A8439" s="341">
        <v>10579</v>
      </c>
      <c r="B8439" s="342" t="s">
        <v>9276</v>
      </c>
      <c r="C8439" s="341" t="s">
        <v>7278</v>
      </c>
      <c r="D8439" s="343">
        <v>15.17</v>
      </c>
    </row>
    <row r="8440" spans="1:4" ht="25.5">
      <c r="A8440" s="341">
        <v>10582</v>
      </c>
      <c r="B8440" s="342" t="s">
        <v>9277</v>
      </c>
      <c r="C8440" s="341" t="s">
        <v>7278</v>
      </c>
      <c r="D8440" s="343">
        <v>5.31</v>
      </c>
    </row>
    <row r="8441" spans="1:4">
      <c r="A8441" s="341">
        <v>2436</v>
      </c>
      <c r="B8441" s="342" t="s">
        <v>9278</v>
      </c>
      <c r="C8441" s="341" t="s">
        <v>7275</v>
      </c>
      <c r="D8441" s="343">
        <v>13.12</v>
      </c>
    </row>
    <row r="8442" spans="1:4">
      <c r="A8442" s="341">
        <v>40918</v>
      </c>
      <c r="B8442" s="342" t="s">
        <v>9279</v>
      </c>
      <c r="C8442" s="341" t="s">
        <v>7466</v>
      </c>
      <c r="D8442" s="344">
        <v>2313.0700000000002</v>
      </c>
    </row>
    <row r="8443" spans="1:4">
      <c r="A8443" s="341">
        <v>2439</v>
      </c>
      <c r="B8443" s="342" t="s">
        <v>9280</v>
      </c>
      <c r="C8443" s="341" t="s">
        <v>7275</v>
      </c>
      <c r="D8443" s="343">
        <v>13.12</v>
      </c>
    </row>
    <row r="8444" spans="1:4" ht="25.5">
      <c r="A8444" s="341">
        <v>40923</v>
      </c>
      <c r="B8444" s="342" t="s">
        <v>9281</v>
      </c>
      <c r="C8444" s="341" t="s">
        <v>7466</v>
      </c>
      <c r="D8444" s="344">
        <v>2313.0700000000002</v>
      </c>
    </row>
    <row r="8445" spans="1:4" ht="25.5">
      <c r="A8445" s="341">
        <v>10998</v>
      </c>
      <c r="B8445" s="342" t="s">
        <v>9282</v>
      </c>
      <c r="C8445" s="341" t="s">
        <v>7338</v>
      </c>
      <c r="D8445" s="343">
        <v>12.57</v>
      </c>
    </row>
    <row r="8446" spans="1:4" ht="25.5">
      <c r="A8446" s="341">
        <v>11002</v>
      </c>
      <c r="B8446" s="342" t="s">
        <v>9283</v>
      </c>
      <c r="C8446" s="341" t="s">
        <v>7338</v>
      </c>
      <c r="D8446" s="343">
        <v>11.52</v>
      </c>
    </row>
    <row r="8447" spans="1:4" ht="25.5">
      <c r="A8447" s="341">
        <v>10999</v>
      </c>
      <c r="B8447" s="342" t="s">
        <v>9284</v>
      </c>
      <c r="C8447" s="341" t="s">
        <v>7338</v>
      </c>
      <c r="D8447" s="343">
        <v>11.07</v>
      </c>
    </row>
    <row r="8448" spans="1:4" ht="25.5">
      <c r="A8448" s="341">
        <v>10997</v>
      </c>
      <c r="B8448" s="342" t="s">
        <v>9285</v>
      </c>
      <c r="C8448" s="341" t="s">
        <v>7338</v>
      </c>
      <c r="D8448" s="343">
        <v>12</v>
      </c>
    </row>
    <row r="8449" spans="1:4" ht="25.5">
      <c r="A8449" s="341">
        <v>2685</v>
      </c>
      <c r="B8449" s="342" t="s">
        <v>9286</v>
      </c>
      <c r="C8449" s="341" t="s">
        <v>7287</v>
      </c>
      <c r="D8449" s="343">
        <v>3.23</v>
      </c>
    </row>
    <row r="8450" spans="1:4" ht="25.5">
      <c r="A8450" s="341">
        <v>2680</v>
      </c>
      <c r="B8450" s="342" t="s">
        <v>9287</v>
      </c>
      <c r="C8450" s="341" t="s">
        <v>7287</v>
      </c>
      <c r="D8450" s="343">
        <v>4.72</v>
      </c>
    </row>
    <row r="8451" spans="1:4" ht="25.5">
      <c r="A8451" s="341">
        <v>2684</v>
      </c>
      <c r="B8451" s="342" t="s">
        <v>9288</v>
      </c>
      <c r="C8451" s="341" t="s">
        <v>7287</v>
      </c>
      <c r="D8451" s="343">
        <v>4.3</v>
      </c>
    </row>
    <row r="8452" spans="1:4" ht="25.5">
      <c r="A8452" s="341">
        <v>2673</v>
      </c>
      <c r="B8452" s="342" t="s">
        <v>9289</v>
      </c>
      <c r="C8452" s="341" t="s">
        <v>7287</v>
      </c>
      <c r="D8452" s="343">
        <v>1.66</v>
      </c>
    </row>
    <row r="8453" spans="1:4" ht="25.5">
      <c r="A8453" s="341">
        <v>2681</v>
      </c>
      <c r="B8453" s="342" t="s">
        <v>9290</v>
      </c>
      <c r="C8453" s="341" t="s">
        <v>7287</v>
      </c>
      <c r="D8453" s="343">
        <v>7.72</v>
      </c>
    </row>
    <row r="8454" spans="1:4" ht="25.5">
      <c r="A8454" s="341">
        <v>2682</v>
      </c>
      <c r="B8454" s="342" t="s">
        <v>9291</v>
      </c>
      <c r="C8454" s="341" t="s">
        <v>7287</v>
      </c>
      <c r="D8454" s="343">
        <v>11.27</v>
      </c>
    </row>
    <row r="8455" spans="1:4" ht="25.5">
      <c r="A8455" s="341">
        <v>2686</v>
      </c>
      <c r="B8455" s="342" t="s">
        <v>9292</v>
      </c>
      <c r="C8455" s="341" t="s">
        <v>7287</v>
      </c>
      <c r="D8455" s="343">
        <v>14.13</v>
      </c>
    </row>
    <row r="8456" spans="1:4" ht="25.5">
      <c r="A8456" s="341">
        <v>2674</v>
      </c>
      <c r="B8456" s="342" t="s">
        <v>9293</v>
      </c>
      <c r="C8456" s="341" t="s">
        <v>7287</v>
      </c>
      <c r="D8456" s="343">
        <v>2.06</v>
      </c>
    </row>
    <row r="8457" spans="1:4" ht="25.5">
      <c r="A8457" s="341">
        <v>2683</v>
      </c>
      <c r="B8457" s="342" t="s">
        <v>9294</v>
      </c>
      <c r="C8457" s="341" t="s">
        <v>7287</v>
      </c>
      <c r="D8457" s="343">
        <v>22.27</v>
      </c>
    </row>
    <row r="8458" spans="1:4" ht="25.5">
      <c r="A8458" s="341">
        <v>2676</v>
      </c>
      <c r="B8458" s="342" t="s">
        <v>9295</v>
      </c>
      <c r="C8458" s="341" t="s">
        <v>7287</v>
      </c>
      <c r="D8458" s="343">
        <v>0.96</v>
      </c>
    </row>
    <row r="8459" spans="1:4" ht="25.5">
      <c r="A8459" s="341">
        <v>2678</v>
      </c>
      <c r="B8459" s="342" t="s">
        <v>9296</v>
      </c>
      <c r="C8459" s="341" t="s">
        <v>7287</v>
      </c>
      <c r="D8459" s="343">
        <v>1.2</v>
      </c>
    </row>
    <row r="8460" spans="1:4" ht="25.5">
      <c r="A8460" s="341">
        <v>2679</v>
      </c>
      <c r="B8460" s="342" t="s">
        <v>9297</v>
      </c>
      <c r="C8460" s="341" t="s">
        <v>7287</v>
      </c>
      <c r="D8460" s="343">
        <v>1.86</v>
      </c>
    </row>
    <row r="8461" spans="1:4" ht="25.5">
      <c r="A8461" s="341">
        <v>12070</v>
      </c>
      <c r="B8461" s="342" t="s">
        <v>9298</v>
      </c>
      <c r="C8461" s="341" t="s">
        <v>7287</v>
      </c>
      <c r="D8461" s="343">
        <v>2.59</v>
      </c>
    </row>
    <row r="8462" spans="1:4" ht="25.5">
      <c r="A8462" s="341">
        <v>2675</v>
      </c>
      <c r="B8462" s="342" t="s">
        <v>9299</v>
      </c>
      <c r="C8462" s="341" t="s">
        <v>7287</v>
      </c>
      <c r="D8462" s="343">
        <v>3.37</v>
      </c>
    </row>
    <row r="8463" spans="1:4" ht="25.5">
      <c r="A8463" s="341">
        <v>12067</v>
      </c>
      <c r="B8463" s="342" t="s">
        <v>9300</v>
      </c>
      <c r="C8463" s="341" t="s">
        <v>7287</v>
      </c>
      <c r="D8463" s="343">
        <v>4.57</v>
      </c>
    </row>
    <row r="8464" spans="1:4" ht="25.5">
      <c r="A8464" s="341">
        <v>40401</v>
      </c>
      <c r="B8464" s="342" t="s">
        <v>9301</v>
      </c>
      <c r="C8464" s="341" t="s">
        <v>7287</v>
      </c>
      <c r="D8464" s="343">
        <v>1.54</v>
      </c>
    </row>
    <row r="8465" spans="1:4" ht="25.5">
      <c r="A8465" s="341">
        <v>40402</v>
      </c>
      <c r="B8465" s="342" t="s">
        <v>9302</v>
      </c>
      <c r="C8465" s="341" t="s">
        <v>7287</v>
      </c>
      <c r="D8465" s="343">
        <v>1.97</v>
      </c>
    </row>
    <row r="8466" spans="1:4" ht="25.5">
      <c r="A8466" s="341">
        <v>40400</v>
      </c>
      <c r="B8466" s="342" t="s">
        <v>9303</v>
      </c>
      <c r="C8466" s="341" t="s">
        <v>7287</v>
      </c>
      <c r="D8466" s="343">
        <v>1.04</v>
      </c>
    </row>
    <row r="8467" spans="1:4" ht="51">
      <c r="A8467" s="341">
        <v>2504</v>
      </c>
      <c r="B8467" s="342" t="s">
        <v>9304</v>
      </c>
      <c r="C8467" s="341" t="s">
        <v>7287</v>
      </c>
      <c r="D8467" s="343">
        <v>12.15</v>
      </c>
    </row>
    <row r="8468" spans="1:4" ht="51">
      <c r="A8468" s="341">
        <v>2501</v>
      </c>
      <c r="B8468" s="342" t="s">
        <v>9305</v>
      </c>
      <c r="C8468" s="341" t="s">
        <v>7287</v>
      </c>
      <c r="D8468" s="343">
        <v>15.93</v>
      </c>
    </row>
    <row r="8469" spans="1:4" ht="51">
      <c r="A8469" s="341">
        <v>2502</v>
      </c>
      <c r="B8469" s="342" t="s">
        <v>9306</v>
      </c>
      <c r="C8469" s="341" t="s">
        <v>7287</v>
      </c>
      <c r="D8469" s="343">
        <v>24.04</v>
      </c>
    </row>
    <row r="8470" spans="1:4" ht="51">
      <c r="A8470" s="341">
        <v>2503</v>
      </c>
      <c r="B8470" s="342" t="s">
        <v>9307</v>
      </c>
      <c r="C8470" s="341" t="s">
        <v>7287</v>
      </c>
      <c r="D8470" s="343">
        <v>30.94</v>
      </c>
    </row>
    <row r="8471" spans="1:4" ht="51">
      <c r="A8471" s="341">
        <v>2500</v>
      </c>
      <c r="B8471" s="342" t="s">
        <v>9308</v>
      </c>
      <c r="C8471" s="341" t="s">
        <v>7287</v>
      </c>
      <c r="D8471" s="343">
        <v>41.21</v>
      </c>
    </row>
    <row r="8472" spans="1:4" ht="51">
      <c r="A8472" s="341">
        <v>2505</v>
      </c>
      <c r="B8472" s="342" t="s">
        <v>9309</v>
      </c>
      <c r="C8472" s="341" t="s">
        <v>7287</v>
      </c>
      <c r="D8472" s="343">
        <v>64.23</v>
      </c>
    </row>
    <row r="8473" spans="1:4" ht="25.5">
      <c r="A8473" s="341">
        <v>12056</v>
      </c>
      <c r="B8473" s="342" t="s">
        <v>9310</v>
      </c>
      <c r="C8473" s="341" t="s">
        <v>7287</v>
      </c>
      <c r="D8473" s="343">
        <v>25.95</v>
      </c>
    </row>
    <row r="8474" spans="1:4" ht="25.5">
      <c r="A8474" s="341">
        <v>12057</v>
      </c>
      <c r="B8474" s="342" t="s">
        <v>9311</v>
      </c>
      <c r="C8474" s="341" t="s">
        <v>7287</v>
      </c>
      <c r="D8474" s="343">
        <v>22.04</v>
      </c>
    </row>
    <row r="8475" spans="1:4" ht="25.5">
      <c r="A8475" s="341">
        <v>12059</v>
      </c>
      <c r="B8475" s="342" t="s">
        <v>9312</v>
      </c>
      <c r="C8475" s="341" t="s">
        <v>7287</v>
      </c>
      <c r="D8475" s="343">
        <v>7.73</v>
      </c>
    </row>
    <row r="8476" spans="1:4" ht="25.5">
      <c r="A8476" s="341">
        <v>12058</v>
      </c>
      <c r="B8476" s="342" t="s">
        <v>9313</v>
      </c>
      <c r="C8476" s="341" t="s">
        <v>7287</v>
      </c>
      <c r="D8476" s="343">
        <v>13.74</v>
      </c>
    </row>
    <row r="8477" spans="1:4" ht="25.5">
      <c r="A8477" s="341">
        <v>12060</v>
      </c>
      <c r="B8477" s="342" t="s">
        <v>9314</v>
      </c>
      <c r="C8477" s="341" t="s">
        <v>7287</v>
      </c>
      <c r="D8477" s="343">
        <v>57.27</v>
      </c>
    </row>
    <row r="8478" spans="1:4" ht="25.5">
      <c r="A8478" s="341">
        <v>12061</v>
      </c>
      <c r="B8478" s="342" t="s">
        <v>9315</v>
      </c>
      <c r="C8478" s="341" t="s">
        <v>7287</v>
      </c>
      <c r="D8478" s="343">
        <v>34.97</v>
      </c>
    </row>
    <row r="8479" spans="1:4" ht="25.5">
      <c r="A8479" s="341">
        <v>12062</v>
      </c>
      <c r="B8479" s="342" t="s">
        <v>9316</v>
      </c>
      <c r="C8479" s="341" t="s">
        <v>7287</v>
      </c>
      <c r="D8479" s="343">
        <v>64.489999999999995</v>
      </c>
    </row>
    <row r="8480" spans="1:4" ht="38.25">
      <c r="A8480" s="341">
        <v>21137</v>
      </c>
      <c r="B8480" s="342" t="s">
        <v>9317</v>
      </c>
      <c r="C8480" s="341" t="s">
        <v>7287</v>
      </c>
      <c r="D8480" s="343">
        <v>11.21</v>
      </c>
    </row>
    <row r="8481" spans="1:4" ht="25.5">
      <c r="A8481" s="341">
        <v>2687</v>
      </c>
      <c r="B8481" s="342" t="s">
        <v>9318</v>
      </c>
      <c r="C8481" s="341" t="s">
        <v>7287</v>
      </c>
      <c r="D8481" s="343">
        <v>0.84</v>
      </c>
    </row>
    <row r="8482" spans="1:4" ht="25.5">
      <c r="A8482" s="341">
        <v>2689</v>
      </c>
      <c r="B8482" s="342" t="s">
        <v>9319</v>
      </c>
      <c r="C8482" s="341" t="s">
        <v>7287</v>
      </c>
      <c r="D8482" s="343">
        <v>1</v>
      </c>
    </row>
    <row r="8483" spans="1:4" ht="25.5">
      <c r="A8483" s="341">
        <v>2688</v>
      </c>
      <c r="B8483" s="342" t="s">
        <v>9320</v>
      </c>
      <c r="C8483" s="341" t="s">
        <v>7287</v>
      </c>
      <c r="D8483" s="343">
        <v>1.08</v>
      </c>
    </row>
    <row r="8484" spans="1:4" ht="25.5">
      <c r="A8484" s="341">
        <v>2690</v>
      </c>
      <c r="B8484" s="342" t="s">
        <v>9321</v>
      </c>
      <c r="C8484" s="341" t="s">
        <v>7287</v>
      </c>
      <c r="D8484" s="343">
        <v>1.86</v>
      </c>
    </row>
    <row r="8485" spans="1:4" ht="38.25">
      <c r="A8485" s="341">
        <v>39243</v>
      </c>
      <c r="B8485" s="342" t="s">
        <v>9322</v>
      </c>
      <c r="C8485" s="341" t="s">
        <v>7287</v>
      </c>
      <c r="D8485" s="343">
        <v>1.22</v>
      </c>
    </row>
    <row r="8486" spans="1:4" ht="38.25">
      <c r="A8486" s="341">
        <v>39244</v>
      </c>
      <c r="B8486" s="342" t="s">
        <v>9323</v>
      </c>
      <c r="C8486" s="341" t="s">
        <v>7287</v>
      </c>
      <c r="D8486" s="343">
        <v>1.65</v>
      </c>
    </row>
    <row r="8487" spans="1:4" ht="38.25">
      <c r="A8487" s="341">
        <v>39245</v>
      </c>
      <c r="B8487" s="342" t="s">
        <v>9324</v>
      </c>
      <c r="C8487" s="341" t="s">
        <v>7287</v>
      </c>
      <c r="D8487" s="343">
        <v>3.18</v>
      </c>
    </row>
    <row r="8488" spans="1:4" ht="38.25">
      <c r="A8488" s="341">
        <v>39254</v>
      </c>
      <c r="B8488" s="342" t="s">
        <v>9325</v>
      </c>
      <c r="C8488" s="341" t="s">
        <v>7287</v>
      </c>
      <c r="D8488" s="343">
        <v>4.76</v>
      </c>
    </row>
    <row r="8489" spans="1:4" ht="38.25">
      <c r="A8489" s="341">
        <v>39255</v>
      </c>
      <c r="B8489" s="342" t="s">
        <v>9326</v>
      </c>
      <c r="C8489" s="341" t="s">
        <v>7287</v>
      </c>
      <c r="D8489" s="343">
        <v>8.82</v>
      </c>
    </row>
    <row r="8490" spans="1:4" ht="38.25">
      <c r="A8490" s="341">
        <v>39253</v>
      </c>
      <c r="B8490" s="342" t="s">
        <v>9327</v>
      </c>
      <c r="C8490" s="341" t="s">
        <v>7287</v>
      </c>
      <c r="D8490" s="343">
        <v>6.07</v>
      </c>
    </row>
    <row r="8491" spans="1:4" ht="51">
      <c r="A8491" s="341">
        <v>2446</v>
      </c>
      <c r="B8491" s="342" t="s">
        <v>9328</v>
      </c>
      <c r="C8491" s="341" t="s">
        <v>7287</v>
      </c>
      <c r="D8491" s="343">
        <v>3.84</v>
      </c>
    </row>
    <row r="8492" spans="1:4" ht="51">
      <c r="A8492" s="341">
        <v>2442</v>
      </c>
      <c r="B8492" s="342" t="s">
        <v>9329</v>
      </c>
      <c r="C8492" s="341" t="s">
        <v>7287</v>
      </c>
      <c r="D8492" s="343">
        <v>5.38</v>
      </c>
    </row>
    <row r="8493" spans="1:4" ht="51">
      <c r="A8493" s="341">
        <v>39246</v>
      </c>
      <c r="B8493" s="342" t="s">
        <v>9330</v>
      </c>
      <c r="C8493" s="341" t="s">
        <v>7287</v>
      </c>
      <c r="D8493" s="343">
        <v>2.67</v>
      </c>
    </row>
    <row r="8494" spans="1:4" ht="51">
      <c r="A8494" s="341">
        <v>39247</v>
      </c>
      <c r="B8494" s="342" t="s">
        <v>9331</v>
      </c>
      <c r="C8494" s="341" t="s">
        <v>7287</v>
      </c>
      <c r="D8494" s="343">
        <v>2.33</v>
      </c>
    </row>
    <row r="8495" spans="1:4" ht="51">
      <c r="A8495" s="341">
        <v>39248</v>
      </c>
      <c r="B8495" s="342" t="s">
        <v>9332</v>
      </c>
      <c r="C8495" s="341" t="s">
        <v>7287</v>
      </c>
      <c r="D8495" s="343">
        <v>7.49</v>
      </c>
    </row>
    <row r="8496" spans="1:4">
      <c r="A8496" s="341">
        <v>2438</v>
      </c>
      <c r="B8496" s="342" t="s">
        <v>9333</v>
      </c>
      <c r="C8496" s="341" t="s">
        <v>7275</v>
      </c>
      <c r="D8496" s="343">
        <v>13.25</v>
      </c>
    </row>
    <row r="8497" spans="1:4">
      <c r="A8497" s="341">
        <v>40922</v>
      </c>
      <c r="B8497" s="342" t="s">
        <v>9334</v>
      </c>
      <c r="C8497" s="341" t="s">
        <v>7466</v>
      </c>
      <c r="D8497" s="344">
        <v>2338.7800000000002</v>
      </c>
    </row>
    <row r="8498" spans="1:4" ht="76.5">
      <c r="A8498" s="341">
        <v>36486</v>
      </c>
      <c r="B8498" s="342" t="s">
        <v>9335</v>
      </c>
      <c r="C8498" s="341" t="s">
        <v>7278</v>
      </c>
      <c r="D8498" s="344">
        <v>33148.75</v>
      </c>
    </row>
    <row r="8499" spans="1:4" ht="63.75">
      <c r="A8499" s="341">
        <v>37777</v>
      </c>
      <c r="B8499" s="342" t="s">
        <v>9336</v>
      </c>
      <c r="C8499" s="341" t="s">
        <v>7278</v>
      </c>
      <c r="D8499" s="344">
        <v>156063.70000000001</v>
      </c>
    </row>
    <row r="8500" spans="1:4" ht="25.5">
      <c r="A8500" s="341">
        <v>12624</v>
      </c>
      <c r="B8500" s="342" t="s">
        <v>9337</v>
      </c>
      <c r="C8500" s="341" t="s">
        <v>7278</v>
      </c>
      <c r="D8500" s="343">
        <v>10.98</v>
      </c>
    </row>
    <row r="8501" spans="1:4" ht="63.75">
      <c r="A8501" s="341">
        <v>10638</v>
      </c>
      <c r="B8501" s="342" t="s">
        <v>9338</v>
      </c>
      <c r="C8501" s="341" t="s">
        <v>7278</v>
      </c>
      <c r="D8501" s="344">
        <v>329903.67</v>
      </c>
    </row>
    <row r="8502" spans="1:4" ht="63.75">
      <c r="A8502" s="341">
        <v>10635</v>
      </c>
      <c r="B8502" s="342" t="s">
        <v>9339</v>
      </c>
      <c r="C8502" s="341" t="s">
        <v>7278</v>
      </c>
      <c r="D8502" s="344">
        <v>114031.48</v>
      </c>
    </row>
    <row r="8503" spans="1:4" ht="63.75">
      <c r="A8503" s="341">
        <v>10634</v>
      </c>
      <c r="B8503" s="342" t="s">
        <v>9340</v>
      </c>
      <c r="C8503" s="341" t="s">
        <v>7278</v>
      </c>
      <c r="D8503" s="344">
        <v>97645.91</v>
      </c>
    </row>
    <row r="8504" spans="1:4" ht="63.75">
      <c r="A8504" s="341">
        <v>10636</v>
      </c>
      <c r="B8504" s="342" t="s">
        <v>9341</v>
      </c>
      <c r="C8504" s="341" t="s">
        <v>7278</v>
      </c>
      <c r="D8504" s="344">
        <v>215040.2</v>
      </c>
    </row>
    <row r="8505" spans="1:4" ht="63.75">
      <c r="A8505" s="341">
        <v>10637</v>
      </c>
      <c r="B8505" s="342" t="s">
        <v>9342</v>
      </c>
      <c r="C8505" s="341" t="s">
        <v>7278</v>
      </c>
      <c r="D8505" s="344">
        <v>224934.32</v>
      </c>
    </row>
    <row r="8506" spans="1:4">
      <c r="A8506" s="341">
        <v>517</v>
      </c>
      <c r="B8506" s="342" t="s">
        <v>9343</v>
      </c>
      <c r="C8506" s="341" t="s">
        <v>7340</v>
      </c>
      <c r="D8506" s="343">
        <v>5.79</v>
      </c>
    </row>
    <row r="8507" spans="1:4" ht="38.25">
      <c r="A8507" s="341">
        <v>41904</v>
      </c>
      <c r="B8507" s="342" t="s">
        <v>9344</v>
      </c>
      <c r="C8507" s="341" t="s">
        <v>8429</v>
      </c>
      <c r="D8507" s="344">
        <v>2138.79</v>
      </c>
    </row>
    <row r="8508" spans="1:4" ht="38.25">
      <c r="A8508" s="341">
        <v>41905</v>
      </c>
      <c r="B8508" s="342" t="s">
        <v>9345</v>
      </c>
      <c r="C8508" s="341" t="s">
        <v>7338</v>
      </c>
      <c r="D8508" s="343">
        <v>1.88</v>
      </c>
    </row>
    <row r="8509" spans="1:4" ht="38.25">
      <c r="A8509" s="341">
        <v>41903</v>
      </c>
      <c r="B8509" s="342" t="s">
        <v>9346</v>
      </c>
      <c r="C8509" s="341" t="s">
        <v>7338</v>
      </c>
      <c r="D8509" s="343">
        <v>2.08</v>
      </c>
    </row>
    <row r="8510" spans="1:4" ht="38.25">
      <c r="A8510" s="341">
        <v>37534</v>
      </c>
      <c r="B8510" s="342" t="s">
        <v>9347</v>
      </c>
      <c r="C8510" s="341" t="s">
        <v>7338</v>
      </c>
      <c r="D8510" s="343">
        <v>12.25</v>
      </c>
    </row>
    <row r="8511" spans="1:4" ht="38.25">
      <c r="A8511" s="341">
        <v>37535</v>
      </c>
      <c r="B8511" s="342" t="s">
        <v>9348</v>
      </c>
      <c r="C8511" s="341" t="s">
        <v>7338</v>
      </c>
      <c r="D8511" s="343">
        <v>12.25</v>
      </c>
    </row>
    <row r="8512" spans="1:4" ht="38.25">
      <c r="A8512" s="341">
        <v>37533</v>
      </c>
      <c r="B8512" s="342" t="s">
        <v>9349</v>
      </c>
      <c r="C8512" s="341" t="s">
        <v>7338</v>
      </c>
      <c r="D8512" s="343">
        <v>12.25</v>
      </c>
    </row>
    <row r="8513" spans="1:4" ht="38.25">
      <c r="A8513" s="341">
        <v>37537</v>
      </c>
      <c r="B8513" s="342" t="s">
        <v>9350</v>
      </c>
      <c r="C8513" s="341" t="s">
        <v>7338</v>
      </c>
      <c r="D8513" s="343">
        <v>9.27</v>
      </c>
    </row>
    <row r="8514" spans="1:4" ht="38.25">
      <c r="A8514" s="341">
        <v>37536</v>
      </c>
      <c r="B8514" s="342" t="s">
        <v>9351</v>
      </c>
      <c r="C8514" s="341" t="s">
        <v>7338</v>
      </c>
      <c r="D8514" s="343">
        <v>9.27</v>
      </c>
    </row>
    <row r="8515" spans="1:4" ht="38.25">
      <c r="A8515" s="341">
        <v>37532</v>
      </c>
      <c r="B8515" s="342" t="s">
        <v>9352</v>
      </c>
      <c r="C8515" s="341" t="s">
        <v>7338</v>
      </c>
      <c r="D8515" s="343">
        <v>9.27</v>
      </c>
    </row>
    <row r="8516" spans="1:4">
      <c r="A8516" s="341">
        <v>2696</v>
      </c>
      <c r="B8516" s="342" t="s">
        <v>9353</v>
      </c>
      <c r="C8516" s="341" t="s">
        <v>7275</v>
      </c>
      <c r="D8516" s="343">
        <v>13.12</v>
      </c>
    </row>
    <row r="8517" spans="1:4" ht="25.5">
      <c r="A8517" s="341">
        <v>40928</v>
      </c>
      <c r="B8517" s="342" t="s">
        <v>9354</v>
      </c>
      <c r="C8517" s="341" t="s">
        <v>7466</v>
      </c>
      <c r="D8517" s="344">
        <v>2313.0700000000002</v>
      </c>
    </row>
    <row r="8518" spans="1:4">
      <c r="A8518" s="341">
        <v>4083</v>
      </c>
      <c r="B8518" s="342" t="s">
        <v>9355</v>
      </c>
      <c r="C8518" s="341" t="s">
        <v>7275</v>
      </c>
      <c r="D8518" s="343">
        <v>16.989999999999998</v>
      </c>
    </row>
    <row r="8519" spans="1:4">
      <c r="A8519" s="341">
        <v>40818</v>
      </c>
      <c r="B8519" s="342" t="s">
        <v>9356</v>
      </c>
      <c r="C8519" s="341" t="s">
        <v>7466</v>
      </c>
      <c r="D8519" s="344">
        <v>2995.34</v>
      </c>
    </row>
    <row r="8520" spans="1:4" ht="25.5">
      <c r="A8520" s="341">
        <v>2705</v>
      </c>
      <c r="B8520" s="342" t="s">
        <v>9357</v>
      </c>
      <c r="C8520" s="341" t="s">
        <v>9358</v>
      </c>
      <c r="D8520" s="343">
        <v>0.51</v>
      </c>
    </row>
    <row r="8521" spans="1:4" ht="38.25">
      <c r="A8521" s="341">
        <v>14250</v>
      </c>
      <c r="B8521" s="342" t="s">
        <v>9359</v>
      </c>
      <c r="C8521" s="341" t="s">
        <v>9358</v>
      </c>
      <c r="D8521" s="343">
        <v>0.52</v>
      </c>
    </row>
    <row r="8522" spans="1:4">
      <c r="A8522" s="341">
        <v>11683</v>
      </c>
      <c r="B8522" s="342" t="s">
        <v>9360</v>
      </c>
      <c r="C8522" s="341" t="s">
        <v>7278</v>
      </c>
      <c r="D8522" s="343">
        <v>29.45</v>
      </c>
    </row>
    <row r="8523" spans="1:4">
      <c r="A8523" s="341">
        <v>11684</v>
      </c>
      <c r="B8523" s="342" t="s">
        <v>9361</v>
      </c>
      <c r="C8523" s="341" t="s">
        <v>7278</v>
      </c>
      <c r="D8523" s="343">
        <v>32.24</v>
      </c>
    </row>
    <row r="8524" spans="1:4" ht="25.5">
      <c r="A8524" s="341">
        <v>6141</v>
      </c>
      <c r="B8524" s="342" t="s">
        <v>9362</v>
      </c>
      <c r="C8524" s="341" t="s">
        <v>7278</v>
      </c>
      <c r="D8524" s="343">
        <v>3.03</v>
      </c>
    </row>
    <row r="8525" spans="1:4" ht="25.5">
      <c r="A8525" s="341">
        <v>11681</v>
      </c>
      <c r="B8525" s="342" t="s">
        <v>9363</v>
      </c>
      <c r="C8525" s="341" t="s">
        <v>7278</v>
      </c>
      <c r="D8525" s="343">
        <v>5.07</v>
      </c>
    </row>
    <row r="8526" spans="1:4">
      <c r="A8526" s="341">
        <v>2706</v>
      </c>
      <c r="B8526" s="342" t="s">
        <v>9364</v>
      </c>
      <c r="C8526" s="341" t="s">
        <v>7275</v>
      </c>
      <c r="D8526" s="343">
        <v>79.39</v>
      </c>
    </row>
    <row r="8527" spans="1:4" ht="25.5">
      <c r="A8527" s="341">
        <v>40811</v>
      </c>
      <c r="B8527" s="342" t="s">
        <v>9365</v>
      </c>
      <c r="C8527" s="341" t="s">
        <v>7466</v>
      </c>
      <c r="D8527" s="344">
        <v>13994.91</v>
      </c>
    </row>
    <row r="8528" spans="1:4">
      <c r="A8528" s="341">
        <v>2707</v>
      </c>
      <c r="B8528" s="342" t="s">
        <v>9366</v>
      </c>
      <c r="C8528" s="341" t="s">
        <v>7275</v>
      </c>
      <c r="D8528" s="343">
        <v>90.35</v>
      </c>
    </row>
    <row r="8529" spans="1:4" ht="25.5">
      <c r="A8529" s="341">
        <v>40813</v>
      </c>
      <c r="B8529" s="342" t="s">
        <v>9367</v>
      </c>
      <c r="C8529" s="341" t="s">
        <v>7466</v>
      </c>
      <c r="D8529" s="344">
        <v>15929.08</v>
      </c>
    </row>
    <row r="8530" spans="1:4">
      <c r="A8530" s="341">
        <v>2708</v>
      </c>
      <c r="B8530" s="342" t="s">
        <v>9368</v>
      </c>
      <c r="C8530" s="341" t="s">
        <v>7275</v>
      </c>
      <c r="D8530" s="343">
        <v>123.51</v>
      </c>
    </row>
    <row r="8531" spans="1:4" ht="25.5">
      <c r="A8531" s="341">
        <v>40814</v>
      </c>
      <c r="B8531" s="342" t="s">
        <v>9369</v>
      </c>
      <c r="C8531" s="341" t="s">
        <v>7466</v>
      </c>
      <c r="D8531" s="344">
        <v>21774.63</v>
      </c>
    </row>
    <row r="8532" spans="1:4">
      <c r="A8532" s="341">
        <v>34779</v>
      </c>
      <c r="B8532" s="342" t="s">
        <v>9370</v>
      </c>
      <c r="C8532" s="341" t="s">
        <v>7275</v>
      </c>
      <c r="D8532" s="343">
        <v>80.540000000000006</v>
      </c>
    </row>
    <row r="8533" spans="1:4">
      <c r="A8533" s="341">
        <v>40936</v>
      </c>
      <c r="B8533" s="342" t="s">
        <v>9371</v>
      </c>
      <c r="C8533" s="341" t="s">
        <v>7466</v>
      </c>
      <c r="D8533" s="344">
        <v>14199.06</v>
      </c>
    </row>
    <row r="8534" spans="1:4">
      <c r="A8534" s="341">
        <v>34780</v>
      </c>
      <c r="B8534" s="342" t="s">
        <v>9372</v>
      </c>
      <c r="C8534" s="341" t="s">
        <v>7275</v>
      </c>
      <c r="D8534" s="343">
        <v>90.86</v>
      </c>
    </row>
    <row r="8535" spans="1:4">
      <c r="A8535" s="341">
        <v>40937</v>
      </c>
      <c r="B8535" s="342" t="s">
        <v>9373</v>
      </c>
      <c r="C8535" s="341" t="s">
        <v>7466</v>
      </c>
      <c r="D8535" s="344">
        <v>16019.35</v>
      </c>
    </row>
    <row r="8536" spans="1:4">
      <c r="A8536" s="341">
        <v>34782</v>
      </c>
      <c r="B8536" s="342" t="s">
        <v>9374</v>
      </c>
      <c r="C8536" s="341" t="s">
        <v>7275</v>
      </c>
      <c r="D8536" s="343">
        <v>124.53</v>
      </c>
    </row>
    <row r="8537" spans="1:4">
      <c r="A8537" s="341">
        <v>40938</v>
      </c>
      <c r="B8537" s="342" t="s">
        <v>9375</v>
      </c>
      <c r="C8537" s="341" t="s">
        <v>7466</v>
      </c>
      <c r="D8537" s="344">
        <v>21953.01</v>
      </c>
    </row>
    <row r="8538" spans="1:4">
      <c r="A8538" s="341">
        <v>34783</v>
      </c>
      <c r="B8538" s="342" t="s">
        <v>9376</v>
      </c>
      <c r="C8538" s="341" t="s">
        <v>7275</v>
      </c>
      <c r="D8538" s="343">
        <v>30.52</v>
      </c>
    </row>
    <row r="8539" spans="1:4">
      <c r="A8539" s="341">
        <v>40939</v>
      </c>
      <c r="B8539" s="342" t="s">
        <v>9377</v>
      </c>
      <c r="C8539" s="341" t="s">
        <v>7466</v>
      </c>
      <c r="D8539" s="344">
        <v>5382.64</v>
      </c>
    </row>
    <row r="8540" spans="1:4">
      <c r="A8540" s="341">
        <v>34785</v>
      </c>
      <c r="B8540" s="342" t="s">
        <v>9378</v>
      </c>
      <c r="C8540" s="341" t="s">
        <v>7275</v>
      </c>
      <c r="D8540" s="343">
        <v>74.97</v>
      </c>
    </row>
    <row r="8541" spans="1:4">
      <c r="A8541" s="341">
        <v>40940</v>
      </c>
      <c r="B8541" s="342" t="s">
        <v>9379</v>
      </c>
      <c r="C8541" s="341" t="s">
        <v>7466</v>
      </c>
      <c r="D8541" s="344">
        <v>13217.4</v>
      </c>
    </row>
    <row r="8542" spans="1:4">
      <c r="A8542" s="341">
        <v>38403</v>
      </c>
      <c r="B8542" s="342" t="s">
        <v>9380</v>
      </c>
      <c r="C8542" s="341" t="s">
        <v>7278</v>
      </c>
      <c r="D8542" s="343">
        <v>24.74</v>
      </c>
    </row>
    <row r="8543" spans="1:4" ht="63.75">
      <c r="A8543" s="341">
        <v>37774</v>
      </c>
      <c r="B8543" s="342" t="s">
        <v>9381</v>
      </c>
      <c r="C8543" s="341" t="s">
        <v>7278</v>
      </c>
      <c r="D8543" s="344">
        <v>134097.39000000001</v>
      </c>
    </row>
    <row r="8544" spans="1:4" ht="76.5">
      <c r="A8544" s="341">
        <v>38630</v>
      </c>
      <c r="B8544" s="342" t="s">
        <v>9382</v>
      </c>
      <c r="C8544" s="341" t="s">
        <v>7278</v>
      </c>
      <c r="D8544" s="344">
        <v>921093.75</v>
      </c>
    </row>
    <row r="8545" spans="1:4" ht="89.25">
      <c r="A8545" s="341">
        <v>38629</v>
      </c>
      <c r="B8545" s="342" t="s">
        <v>9383</v>
      </c>
      <c r="C8545" s="341" t="s">
        <v>7278</v>
      </c>
      <c r="D8545" s="344">
        <v>1371093.75</v>
      </c>
    </row>
    <row r="8546" spans="1:4" ht="25.5">
      <c r="A8546" s="341">
        <v>38476</v>
      </c>
      <c r="B8546" s="342" t="s">
        <v>9384</v>
      </c>
      <c r="C8546" s="341" t="s">
        <v>7278</v>
      </c>
      <c r="D8546" s="343">
        <v>186</v>
      </c>
    </row>
    <row r="8547" spans="1:4" ht="25.5">
      <c r="A8547" s="341">
        <v>38477</v>
      </c>
      <c r="B8547" s="342" t="s">
        <v>9385</v>
      </c>
      <c r="C8547" s="341" t="s">
        <v>7278</v>
      </c>
      <c r="D8547" s="343">
        <v>526.75</v>
      </c>
    </row>
    <row r="8548" spans="1:4" ht="51">
      <c r="A8548" s="341">
        <v>40635</v>
      </c>
      <c r="B8548" s="342" t="s">
        <v>9386</v>
      </c>
      <c r="C8548" s="341" t="s">
        <v>7278</v>
      </c>
      <c r="D8548" s="344">
        <v>504187.9</v>
      </c>
    </row>
    <row r="8549" spans="1:4" ht="38.25">
      <c r="A8549" s="341">
        <v>36483</v>
      </c>
      <c r="B8549" s="342" t="s">
        <v>9387</v>
      </c>
      <c r="C8549" s="341" t="s">
        <v>7278</v>
      </c>
      <c r="D8549" s="344">
        <v>456875</v>
      </c>
    </row>
    <row r="8550" spans="1:4" ht="38.25">
      <c r="A8550" s="341">
        <v>14525</v>
      </c>
      <c r="B8550" s="342" t="s">
        <v>9388</v>
      </c>
      <c r="C8550" s="341" t="s">
        <v>7278</v>
      </c>
      <c r="D8550" s="344">
        <v>478375</v>
      </c>
    </row>
    <row r="8551" spans="1:4" ht="38.25">
      <c r="A8551" s="341">
        <v>36482</v>
      </c>
      <c r="B8551" s="342" t="s">
        <v>9389</v>
      </c>
      <c r="C8551" s="341" t="s">
        <v>7278</v>
      </c>
      <c r="D8551" s="344">
        <v>410273.19</v>
      </c>
    </row>
    <row r="8552" spans="1:4" ht="38.25">
      <c r="A8552" s="341">
        <v>36408</v>
      </c>
      <c r="B8552" s="342" t="s">
        <v>9390</v>
      </c>
      <c r="C8552" s="341" t="s">
        <v>7278</v>
      </c>
      <c r="D8552" s="344">
        <v>490200</v>
      </c>
    </row>
    <row r="8553" spans="1:4" ht="38.25">
      <c r="A8553" s="341">
        <v>2723</v>
      </c>
      <c r="B8553" s="342" t="s">
        <v>9391</v>
      </c>
      <c r="C8553" s="341" t="s">
        <v>7278</v>
      </c>
      <c r="D8553" s="344">
        <v>376250</v>
      </c>
    </row>
    <row r="8554" spans="1:4" ht="38.25">
      <c r="A8554" s="341">
        <v>36481</v>
      </c>
      <c r="B8554" s="342" t="s">
        <v>9392</v>
      </c>
      <c r="C8554" s="341" t="s">
        <v>7278</v>
      </c>
      <c r="D8554" s="344">
        <v>448812.5</v>
      </c>
    </row>
    <row r="8555" spans="1:4" ht="38.25">
      <c r="A8555" s="341">
        <v>10685</v>
      </c>
      <c r="B8555" s="342" t="s">
        <v>9393</v>
      </c>
      <c r="C8555" s="341" t="s">
        <v>7278</v>
      </c>
      <c r="D8555" s="344">
        <v>430000</v>
      </c>
    </row>
    <row r="8556" spans="1:4" ht="63.75">
      <c r="A8556" s="341">
        <v>40636</v>
      </c>
      <c r="B8556" s="342" t="s">
        <v>9394</v>
      </c>
      <c r="C8556" s="341" t="s">
        <v>7278</v>
      </c>
      <c r="D8556" s="344">
        <v>485375.4</v>
      </c>
    </row>
    <row r="8557" spans="1:4" ht="25.5">
      <c r="A8557" s="341">
        <v>4111</v>
      </c>
      <c r="B8557" s="342" t="s">
        <v>9395</v>
      </c>
      <c r="C8557" s="341" t="s">
        <v>7278</v>
      </c>
      <c r="D8557" s="343">
        <v>35.42</v>
      </c>
    </row>
    <row r="8558" spans="1:4" ht="38.25">
      <c r="A8558" s="341">
        <v>26021</v>
      </c>
      <c r="B8558" s="342" t="s">
        <v>9396</v>
      </c>
      <c r="C8558" s="341" t="s">
        <v>7278</v>
      </c>
      <c r="D8558" s="343">
        <v>57.26</v>
      </c>
    </row>
    <row r="8559" spans="1:4" ht="25.5">
      <c r="A8559" s="341">
        <v>12</v>
      </c>
      <c r="B8559" s="342" t="s">
        <v>9397</v>
      </c>
      <c r="C8559" s="341" t="s">
        <v>7278</v>
      </c>
      <c r="D8559" s="343">
        <v>6.23</v>
      </c>
    </row>
    <row r="8560" spans="1:4" ht="38.25">
      <c r="A8560" s="341">
        <v>37554</v>
      </c>
      <c r="B8560" s="342" t="s">
        <v>9398</v>
      </c>
      <c r="C8560" s="341" t="s">
        <v>7278</v>
      </c>
      <c r="D8560" s="343">
        <v>168.52</v>
      </c>
    </row>
    <row r="8561" spans="1:4" ht="38.25">
      <c r="A8561" s="341">
        <v>37555</v>
      </c>
      <c r="B8561" s="342" t="s">
        <v>9399</v>
      </c>
      <c r="C8561" s="341" t="s">
        <v>7278</v>
      </c>
      <c r="D8561" s="343">
        <v>204.99</v>
      </c>
    </row>
    <row r="8562" spans="1:4" ht="51">
      <c r="A8562" s="341">
        <v>10902</v>
      </c>
      <c r="B8562" s="342" t="s">
        <v>9400</v>
      </c>
      <c r="C8562" s="341" t="s">
        <v>7278</v>
      </c>
      <c r="D8562" s="343">
        <v>51.44</v>
      </c>
    </row>
    <row r="8563" spans="1:4" ht="51">
      <c r="A8563" s="341">
        <v>20965</v>
      </c>
      <c r="B8563" s="342" t="s">
        <v>9401</v>
      </c>
      <c r="C8563" s="341" t="s">
        <v>7278</v>
      </c>
      <c r="D8563" s="343">
        <v>51.91</v>
      </c>
    </row>
    <row r="8564" spans="1:4" ht="51">
      <c r="A8564" s="341">
        <v>20966</v>
      </c>
      <c r="B8564" s="342" t="s">
        <v>9402</v>
      </c>
      <c r="C8564" s="341" t="s">
        <v>7278</v>
      </c>
      <c r="D8564" s="343">
        <v>55.9</v>
      </c>
    </row>
    <row r="8565" spans="1:4" ht="51">
      <c r="A8565" s="341">
        <v>10903</v>
      </c>
      <c r="B8565" s="342" t="s">
        <v>9403</v>
      </c>
      <c r="C8565" s="341" t="s">
        <v>7278</v>
      </c>
      <c r="D8565" s="343">
        <v>84.73</v>
      </c>
    </row>
    <row r="8566" spans="1:4" ht="51">
      <c r="A8566" s="341">
        <v>20967</v>
      </c>
      <c r="B8566" s="342" t="s">
        <v>9404</v>
      </c>
      <c r="C8566" s="341" t="s">
        <v>7278</v>
      </c>
      <c r="D8566" s="343">
        <v>84.73</v>
      </c>
    </row>
    <row r="8567" spans="1:4" ht="51">
      <c r="A8567" s="341">
        <v>20968</v>
      </c>
      <c r="B8567" s="342" t="s">
        <v>9405</v>
      </c>
      <c r="C8567" s="341" t="s">
        <v>7278</v>
      </c>
      <c r="D8567" s="343">
        <v>92.93</v>
      </c>
    </row>
    <row r="8568" spans="1:4" ht="38.25">
      <c r="A8568" s="341">
        <v>11359</v>
      </c>
      <c r="B8568" s="342" t="s">
        <v>9406</v>
      </c>
      <c r="C8568" s="341" t="s">
        <v>7278</v>
      </c>
      <c r="D8568" s="343">
        <v>851.89</v>
      </c>
    </row>
    <row r="8569" spans="1:4" ht="38.25">
      <c r="A8569" s="341">
        <v>39017</v>
      </c>
      <c r="B8569" s="342" t="s">
        <v>9407</v>
      </c>
      <c r="C8569" s="341" t="s">
        <v>7278</v>
      </c>
      <c r="D8569" s="343">
        <v>0.12</v>
      </c>
    </row>
    <row r="8570" spans="1:4" ht="38.25">
      <c r="A8570" s="341">
        <v>39315</v>
      </c>
      <c r="B8570" s="342" t="s">
        <v>9408</v>
      </c>
      <c r="C8570" s="341" t="s">
        <v>7278</v>
      </c>
      <c r="D8570" s="343">
        <v>0.2</v>
      </c>
    </row>
    <row r="8571" spans="1:4" ht="38.25">
      <c r="A8571" s="341">
        <v>39016</v>
      </c>
      <c r="B8571" s="342" t="s">
        <v>9409</v>
      </c>
      <c r="C8571" s="341" t="s">
        <v>7278</v>
      </c>
      <c r="D8571" s="343">
        <v>0.2</v>
      </c>
    </row>
    <row r="8572" spans="1:4" ht="38.25">
      <c r="A8572" s="341">
        <v>40432</v>
      </c>
      <c r="B8572" s="342" t="s">
        <v>9410</v>
      </c>
      <c r="C8572" s="341" t="s">
        <v>7278</v>
      </c>
      <c r="D8572" s="343">
        <v>1.57</v>
      </c>
    </row>
    <row r="8573" spans="1:4" ht="51">
      <c r="A8573" s="341">
        <v>39481</v>
      </c>
      <c r="B8573" s="342" t="s">
        <v>9411</v>
      </c>
      <c r="C8573" s="341" t="s">
        <v>7278</v>
      </c>
      <c r="D8573" s="343">
        <v>0.98</v>
      </c>
    </row>
    <row r="8574" spans="1:4" ht="25.5">
      <c r="A8574" s="341">
        <v>40433</v>
      </c>
      <c r="B8574" s="342" t="s">
        <v>9412</v>
      </c>
      <c r="C8574" s="341" t="s">
        <v>7278</v>
      </c>
      <c r="D8574" s="343">
        <v>0.87</v>
      </c>
    </row>
    <row r="8575" spans="1:4" ht="38.25">
      <c r="A8575" s="341">
        <v>20219</v>
      </c>
      <c r="B8575" s="342" t="s">
        <v>9413</v>
      </c>
      <c r="C8575" s="341" t="s">
        <v>7278</v>
      </c>
      <c r="D8575" s="344">
        <v>68500</v>
      </c>
    </row>
    <row r="8576" spans="1:4" ht="63.75">
      <c r="A8576" s="341">
        <v>36484</v>
      </c>
      <c r="B8576" s="342" t="s">
        <v>9414</v>
      </c>
      <c r="C8576" s="341" t="s">
        <v>7278</v>
      </c>
      <c r="D8576" s="344">
        <v>145413.01999999999</v>
      </c>
    </row>
    <row r="8577" spans="1:4" ht="25.5">
      <c r="A8577" s="341">
        <v>38367</v>
      </c>
      <c r="B8577" s="342" t="s">
        <v>9415</v>
      </c>
      <c r="C8577" s="341" t="s">
        <v>7278</v>
      </c>
      <c r="D8577" s="343">
        <v>9.99</v>
      </c>
    </row>
    <row r="8578" spans="1:4">
      <c r="A8578" s="341">
        <v>38368</v>
      </c>
      <c r="B8578" s="342" t="s">
        <v>9416</v>
      </c>
      <c r="C8578" s="341" t="s">
        <v>7278</v>
      </c>
      <c r="D8578" s="343">
        <v>5.98</v>
      </c>
    </row>
    <row r="8579" spans="1:4" ht="25.5">
      <c r="A8579" s="341">
        <v>38091</v>
      </c>
      <c r="B8579" s="342" t="s">
        <v>9417</v>
      </c>
      <c r="C8579" s="341" t="s">
        <v>7278</v>
      </c>
      <c r="D8579" s="343">
        <v>1.4</v>
      </c>
    </row>
    <row r="8580" spans="1:4" ht="25.5">
      <c r="A8580" s="341">
        <v>38095</v>
      </c>
      <c r="B8580" s="342" t="s">
        <v>9418</v>
      </c>
      <c r="C8580" s="341" t="s">
        <v>7278</v>
      </c>
      <c r="D8580" s="343">
        <v>2.96</v>
      </c>
    </row>
    <row r="8581" spans="1:4" ht="25.5">
      <c r="A8581" s="341">
        <v>38092</v>
      </c>
      <c r="B8581" s="342" t="s">
        <v>9419</v>
      </c>
      <c r="C8581" s="341" t="s">
        <v>7278</v>
      </c>
      <c r="D8581" s="343">
        <v>1.32</v>
      </c>
    </row>
    <row r="8582" spans="1:4" ht="25.5">
      <c r="A8582" s="341">
        <v>38093</v>
      </c>
      <c r="B8582" s="342" t="s">
        <v>9420</v>
      </c>
      <c r="C8582" s="341" t="s">
        <v>7278</v>
      </c>
      <c r="D8582" s="343">
        <v>1.37</v>
      </c>
    </row>
    <row r="8583" spans="1:4" ht="25.5">
      <c r="A8583" s="341">
        <v>38096</v>
      </c>
      <c r="B8583" s="342" t="s">
        <v>9421</v>
      </c>
      <c r="C8583" s="341" t="s">
        <v>7278</v>
      </c>
      <c r="D8583" s="343">
        <v>3.18</v>
      </c>
    </row>
    <row r="8584" spans="1:4" ht="25.5">
      <c r="A8584" s="341">
        <v>38094</v>
      </c>
      <c r="B8584" s="342" t="s">
        <v>9422</v>
      </c>
      <c r="C8584" s="341" t="s">
        <v>7278</v>
      </c>
      <c r="D8584" s="343">
        <v>1.68</v>
      </c>
    </row>
    <row r="8585" spans="1:4" ht="25.5">
      <c r="A8585" s="341">
        <v>38097</v>
      </c>
      <c r="B8585" s="342" t="s">
        <v>9423</v>
      </c>
      <c r="C8585" s="341" t="s">
        <v>7278</v>
      </c>
      <c r="D8585" s="343">
        <v>3.41</v>
      </c>
    </row>
    <row r="8586" spans="1:4" ht="25.5">
      <c r="A8586" s="341">
        <v>38098</v>
      </c>
      <c r="B8586" s="342" t="s">
        <v>9424</v>
      </c>
      <c r="C8586" s="341" t="s">
        <v>7278</v>
      </c>
      <c r="D8586" s="343">
        <v>3.41</v>
      </c>
    </row>
    <row r="8587" spans="1:4">
      <c r="A8587" s="341">
        <v>11186</v>
      </c>
      <c r="B8587" s="342" t="s">
        <v>9425</v>
      </c>
      <c r="C8587" s="341" t="s">
        <v>7273</v>
      </c>
      <c r="D8587" s="343">
        <v>298.13</v>
      </c>
    </row>
    <row r="8588" spans="1:4" ht="51">
      <c r="A8588" s="341">
        <v>11558</v>
      </c>
      <c r="B8588" s="342" t="s">
        <v>9426</v>
      </c>
      <c r="C8588" s="341" t="s">
        <v>7735</v>
      </c>
      <c r="D8588" s="343">
        <v>11.07</v>
      </c>
    </row>
    <row r="8589" spans="1:4" ht="51">
      <c r="A8589" s="341">
        <v>11557</v>
      </c>
      <c r="B8589" s="342" t="s">
        <v>9427</v>
      </c>
      <c r="C8589" s="341" t="s">
        <v>7735</v>
      </c>
      <c r="D8589" s="343">
        <v>28.03</v>
      </c>
    </row>
    <row r="8590" spans="1:4">
      <c r="A8590" s="341">
        <v>2759</v>
      </c>
      <c r="B8590" s="342" t="s">
        <v>9428</v>
      </c>
      <c r="C8590" s="341" t="s">
        <v>7278</v>
      </c>
      <c r="D8590" s="343">
        <v>4.43</v>
      </c>
    </row>
    <row r="8591" spans="1:4" ht="25.5">
      <c r="A8591" s="341">
        <v>38124</v>
      </c>
      <c r="B8591" s="342" t="s">
        <v>9429</v>
      </c>
      <c r="C8591" s="341" t="s">
        <v>7278</v>
      </c>
      <c r="D8591" s="343">
        <v>25</v>
      </c>
    </row>
    <row r="8592" spans="1:4" ht="25.5">
      <c r="A8592" s="341">
        <v>38380</v>
      </c>
      <c r="B8592" s="342" t="s">
        <v>9430</v>
      </c>
      <c r="C8592" s="341" t="s">
        <v>7278</v>
      </c>
      <c r="D8592" s="343">
        <v>15.88</v>
      </c>
    </row>
    <row r="8593" spans="1:4" ht="38.25">
      <c r="A8593" s="341">
        <v>20059</v>
      </c>
      <c r="B8593" s="342" t="s">
        <v>9431</v>
      </c>
      <c r="C8593" s="341" t="s">
        <v>7278</v>
      </c>
      <c r="D8593" s="343">
        <v>15.57</v>
      </c>
    </row>
    <row r="8594" spans="1:4" ht="63.75">
      <c r="A8594" s="341">
        <v>42458</v>
      </c>
      <c r="B8594" s="342" t="s">
        <v>9432</v>
      </c>
      <c r="C8594" s="341" t="s">
        <v>7278</v>
      </c>
      <c r="D8594" s="344">
        <v>5016.01</v>
      </c>
    </row>
    <row r="8595" spans="1:4" ht="63.75">
      <c r="A8595" s="341">
        <v>38538</v>
      </c>
      <c r="B8595" s="342" t="s">
        <v>9433</v>
      </c>
      <c r="C8595" s="341" t="s">
        <v>7287</v>
      </c>
      <c r="D8595" s="343">
        <v>40</v>
      </c>
    </row>
    <row r="8596" spans="1:4" ht="51">
      <c r="A8596" s="341">
        <v>38539</v>
      </c>
      <c r="B8596" s="342" t="s">
        <v>9434</v>
      </c>
      <c r="C8596" s="341" t="s">
        <v>7287</v>
      </c>
      <c r="D8596" s="343">
        <v>54.39</v>
      </c>
    </row>
    <row r="8597" spans="1:4" ht="51">
      <c r="A8597" s="341">
        <v>38540</v>
      </c>
      <c r="B8597" s="342" t="s">
        <v>9435</v>
      </c>
      <c r="C8597" s="341" t="s">
        <v>7287</v>
      </c>
      <c r="D8597" s="343">
        <v>139.4</v>
      </c>
    </row>
    <row r="8598" spans="1:4">
      <c r="A8598" s="341">
        <v>38384</v>
      </c>
      <c r="B8598" s="342" t="s">
        <v>9436</v>
      </c>
      <c r="C8598" s="341" t="s">
        <v>7278</v>
      </c>
      <c r="D8598" s="343">
        <v>15.51</v>
      </c>
    </row>
    <row r="8599" spans="1:4">
      <c r="A8599" s="341">
        <v>13</v>
      </c>
      <c r="B8599" s="342" t="s">
        <v>9437</v>
      </c>
      <c r="C8599" s="341" t="s">
        <v>7338</v>
      </c>
      <c r="D8599" s="343">
        <v>9.59</v>
      </c>
    </row>
    <row r="8600" spans="1:4">
      <c r="A8600" s="341">
        <v>2762</v>
      </c>
      <c r="B8600" s="342" t="s">
        <v>9438</v>
      </c>
      <c r="C8600" s="341" t="s">
        <v>7287</v>
      </c>
      <c r="D8600" s="343">
        <v>5.53</v>
      </c>
    </row>
    <row r="8601" spans="1:4" ht="38.25">
      <c r="A8601" s="341">
        <v>21142</v>
      </c>
      <c r="B8601" s="342" t="s">
        <v>9439</v>
      </c>
      <c r="C8601" s="341" t="s">
        <v>7278</v>
      </c>
      <c r="D8601" s="343">
        <v>18.62</v>
      </c>
    </row>
    <row r="8602" spans="1:4">
      <c r="A8602" s="341">
        <v>12865</v>
      </c>
      <c r="B8602" s="342" t="s">
        <v>9440</v>
      </c>
      <c r="C8602" s="341" t="s">
        <v>7275</v>
      </c>
      <c r="D8602" s="343">
        <v>13.31</v>
      </c>
    </row>
    <row r="8603" spans="1:4">
      <c r="A8603" s="341">
        <v>41074</v>
      </c>
      <c r="B8603" s="342" t="s">
        <v>9441</v>
      </c>
      <c r="C8603" s="341" t="s">
        <v>7466</v>
      </c>
      <c r="D8603" s="344">
        <v>2346.59</v>
      </c>
    </row>
    <row r="8604" spans="1:4">
      <c r="A8604" s="341">
        <v>4223</v>
      </c>
      <c r="B8604" s="342" t="s">
        <v>9442</v>
      </c>
      <c r="C8604" s="341" t="s">
        <v>7340</v>
      </c>
      <c r="D8604" s="343">
        <v>2.65</v>
      </c>
    </row>
    <row r="8605" spans="1:4" ht="25.5">
      <c r="A8605" s="341">
        <v>37372</v>
      </c>
      <c r="B8605" s="342" t="s">
        <v>9443</v>
      </c>
      <c r="C8605" s="341" t="s">
        <v>7275</v>
      </c>
      <c r="D8605" s="343">
        <v>0.37</v>
      </c>
    </row>
    <row r="8606" spans="1:4" ht="25.5">
      <c r="A8606" s="341">
        <v>40863</v>
      </c>
      <c r="B8606" s="342" t="s">
        <v>9444</v>
      </c>
      <c r="C8606" s="341" t="s">
        <v>7466</v>
      </c>
      <c r="D8606" s="343">
        <v>69.239999999999995</v>
      </c>
    </row>
    <row r="8607" spans="1:4" ht="25.5">
      <c r="A8607" s="341">
        <v>38475</v>
      </c>
      <c r="B8607" s="342" t="s">
        <v>9445</v>
      </c>
      <c r="C8607" s="341" t="s">
        <v>7278</v>
      </c>
      <c r="D8607" s="343">
        <v>24.27</v>
      </c>
    </row>
    <row r="8608" spans="1:4">
      <c r="A8608" s="341">
        <v>38474</v>
      </c>
      <c r="B8608" s="342" t="s">
        <v>9446</v>
      </c>
      <c r="C8608" s="341" t="s">
        <v>7278</v>
      </c>
      <c r="D8608" s="343">
        <v>30.01</v>
      </c>
    </row>
    <row r="8609" spans="1:4" ht="25.5">
      <c r="A8609" s="341">
        <v>10886</v>
      </c>
      <c r="B8609" s="342" t="s">
        <v>9447</v>
      </c>
      <c r="C8609" s="341" t="s">
        <v>7278</v>
      </c>
      <c r="D8609" s="343">
        <v>136.38</v>
      </c>
    </row>
    <row r="8610" spans="1:4" ht="25.5">
      <c r="A8610" s="341">
        <v>10888</v>
      </c>
      <c r="B8610" s="342" t="s">
        <v>9448</v>
      </c>
      <c r="C8610" s="341" t="s">
        <v>7278</v>
      </c>
      <c r="D8610" s="343">
        <v>431.63</v>
      </c>
    </row>
    <row r="8611" spans="1:4" ht="25.5">
      <c r="A8611" s="341">
        <v>10889</v>
      </c>
      <c r="B8611" s="342" t="s">
        <v>9449</v>
      </c>
      <c r="C8611" s="341" t="s">
        <v>7278</v>
      </c>
      <c r="D8611" s="343">
        <v>467.61</v>
      </c>
    </row>
    <row r="8612" spans="1:4" ht="25.5">
      <c r="A8612" s="341">
        <v>10890</v>
      </c>
      <c r="B8612" s="342" t="s">
        <v>9450</v>
      </c>
      <c r="C8612" s="341" t="s">
        <v>7278</v>
      </c>
      <c r="D8612" s="343">
        <v>215.81</v>
      </c>
    </row>
    <row r="8613" spans="1:4" ht="25.5">
      <c r="A8613" s="341">
        <v>10891</v>
      </c>
      <c r="B8613" s="342" t="s">
        <v>9451</v>
      </c>
      <c r="C8613" s="341" t="s">
        <v>7278</v>
      </c>
      <c r="D8613" s="343">
        <v>131.88</v>
      </c>
    </row>
    <row r="8614" spans="1:4" ht="25.5">
      <c r="A8614" s="341">
        <v>10892</v>
      </c>
      <c r="B8614" s="342" t="s">
        <v>9452</v>
      </c>
      <c r="C8614" s="341" t="s">
        <v>7278</v>
      </c>
      <c r="D8614" s="343">
        <v>155.87</v>
      </c>
    </row>
    <row r="8615" spans="1:4" ht="25.5">
      <c r="A8615" s="341">
        <v>20977</v>
      </c>
      <c r="B8615" s="342" t="s">
        <v>9453</v>
      </c>
      <c r="C8615" s="341" t="s">
        <v>7278</v>
      </c>
      <c r="D8615" s="343">
        <v>185.84</v>
      </c>
    </row>
    <row r="8616" spans="1:4" ht="25.5">
      <c r="A8616" s="341">
        <v>3073</v>
      </c>
      <c r="B8616" s="342" t="s">
        <v>9454</v>
      </c>
      <c r="C8616" s="341" t="s">
        <v>7278</v>
      </c>
      <c r="D8616" s="343">
        <v>102.02</v>
      </c>
    </row>
    <row r="8617" spans="1:4" ht="25.5">
      <c r="A8617" s="341">
        <v>3068</v>
      </c>
      <c r="B8617" s="342" t="s">
        <v>9455</v>
      </c>
      <c r="C8617" s="341" t="s">
        <v>7278</v>
      </c>
      <c r="D8617" s="343">
        <v>48.03</v>
      </c>
    </row>
    <row r="8618" spans="1:4" ht="25.5">
      <c r="A8618" s="341">
        <v>3074</v>
      </c>
      <c r="B8618" s="342" t="s">
        <v>9456</v>
      </c>
      <c r="C8618" s="341" t="s">
        <v>7278</v>
      </c>
      <c r="D8618" s="343">
        <v>81.209999999999994</v>
      </c>
    </row>
    <row r="8619" spans="1:4" ht="25.5">
      <c r="A8619" s="341">
        <v>3076</v>
      </c>
      <c r="B8619" s="342" t="s">
        <v>9457</v>
      </c>
      <c r="C8619" s="341" t="s">
        <v>7278</v>
      </c>
      <c r="D8619" s="343">
        <v>91.45</v>
      </c>
    </row>
    <row r="8620" spans="1:4" ht="25.5">
      <c r="A8620" s="341">
        <v>3072</v>
      </c>
      <c r="B8620" s="342" t="s">
        <v>9458</v>
      </c>
      <c r="C8620" s="341" t="s">
        <v>7278</v>
      </c>
      <c r="D8620" s="343">
        <v>40.58</v>
      </c>
    </row>
    <row r="8621" spans="1:4" ht="25.5">
      <c r="A8621" s="341">
        <v>3075</v>
      </c>
      <c r="B8621" s="342" t="s">
        <v>9459</v>
      </c>
      <c r="C8621" s="341" t="s">
        <v>7278</v>
      </c>
      <c r="D8621" s="343">
        <v>73.2</v>
      </c>
    </row>
    <row r="8622" spans="1:4" ht="25.5">
      <c r="A8622" s="341">
        <v>10780</v>
      </c>
      <c r="B8622" s="342" t="s">
        <v>9460</v>
      </c>
      <c r="C8622" s="341" t="s">
        <v>7278</v>
      </c>
      <c r="D8622" s="343">
        <v>4.41</v>
      </c>
    </row>
    <row r="8623" spans="1:4" ht="25.5">
      <c r="A8623" s="341">
        <v>10781</v>
      </c>
      <c r="B8623" s="342" t="s">
        <v>9461</v>
      </c>
      <c r="C8623" s="341" t="s">
        <v>7278</v>
      </c>
      <c r="D8623" s="343">
        <v>5.48</v>
      </c>
    </row>
    <row r="8624" spans="1:4" ht="25.5">
      <c r="A8624" s="341">
        <v>20106</v>
      </c>
      <c r="B8624" s="342" t="s">
        <v>9462</v>
      </c>
      <c r="C8624" s="341" t="s">
        <v>7278</v>
      </c>
      <c r="D8624" s="343">
        <v>2.59</v>
      </c>
    </row>
    <row r="8625" spans="1:4" ht="25.5">
      <c r="A8625" s="341">
        <v>20107</v>
      </c>
      <c r="B8625" s="342" t="s">
        <v>9463</v>
      </c>
      <c r="C8625" s="341" t="s">
        <v>7278</v>
      </c>
      <c r="D8625" s="343">
        <v>2.78</v>
      </c>
    </row>
    <row r="8626" spans="1:4" ht="25.5">
      <c r="A8626" s="341">
        <v>20108</v>
      </c>
      <c r="B8626" s="342" t="s">
        <v>9464</v>
      </c>
      <c r="C8626" s="341" t="s">
        <v>7278</v>
      </c>
      <c r="D8626" s="343">
        <v>2.4900000000000002</v>
      </c>
    </row>
    <row r="8627" spans="1:4" ht="25.5">
      <c r="A8627" s="341">
        <v>20109</v>
      </c>
      <c r="B8627" s="342" t="s">
        <v>9465</v>
      </c>
      <c r="C8627" s="341" t="s">
        <v>7278</v>
      </c>
      <c r="D8627" s="343">
        <v>3.92</v>
      </c>
    </row>
    <row r="8628" spans="1:4" ht="25.5">
      <c r="A8628" s="341">
        <v>34795</v>
      </c>
      <c r="B8628" s="342" t="s">
        <v>9466</v>
      </c>
      <c r="C8628" s="341" t="s">
        <v>7273</v>
      </c>
      <c r="D8628" s="343">
        <v>141.44999999999999</v>
      </c>
    </row>
    <row r="8629" spans="1:4" ht="25.5">
      <c r="A8629" s="341">
        <v>34796</v>
      </c>
      <c r="B8629" s="342" t="s">
        <v>9467</v>
      </c>
      <c r="C8629" s="341" t="s">
        <v>7287</v>
      </c>
      <c r="D8629" s="343">
        <v>6.21</v>
      </c>
    </row>
    <row r="8630" spans="1:4" ht="51">
      <c r="A8630" s="341">
        <v>11474</v>
      </c>
      <c r="B8630" s="342" t="s">
        <v>9468</v>
      </c>
      <c r="C8630" s="341" t="s">
        <v>7278</v>
      </c>
      <c r="D8630" s="343">
        <v>29.36</v>
      </c>
    </row>
    <row r="8631" spans="1:4" ht="38.25">
      <c r="A8631" s="341">
        <v>11470</v>
      </c>
      <c r="B8631" s="342" t="s">
        <v>9469</v>
      </c>
      <c r="C8631" s="341" t="s">
        <v>7278</v>
      </c>
      <c r="D8631" s="343">
        <v>19.23</v>
      </c>
    </row>
    <row r="8632" spans="1:4" ht="51">
      <c r="A8632" s="341">
        <v>11480</v>
      </c>
      <c r="B8632" s="342" t="s">
        <v>9470</v>
      </c>
      <c r="C8632" s="341" t="s">
        <v>8783</v>
      </c>
      <c r="D8632" s="343">
        <v>48.01</v>
      </c>
    </row>
    <row r="8633" spans="1:4" ht="38.25">
      <c r="A8633" s="341">
        <v>38154</v>
      </c>
      <c r="B8633" s="342" t="s">
        <v>9471</v>
      </c>
      <c r="C8633" s="341" t="s">
        <v>8783</v>
      </c>
      <c r="D8633" s="343">
        <v>30.06</v>
      </c>
    </row>
    <row r="8634" spans="1:4" ht="51">
      <c r="A8634" s="341">
        <v>11482</v>
      </c>
      <c r="B8634" s="342" t="s">
        <v>9472</v>
      </c>
      <c r="C8634" s="341" t="s">
        <v>8783</v>
      </c>
      <c r="D8634" s="343">
        <v>43.61</v>
      </c>
    </row>
    <row r="8635" spans="1:4" ht="38.25">
      <c r="A8635" s="341">
        <v>3084</v>
      </c>
      <c r="B8635" s="342" t="s">
        <v>9473</v>
      </c>
      <c r="C8635" s="341" t="s">
        <v>8783</v>
      </c>
      <c r="D8635" s="343">
        <v>56.07</v>
      </c>
    </row>
    <row r="8636" spans="1:4" ht="25.5">
      <c r="A8636" s="341">
        <v>3103</v>
      </c>
      <c r="B8636" s="342" t="s">
        <v>9474</v>
      </c>
      <c r="C8636" s="341" t="s">
        <v>7278</v>
      </c>
      <c r="D8636" s="343">
        <v>50.12</v>
      </c>
    </row>
    <row r="8637" spans="1:4" ht="51">
      <c r="A8637" s="341">
        <v>11481</v>
      </c>
      <c r="B8637" s="342" t="s">
        <v>9475</v>
      </c>
      <c r="C8637" s="341" t="s">
        <v>7278</v>
      </c>
      <c r="D8637" s="343">
        <v>15.12</v>
      </c>
    </row>
    <row r="8638" spans="1:4" ht="63.75">
      <c r="A8638" s="341">
        <v>3097</v>
      </c>
      <c r="B8638" s="342" t="s">
        <v>9476</v>
      </c>
      <c r="C8638" s="341" t="s">
        <v>8783</v>
      </c>
      <c r="D8638" s="343">
        <v>31.06</v>
      </c>
    </row>
    <row r="8639" spans="1:4" ht="63.75">
      <c r="A8639" s="341">
        <v>38153</v>
      </c>
      <c r="B8639" s="342" t="s">
        <v>9477</v>
      </c>
      <c r="C8639" s="341" t="s">
        <v>8783</v>
      </c>
      <c r="D8639" s="343">
        <v>28.49</v>
      </c>
    </row>
    <row r="8640" spans="1:4" ht="63.75">
      <c r="A8640" s="341">
        <v>3099</v>
      </c>
      <c r="B8640" s="342" t="s">
        <v>9478</v>
      </c>
      <c r="C8640" s="341" t="s">
        <v>8783</v>
      </c>
      <c r="D8640" s="343">
        <v>49.68</v>
      </c>
    </row>
    <row r="8641" spans="1:4" ht="63.75">
      <c r="A8641" s="341">
        <v>3080</v>
      </c>
      <c r="B8641" s="342" t="s">
        <v>9479</v>
      </c>
      <c r="C8641" s="341" t="s">
        <v>8783</v>
      </c>
      <c r="D8641" s="343">
        <v>41.51</v>
      </c>
    </row>
    <row r="8642" spans="1:4" ht="63.75">
      <c r="A8642" s="341">
        <v>3081</v>
      </c>
      <c r="B8642" s="342" t="s">
        <v>9480</v>
      </c>
      <c r="C8642" s="341" t="s">
        <v>8783</v>
      </c>
      <c r="D8642" s="343">
        <v>62.82</v>
      </c>
    </row>
    <row r="8643" spans="1:4" ht="63.75">
      <c r="A8643" s="341">
        <v>38151</v>
      </c>
      <c r="B8643" s="342" t="s">
        <v>9481</v>
      </c>
      <c r="C8643" s="341" t="s">
        <v>8783</v>
      </c>
      <c r="D8643" s="343">
        <v>39.33</v>
      </c>
    </row>
    <row r="8644" spans="1:4" ht="51">
      <c r="A8644" s="341">
        <v>11479</v>
      </c>
      <c r="B8644" s="342" t="s">
        <v>9482</v>
      </c>
      <c r="C8644" s="341" t="s">
        <v>7278</v>
      </c>
      <c r="D8644" s="343">
        <v>22.87</v>
      </c>
    </row>
    <row r="8645" spans="1:4" ht="63.75">
      <c r="A8645" s="341">
        <v>38152</v>
      </c>
      <c r="B8645" s="342" t="s">
        <v>9483</v>
      </c>
      <c r="C8645" s="341" t="s">
        <v>8783</v>
      </c>
      <c r="D8645" s="343">
        <v>56.92</v>
      </c>
    </row>
    <row r="8646" spans="1:4" ht="51">
      <c r="A8646" s="341">
        <v>11478</v>
      </c>
      <c r="B8646" s="342" t="s">
        <v>9484</v>
      </c>
      <c r="C8646" s="341" t="s">
        <v>7278</v>
      </c>
      <c r="D8646" s="343">
        <v>40.119999999999997</v>
      </c>
    </row>
    <row r="8647" spans="1:4" ht="63.75">
      <c r="A8647" s="341">
        <v>3090</v>
      </c>
      <c r="B8647" s="342" t="s">
        <v>9485</v>
      </c>
      <c r="C8647" s="341" t="s">
        <v>8783</v>
      </c>
      <c r="D8647" s="343">
        <v>33.56</v>
      </c>
    </row>
    <row r="8648" spans="1:4" ht="63.75">
      <c r="A8648" s="341">
        <v>3093</v>
      </c>
      <c r="B8648" s="342" t="s">
        <v>9486</v>
      </c>
      <c r="C8648" s="341" t="s">
        <v>8783</v>
      </c>
      <c r="D8648" s="343">
        <v>55.78</v>
      </c>
    </row>
    <row r="8649" spans="1:4" ht="51">
      <c r="A8649" s="341">
        <v>11476</v>
      </c>
      <c r="B8649" s="342" t="s">
        <v>9487</v>
      </c>
      <c r="C8649" s="341" t="s">
        <v>7278</v>
      </c>
      <c r="D8649" s="343">
        <v>24.04</v>
      </c>
    </row>
    <row r="8650" spans="1:4" ht="38.25">
      <c r="A8650" s="341">
        <v>3082</v>
      </c>
      <c r="B8650" s="342" t="s">
        <v>9488</v>
      </c>
      <c r="C8650" s="341" t="s">
        <v>8783</v>
      </c>
      <c r="D8650" s="343">
        <v>38.83</v>
      </c>
    </row>
    <row r="8651" spans="1:4" ht="51">
      <c r="A8651" s="341">
        <v>11484</v>
      </c>
      <c r="B8651" s="342" t="s">
        <v>9489</v>
      </c>
      <c r="C8651" s="341" t="s">
        <v>7278</v>
      </c>
      <c r="D8651" s="343">
        <v>27.7</v>
      </c>
    </row>
    <row r="8652" spans="1:4" ht="51">
      <c r="A8652" s="341">
        <v>38155</v>
      </c>
      <c r="B8652" s="342" t="s">
        <v>9490</v>
      </c>
      <c r="C8652" s="341" t="s">
        <v>7278</v>
      </c>
      <c r="D8652" s="343">
        <v>37.76</v>
      </c>
    </row>
    <row r="8653" spans="1:4" ht="51">
      <c r="A8653" s="341">
        <v>11468</v>
      </c>
      <c r="B8653" s="342" t="s">
        <v>9491</v>
      </c>
      <c r="C8653" s="341" t="s">
        <v>7278</v>
      </c>
      <c r="D8653" s="343">
        <v>8.4700000000000006</v>
      </c>
    </row>
    <row r="8654" spans="1:4" ht="51">
      <c r="A8654" s="341">
        <v>11469</v>
      </c>
      <c r="B8654" s="342" t="s">
        <v>9492</v>
      </c>
      <c r="C8654" s="341" t="s">
        <v>7278</v>
      </c>
      <c r="D8654" s="343">
        <v>10.119999999999999</v>
      </c>
    </row>
    <row r="8655" spans="1:4" ht="51">
      <c r="A8655" s="341">
        <v>11477</v>
      </c>
      <c r="B8655" s="342" t="s">
        <v>9493</v>
      </c>
      <c r="C8655" s="341" t="s">
        <v>8783</v>
      </c>
      <c r="D8655" s="343">
        <v>46</v>
      </c>
    </row>
    <row r="8656" spans="1:4" ht="63.75">
      <c r="A8656" s="341">
        <v>40311</v>
      </c>
      <c r="B8656" s="342" t="s">
        <v>9494</v>
      </c>
      <c r="C8656" s="341" t="s">
        <v>8783</v>
      </c>
      <c r="D8656" s="343">
        <v>44.42</v>
      </c>
    </row>
    <row r="8657" spans="1:4" ht="51">
      <c r="A8657" s="341">
        <v>38165</v>
      </c>
      <c r="B8657" s="342" t="s">
        <v>9495</v>
      </c>
      <c r="C8657" s="341" t="s">
        <v>8783</v>
      </c>
      <c r="D8657" s="343">
        <v>53.28</v>
      </c>
    </row>
    <row r="8658" spans="1:4" ht="38.25">
      <c r="A8658" s="341">
        <v>3096</v>
      </c>
      <c r="B8658" s="342" t="s">
        <v>9496</v>
      </c>
      <c r="C8658" s="341" t="s">
        <v>8783</v>
      </c>
      <c r="D8658" s="343">
        <v>25.53</v>
      </c>
    </row>
    <row r="8659" spans="1:4" ht="38.25">
      <c r="A8659" s="341">
        <v>11456</v>
      </c>
      <c r="B8659" s="342" t="s">
        <v>9497</v>
      </c>
      <c r="C8659" s="341" t="s">
        <v>7278</v>
      </c>
      <c r="D8659" s="343">
        <v>11.8</v>
      </c>
    </row>
    <row r="8660" spans="1:4" ht="25.5">
      <c r="A8660" s="341">
        <v>3119</v>
      </c>
      <c r="B8660" s="342" t="s">
        <v>9498</v>
      </c>
      <c r="C8660" s="341" t="s">
        <v>7278</v>
      </c>
      <c r="D8660" s="343">
        <v>1.75</v>
      </c>
    </row>
    <row r="8661" spans="1:4" ht="25.5">
      <c r="A8661" s="341">
        <v>3122</v>
      </c>
      <c r="B8661" s="342" t="s">
        <v>9499</v>
      </c>
      <c r="C8661" s="341" t="s">
        <v>7278</v>
      </c>
      <c r="D8661" s="343">
        <v>2.46</v>
      </c>
    </row>
    <row r="8662" spans="1:4" ht="25.5">
      <c r="A8662" s="341">
        <v>3121</v>
      </c>
      <c r="B8662" s="342" t="s">
        <v>9500</v>
      </c>
      <c r="C8662" s="341" t="s">
        <v>7278</v>
      </c>
      <c r="D8662" s="343">
        <v>3.82</v>
      </c>
    </row>
    <row r="8663" spans="1:4" ht="25.5">
      <c r="A8663" s="341">
        <v>3120</v>
      </c>
      <c r="B8663" s="342" t="s">
        <v>9501</v>
      </c>
      <c r="C8663" s="341" t="s">
        <v>7278</v>
      </c>
      <c r="D8663" s="343">
        <v>6.03</v>
      </c>
    </row>
    <row r="8664" spans="1:4" ht="25.5">
      <c r="A8664" s="341">
        <v>11455</v>
      </c>
      <c r="B8664" s="342" t="s">
        <v>9502</v>
      </c>
      <c r="C8664" s="341" t="s">
        <v>7278</v>
      </c>
      <c r="D8664" s="343">
        <v>8.4600000000000009</v>
      </c>
    </row>
    <row r="8665" spans="1:4" ht="38.25">
      <c r="A8665" s="341">
        <v>3111</v>
      </c>
      <c r="B8665" s="342" t="s">
        <v>9503</v>
      </c>
      <c r="C8665" s="341" t="s">
        <v>7278</v>
      </c>
      <c r="D8665" s="343">
        <v>20.25</v>
      </c>
    </row>
    <row r="8666" spans="1:4" ht="38.25">
      <c r="A8666" s="341">
        <v>3108</v>
      </c>
      <c r="B8666" s="342" t="s">
        <v>9504</v>
      </c>
      <c r="C8666" s="341" t="s">
        <v>7278</v>
      </c>
      <c r="D8666" s="343">
        <v>21.24</v>
      </c>
    </row>
    <row r="8667" spans="1:4" ht="38.25">
      <c r="A8667" s="341">
        <v>3105</v>
      </c>
      <c r="B8667" s="342" t="s">
        <v>9505</v>
      </c>
      <c r="C8667" s="341" t="s">
        <v>7278</v>
      </c>
      <c r="D8667" s="343">
        <v>33.01</v>
      </c>
    </row>
    <row r="8668" spans="1:4" ht="38.25">
      <c r="A8668" s="341">
        <v>38178</v>
      </c>
      <c r="B8668" s="342" t="s">
        <v>9506</v>
      </c>
      <c r="C8668" s="341" t="s">
        <v>7278</v>
      </c>
      <c r="D8668" s="343">
        <v>21.57</v>
      </c>
    </row>
    <row r="8669" spans="1:4" ht="38.25">
      <c r="A8669" s="341">
        <v>11458</v>
      </c>
      <c r="B8669" s="342" t="s">
        <v>9507</v>
      </c>
      <c r="C8669" s="341" t="s">
        <v>7278</v>
      </c>
      <c r="D8669" s="343">
        <v>18.899999999999999</v>
      </c>
    </row>
    <row r="8670" spans="1:4" ht="38.25">
      <c r="A8670" s="341">
        <v>42481</v>
      </c>
      <c r="B8670" s="342" t="s">
        <v>9508</v>
      </c>
      <c r="C8670" s="341" t="s">
        <v>7273</v>
      </c>
      <c r="D8670" s="343">
        <v>24.73</v>
      </c>
    </row>
    <row r="8671" spans="1:4" ht="51">
      <c r="A8671" s="341">
        <v>11461</v>
      </c>
      <c r="B8671" s="342" t="s">
        <v>9509</v>
      </c>
      <c r="C8671" s="341" t="s">
        <v>7278</v>
      </c>
      <c r="D8671" s="343">
        <v>4.79</v>
      </c>
    </row>
    <row r="8672" spans="1:4" ht="51">
      <c r="A8672" s="341">
        <v>3106</v>
      </c>
      <c r="B8672" s="342" t="s">
        <v>9510</v>
      </c>
      <c r="C8672" s="341" t="s">
        <v>7278</v>
      </c>
      <c r="D8672" s="343">
        <v>3.64</v>
      </c>
    </row>
    <row r="8673" spans="1:4" ht="38.25">
      <c r="A8673" s="341">
        <v>3107</v>
      </c>
      <c r="B8673" s="342" t="s">
        <v>9511</v>
      </c>
      <c r="C8673" s="341" t="s">
        <v>7278</v>
      </c>
      <c r="D8673" s="343">
        <v>3.06</v>
      </c>
    </row>
    <row r="8674" spans="1:4">
      <c r="A8674" s="341">
        <v>25951</v>
      </c>
      <c r="B8674" s="342" t="s">
        <v>9512</v>
      </c>
      <c r="C8674" s="341" t="s">
        <v>7338</v>
      </c>
      <c r="D8674" s="343">
        <v>1.68</v>
      </c>
    </row>
    <row r="8675" spans="1:4">
      <c r="A8675" s="341">
        <v>3123</v>
      </c>
      <c r="B8675" s="342" t="s">
        <v>9513</v>
      </c>
      <c r="C8675" s="341" t="s">
        <v>7338</v>
      </c>
      <c r="D8675" s="343">
        <v>1.57</v>
      </c>
    </row>
    <row r="8676" spans="1:4">
      <c r="A8676" s="341">
        <v>38125</v>
      </c>
      <c r="B8676" s="342" t="s">
        <v>9514</v>
      </c>
      <c r="C8676" s="341" t="s">
        <v>7338</v>
      </c>
      <c r="D8676" s="343">
        <v>0.66</v>
      </c>
    </row>
    <row r="8677" spans="1:4" ht="51">
      <c r="A8677" s="341">
        <v>39014</v>
      </c>
      <c r="B8677" s="342" t="s">
        <v>9515</v>
      </c>
      <c r="C8677" s="341" t="s">
        <v>7338</v>
      </c>
      <c r="D8677" s="343">
        <v>14.26</v>
      </c>
    </row>
    <row r="8678" spans="1:4" ht="38.25">
      <c r="A8678" s="341">
        <v>11894</v>
      </c>
      <c r="B8678" s="342" t="s">
        <v>9516</v>
      </c>
      <c r="C8678" s="341" t="s">
        <v>7278</v>
      </c>
      <c r="D8678" s="343">
        <v>482.88</v>
      </c>
    </row>
    <row r="8679" spans="1:4" ht="38.25">
      <c r="A8679" s="341">
        <v>39365</v>
      </c>
      <c r="B8679" s="342" t="s">
        <v>9517</v>
      </c>
      <c r="C8679" s="341" t="s">
        <v>7278</v>
      </c>
      <c r="D8679" s="343">
        <v>741.8</v>
      </c>
    </row>
    <row r="8680" spans="1:4" ht="38.25">
      <c r="A8680" s="341">
        <v>39366</v>
      </c>
      <c r="B8680" s="342" t="s">
        <v>9518</v>
      </c>
      <c r="C8680" s="341" t="s">
        <v>7278</v>
      </c>
      <c r="D8680" s="344">
        <v>1899.33</v>
      </c>
    </row>
    <row r="8681" spans="1:4" ht="38.25">
      <c r="A8681" s="341">
        <v>39367</v>
      </c>
      <c r="B8681" s="342" t="s">
        <v>9519</v>
      </c>
      <c r="C8681" s="341" t="s">
        <v>7278</v>
      </c>
      <c r="D8681" s="344">
        <v>2596.04</v>
      </c>
    </row>
    <row r="8682" spans="1:4" ht="25.5">
      <c r="A8682" s="341">
        <v>37394</v>
      </c>
      <c r="B8682" s="342" t="s">
        <v>9520</v>
      </c>
      <c r="C8682" s="341" t="s">
        <v>9521</v>
      </c>
      <c r="D8682" s="343">
        <v>41.85</v>
      </c>
    </row>
    <row r="8683" spans="1:4" ht="25.5">
      <c r="A8683" s="341">
        <v>14146</v>
      </c>
      <c r="B8683" s="342" t="s">
        <v>9522</v>
      </c>
      <c r="C8683" s="341" t="s">
        <v>9521</v>
      </c>
      <c r="D8683" s="343">
        <v>67.3</v>
      </c>
    </row>
    <row r="8684" spans="1:4" ht="25.5">
      <c r="A8684" s="341">
        <v>38134</v>
      </c>
      <c r="B8684" s="342" t="s">
        <v>9523</v>
      </c>
      <c r="C8684" s="341" t="s">
        <v>7338</v>
      </c>
      <c r="D8684" s="343">
        <v>53.03</v>
      </c>
    </row>
    <row r="8685" spans="1:4" ht="25.5">
      <c r="A8685" s="341">
        <v>38132</v>
      </c>
      <c r="B8685" s="342" t="s">
        <v>9524</v>
      </c>
      <c r="C8685" s="341" t="s">
        <v>7338</v>
      </c>
      <c r="D8685" s="343">
        <v>54.08</v>
      </c>
    </row>
    <row r="8686" spans="1:4" ht="25.5">
      <c r="A8686" s="341">
        <v>38133</v>
      </c>
      <c r="B8686" s="342" t="s">
        <v>9525</v>
      </c>
      <c r="C8686" s="341" t="s">
        <v>7338</v>
      </c>
      <c r="D8686" s="343">
        <v>52.31</v>
      </c>
    </row>
    <row r="8687" spans="1:4" ht="38.25">
      <c r="A8687" s="341">
        <v>938</v>
      </c>
      <c r="B8687" s="342" t="s">
        <v>9526</v>
      </c>
      <c r="C8687" s="341" t="s">
        <v>7287</v>
      </c>
      <c r="D8687" s="343">
        <v>0.81</v>
      </c>
    </row>
    <row r="8688" spans="1:4" ht="38.25">
      <c r="A8688" s="341">
        <v>937</v>
      </c>
      <c r="B8688" s="342" t="s">
        <v>9527</v>
      </c>
      <c r="C8688" s="341" t="s">
        <v>7287</v>
      </c>
      <c r="D8688" s="343">
        <v>5.05</v>
      </c>
    </row>
    <row r="8689" spans="1:4" ht="38.25">
      <c r="A8689" s="341">
        <v>939</v>
      </c>
      <c r="B8689" s="342" t="s">
        <v>9528</v>
      </c>
      <c r="C8689" s="341" t="s">
        <v>7287</v>
      </c>
      <c r="D8689" s="343">
        <v>1.31</v>
      </c>
    </row>
    <row r="8690" spans="1:4" ht="38.25">
      <c r="A8690" s="341">
        <v>944</v>
      </c>
      <c r="B8690" s="342" t="s">
        <v>9529</v>
      </c>
      <c r="C8690" s="341" t="s">
        <v>7287</v>
      </c>
      <c r="D8690" s="343">
        <v>2.23</v>
      </c>
    </row>
    <row r="8691" spans="1:4" ht="38.25">
      <c r="A8691" s="341">
        <v>940</v>
      </c>
      <c r="B8691" s="342" t="s">
        <v>9530</v>
      </c>
      <c r="C8691" s="341" t="s">
        <v>7287</v>
      </c>
      <c r="D8691" s="343">
        <v>3.09</v>
      </c>
    </row>
    <row r="8692" spans="1:4" ht="38.25">
      <c r="A8692" s="341">
        <v>936</v>
      </c>
      <c r="B8692" s="342" t="s">
        <v>9531</v>
      </c>
      <c r="C8692" s="341" t="s">
        <v>7287</v>
      </c>
      <c r="D8692" s="343">
        <v>1.73</v>
      </c>
    </row>
    <row r="8693" spans="1:4" ht="38.25">
      <c r="A8693" s="341">
        <v>935</v>
      </c>
      <c r="B8693" s="342" t="s">
        <v>9532</v>
      </c>
      <c r="C8693" s="341" t="s">
        <v>7287</v>
      </c>
      <c r="D8693" s="343">
        <v>1.32</v>
      </c>
    </row>
    <row r="8694" spans="1:4" ht="25.5">
      <c r="A8694" s="341">
        <v>406</v>
      </c>
      <c r="B8694" s="342" t="s">
        <v>9533</v>
      </c>
      <c r="C8694" s="341" t="s">
        <v>7278</v>
      </c>
      <c r="D8694" s="343">
        <v>51.3</v>
      </c>
    </row>
    <row r="8695" spans="1:4" ht="25.5">
      <c r="A8695" s="341">
        <v>42529</v>
      </c>
      <c r="B8695" s="342" t="s">
        <v>9534</v>
      </c>
      <c r="C8695" s="341" t="s">
        <v>7287</v>
      </c>
      <c r="D8695" s="343">
        <v>0.84</v>
      </c>
    </row>
    <row r="8696" spans="1:4" ht="38.25">
      <c r="A8696" s="341">
        <v>39634</v>
      </c>
      <c r="B8696" s="342" t="s">
        <v>9535</v>
      </c>
      <c r="C8696" s="341" t="s">
        <v>7287</v>
      </c>
      <c r="D8696" s="343">
        <v>5.84</v>
      </c>
    </row>
    <row r="8697" spans="1:4" ht="25.5">
      <c r="A8697" s="341">
        <v>39701</v>
      </c>
      <c r="B8697" s="342" t="s">
        <v>9536</v>
      </c>
      <c r="C8697" s="341" t="s">
        <v>7278</v>
      </c>
      <c r="D8697" s="343">
        <v>66.959999999999994</v>
      </c>
    </row>
    <row r="8698" spans="1:4">
      <c r="A8698" s="341">
        <v>12815</v>
      </c>
      <c r="B8698" s="342" t="s">
        <v>9537</v>
      </c>
      <c r="C8698" s="341" t="s">
        <v>7278</v>
      </c>
      <c r="D8698" s="343">
        <v>6.83</v>
      </c>
    </row>
    <row r="8699" spans="1:4" ht="25.5">
      <c r="A8699" s="341">
        <v>407</v>
      </c>
      <c r="B8699" s="342" t="s">
        <v>9538</v>
      </c>
      <c r="C8699" s="341" t="s">
        <v>7338</v>
      </c>
      <c r="D8699" s="343">
        <v>32</v>
      </c>
    </row>
    <row r="8700" spans="1:4" ht="38.25">
      <c r="A8700" s="341">
        <v>39431</v>
      </c>
      <c r="B8700" s="342" t="s">
        <v>9539</v>
      </c>
      <c r="C8700" s="341" t="s">
        <v>7287</v>
      </c>
      <c r="D8700" s="343">
        <v>0.23</v>
      </c>
    </row>
    <row r="8701" spans="1:4" ht="38.25">
      <c r="A8701" s="341">
        <v>39432</v>
      </c>
      <c r="B8701" s="342" t="s">
        <v>9540</v>
      </c>
      <c r="C8701" s="341" t="s">
        <v>7287</v>
      </c>
      <c r="D8701" s="343">
        <v>3.05</v>
      </c>
    </row>
    <row r="8702" spans="1:4" ht="25.5">
      <c r="A8702" s="341">
        <v>20111</v>
      </c>
      <c r="B8702" s="342" t="s">
        <v>9541</v>
      </c>
      <c r="C8702" s="341" t="s">
        <v>7278</v>
      </c>
      <c r="D8702" s="343">
        <v>10</v>
      </c>
    </row>
    <row r="8703" spans="1:4" ht="25.5">
      <c r="A8703" s="341">
        <v>21127</v>
      </c>
      <c r="B8703" s="342" t="s">
        <v>9542</v>
      </c>
      <c r="C8703" s="341" t="s">
        <v>7278</v>
      </c>
      <c r="D8703" s="343">
        <v>3.78</v>
      </c>
    </row>
    <row r="8704" spans="1:4" ht="25.5">
      <c r="A8704" s="341">
        <v>404</v>
      </c>
      <c r="B8704" s="342" t="s">
        <v>9543</v>
      </c>
      <c r="C8704" s="341" t="s">
        <v>7287</v>
      </c>
      <c r="D8704" s="343">
        <v>1.36</v>
      </c>
    </row>
    <row r="8705" spans="1:4" ht="25.5">
      <c r="A8705" s="341">
        <v>14151</v>
      </c>
      <c r="B8705" s="342" t="s">
        <v>9544</v>
      </c>
      <c r="C8705" s="341" t="s">
        <v>7278</v>
      </c>
      <c r="D8705" s="343">
        <v>48.37</v>
      </c>
    </row>
    <row r="8706" spans="1:4" ht="25.5">
      <c r="A8706" s="341">
        <v>14153</v>
      </c>
      <c r="B8706" s="342" t="s">
        <v>9545</v>
      </c>
      <c r="C8706" s="341" t="s">
        <v>7278</v>
      </c>
      <c r="D8706" s="343">
        <v>54.68</v>
      </c>
    </row>
    <row r="8707" spans="1:4" ht="25.5">
      <c r="A8707" s="341">
        <v>14152</v>
      </c>
      <c r="B8707" s="342" t="s">
        <v>9546</v>
      </c>
      <c r="C8707" s="341" t="s">
        <v>7278</v>
      </c>
      <c r="D8707" s="343">
        <v>41.97</v>
      </c>
    </row>
    <row r="8708" spans="1:4" ht="25.5">
      <c r="A8708" s="341">
        <v>14154</v>
      </c>
      <c r="B8708" s="342" t="s">
        <v>9547</v>
      </c>
      <c r="C8708" s="341" t="s">
        <v>7278</v>
      </c>
      <c r="D8708" s="343">
        <v>146.91999999999999</v>
      </c>
    </row>
    <row r="8709" spans="1:4" ht="38.25">
      <c r="A8709" s="341">
        <v>42015</v>
      </c>
      <c r="B8709" s="342" t="s">
        <v>9548</v>
      </c>
      <c r="C8709" s="341" t="s">
        <v>7287</v>
      </c>
      <c r="D8709" s="343">
        <v>0.08</v>
      </c>
    </row>
    <row r="8710" spans="1:4" ht="25.5">
      <c r="A8710" s="341">
        <v>3146</v>
      </c>
      <c r="B8710" s="342" t="s">
        <v>9549</v>
      </c>
      <c r="C8710" s="341" t="s">
        <v>7278</v>
      </c>
      <c r="D8710" s="343">
        <v>3</v>
      </c>
    </row>
    <row r="8711" spans="1:4" ht="25.5">
      <c r="A8711" s="341">
        <v>3143</v>
      </c>
      <c r="B8711" s="342" t="s">
        <v>9550</v>
      </c>
      <c r="C8711" s="341" t="s">
        <v>7278</v>
      </c>
      <c r="D8711" s="343">
        <v>6.82</v>
      </c>
    </row>
    <row r="8712" spans="1:4" ht="25.5">
      <c r="A8712" s="341">
        <v>3148</v>
      </c>
      <c r="B8712" s="342" t="s">
        <v>9551</v>
      </c>
      <c r="C8712" s="341" t="s">
        <v>7278</v>
      </c>
      <c r="D8712" s="343">
        <v>11.06</v>
      </c>
    </row>
    <row r="8713" spans="1:4" ht="38.25">
      <c r="A8713" s="341">
        <v>4310</v>
      </c>
      <c r="B8713" s="342" t="s">
        <v>9552</v>
      </c>
      <c r="C8713" s="341" t="s">
        <v>7278</v>
      </c>
      <c r="D8713" s="343">
        <v>1.78</v>
      </c>
    </row>
    <row r="8714" spans="1:4" ht="25.5">
      <c r="A8714" s="341">
        <v>4311</v>
      </c>
      <c r="B8714" s="342" t="s">
        <v>9553</v>
      </c>
      <c r="C8714" s="341" t="s">
        <v>7278</v>
      </c>
      <c r="D8714" s="343">
        <v>1.25</v>
      </c>
    </row>
    <row r="8715" spans="1:4" ht="38.25">
      <c r="A8715" s="341">
        <v>4312</v>
      </c>
      <c r="B8715" s="342" t="s">
        <v>9554</v>
      </c>
      <c r="C8715" s="341" t="s">
        <v>7278</v>
      </c>
      <c r="D8715" s="343">
        <v>1.75</v>
      </c>
    </row>
    <row r="8716" spans="1:4">
      <c r="A8716" s="341">
        <v>11162</v>
      </c>
      <c r="B8716" s="342" t="s">
        <v>9555</v>
      </c>
      <c r="C8716" s="341" t="s">
        <v>7278</v>
      </c>
      <c r="D8716" s="343">
        <v>1.19</v>
      </c>
    </row>
    <row r="8717" spans="1:4">
      <c r="A8717" s="341">
        <v>13261</v>
      </c>
      <c r="B8717" s="342" t="s">
        <v>9556</v>
      </c>
      <c r="C8717" s="341" t="s">
        <v>7278</v>
      </c>
      <c r="D8717" s="343">
        <v>1.47</v>
      </c>
    </row>
    <row r="8718" spans="1:4" ht="25.5">
      <c r="A8718" s="341">
        <v>3255</v>
      </c>
      <c r="B8718" s="342" t="s">
        <v>9557</v>
      </c>
      <c r="C8718" s="341" t="s">
        <v>7278</v>
      </c>
      <c r="D8718" s="343">
        <v>4.4800000000000004</v>
      </c>
    </row>
    <row r="8719" spans="1:4" ht="25.5">
      <c r="A8719" s="341">
        <v>3254</v>
      </c>
      <c r="B8719" s="342" t="s">
        <v>9558</v>
      </c>
      <c r="C8719" s="341" t="s">
        <v>7278</v>
      </c>
      <c r="D8719" s="343">
        <v>80.06</v>
      </c>
    </row>
    <row r="8720" spans="1:4" ht="25.5">
      <c r="A8720" s="341">
        <v>3259</v>
      </c>
      <c r="B8720" s="342" t="s">
        <v>9559</v>
      </c>
      <c r="C8720" s="341" t="s">
        <v>7278</v>
      </c>
      <c r="D8720" s="343">
        <v>8.35</v>
      </c>
    </row>
    <row r="8721" spans="1:4" ht="25.5">
      <c r="A8721" s="341">
        <v>3258</v>
      </c>
      <c r="B8721" s="342" t="s">
        <v>9560</v>
      </c>
      <c r="C8721" s="341" t="s">
        <v>7278</v>
      </c>
      <c r="D8721" s="343">
        <v>6.34</v>
      </c>
    </row>
    <row r="8722" spans="1:4" ht="25.5">
      <c r="A8722" s="341">
        <v>3251</v>
      </c>
      <c r="B8722" s="342" t="s">
        <v>9561</v>
      </c>
      <c r="C8722" s="341" t="s">
        <v>7278</v>
      </c>
      <c r="D8722" s="343">
        <v>3.38</v>
      </c>
    </row>
    <row r="8723" spans="1:4" ht="25.5">
      <c r="A8723" s="341">
        <v>3256</v>
      </c>
      <c r="B8723" s="342" t="s">
        <v>9562</v>
      </c>
      <c r="C8723" s="341" t="s">
        <v>7278</v>
      </c>
      <c r="D8723" s="343">
        <v>5.8</v>
      </c>
    </row>
    <row r="8724" spans="1:4" ht="25.5">
      <c r="A8724" s="341">
        <v>3261</v>
      </c>
      <c r="B8724" s="342" t="s">
        <v>9563</v>
      </c>
      <c r="C8724" s="341" t="s">
        <v>7278</v>
      </c>
      <c r="D8724" s="343">
        <v>69.12</v>
      </c>
    </row>
    <row r="8725" spans="1:4" ht="25.5">
      <c r="A8725" s="341">
        <v>3260</v>
      </c>
      <c r="B8725" s="342" t="s">
        <v>9564</v>
      </c>
      <c r="C8725" s="341" t="s">
        <v>7278</v>
      </c>
      <c r="D8725" s="343">
        <v>11.15</v>
      </c>
    </row>
    <row r="8726" spans="1:4" ht="25.5">
      <c r="A8726" s="341">
        <v>3272</v>
      </c>
      <c r="B8726" s="342" t="s">
        <v>9565</v>
      </c>
      <c r="C8726" s="341" t="s">
        <v>7278</v>
      </c>
      <c r="D8726" s="343">
        <v>26.74</v>
      </c>
    </row>
    <row r="8727" spans="1:4" ht="25.5">
      <c r="A8727" s="341">
        <v>3265</v>
      </c>
      <c r="B8727" s="342" t="s">
        <v>9566</v>
      </c>
      <c r="C8727" s="341" t="s">
        <v>7278</v>
      </c>
      <c r="D8727" s="343">
        <v>21.24</v>
      </c>
    </row>
    <row r="8728" spans="1:4" ht="25.5">
      <c r="A8728" s="341">
        <v>3262</v>
      </c>
      <c r="B8728" s="342" t="s">
        <v>9567</v>
      </c>
      <c r="C8728" s="341" t="s">
        <v>7278</v>
      </c>
      <c r="D8728" s="343">
        <v>9.3000000000000007</v>
      </c>
    </row>
    <row r="8729" spans="1:4" ht="25.5">
      <c r="A8729" s="341">
        <v>3264</v>
      </c>
      <c r="B8729" s="342" t="s">
        <v>9568</v>
      </c>
      <c r="C8729" s="341" t="s">
        <v>7278</v>
      </c>
      <c r="D8729" s="343">
        <v>15.27</v>
      </c>
    </row>
    <row r="8730" spans="1:4" ht="25.5">
      <c r="A8730" s="341">
        <v>3267</v>
      </c>
      <c r="B8730" s="342" t="s">
        <v>9569</v>
      </c>
      <c r="C8730" s="341" t="s">
        <v>7278</v>
      </c>
      <c r="D8730" s="343">
        <v>49.89</v>
      </c>
    </row>
    <row r="8731" spans="1:4" ht="25.5">
      <c r="A8731" s="341">
        <v>3266</v>
      </c>
      <c r="B8731" s="342" t="s">
        <v>9570</v>
      </c>
      <c r="C8731" s="341" t="s">
        <v>7278</v>
      </c>
      <c r="D8731" s="343">
        <v>31.74</v>
      </c>
    </row>
    <row r="8732" spans="1:4" ht="25.5">
      <c r="A8732" s="341">
        <v>3263</v>
      </c>
      <c r="B8732" s="342" t="s">
        <v>9571</v>
      </c>
      <c r="C8732" s="341" t="s">
        <v>7278</v>
      </c>
      <c r="D8732" s="343">
        <v>12.7</v>
      </c>
    </row>
    <row r="8733" spans="1:4" ht="25.5">
      <c r="A8733" s="341">
        <v>3268</v>
      </c>
      <c r="B8733" s="342" t="s">
        <v>9572</v>
      </c>
      <c r="C8733" s="341" t="s">
        <v>7278</v>
      </c>
      <c r="D8733" s="343">
        <v>67.45</v>
      </c>
    </row>
    <row r="8734" spans="1:4" ht="25.5">
      <c r="A8734" s="341">
        <v>3271</v>
      </c>
      <c r="B8734" s="342" t="s">
        <v>9573</v>
      </c>
      <c r="C8734" s="341" t="s">
        <v>7278</v>
      </c>
      <c r="D8734" s="343">
        <v>99.72</v>
      </c>
    </row>
    <row r="8735" spans="1:4" ht="25.5">
      <c r="A8735" s="341">
        <v>3270</v>
      </c>
      <c r="B8735" s="342" t="s">
        <v>9574</v>
      </c>
      <c r="C8735" s="341" t="s">
        <v>7278</v>
      </c>
      <c r="D8735" s="343">
        <v>167.54</v>
      </c>
    </row>
    <row r="8736" spans="1:4" ht="51">
      <c r="A8736" s="341">
        <v>3275</v>
      </c>
      <c r="B8736" s="342" t="s">
        <v>9575</v>
      </c>
      <c r="C8736" s="341" t="s">
        <v>7273</v>
      </c>
      <c r="D8736" s="343">
        <v>72.8</v>
      </c>
    </row>
    <row r="8737" spans="1:4" ht="51">
      <c r="A8737" s="341">
        <v>39512</v>
      </c>
      <c r="B8737" s="342" t="s">
        <v>9576</v>
      </c>
      <c r="C8737" s="341" t="s">
        <v>7273</v>
      </c>
      <c r="D8737" s="343">
        <v>67.290000000000006</v>
      </c>
    </row>
    <row r="8738" spans="1:4" ht="51">
      <c r="A8738" s="341">
        <v>39511</v>
      </c>
      <c r="B8738" s="342" t="s">
        <v>9577</v>
      </c>
      <c r="C8738" s="341" t="s">
        <v>7273</v>
      </c>
      <c r="D8738" s="343">
        <v>73.400000000000006</v>
      </c>
    </row>
    <row r="8739" spans="1:4" ht="63.75">
      <c r="A8739" s="341">
        <v>39513</v>
      </c>
      <c r="B8739" s="342" t="s">
        <v>9578</v>
      </c>
      <c r="C8739" s="341" t="s">
        <v>7273</v>
      </c>
      <c r="D8739" s="343">
        <v>78.72</v>
      </c>
    </row>
    <row r="8740" spans="1:4" ht="38.25">
      <c r="A8740" s="341">
        <v>3286</v>
      </c>
      <c r="B8740" s="342" t="s">
        <v>9579</v>
      </c>
      <c r="C8740" s="341" t="s">
        <v>7273</v>
      </c>
      <c r="D8740" s="343">
        <v>44.99</v>
      </c>
    </row>
    <row r="8741" spans="1:4" ht="51">
      <c r="A8741" s="341">
        <v>3287</v>
      </c>
      <c r="B8741" s="342" t="s">
        <v>9580</v>
      </c>
      <c r="C8741" s="341" t="s">
        <v>7273</v>
      </c>
      <c r="D8741" s="343">
        <v>68</v>
      </c>
    </row>
    <row r="8742" spans="1:4" ht="38.25">
      <c r="A8742" s="341">
        <v>3283</v>
      </c>
      <c r="B8742" s="342" t="s">
        <v>9581</v>
      </c>
      <c r="C8742" s="341" t="s">
        <v>7273</v>
      </c>
      <c r="D8742" s="343">
        <v>14.28</v>
      </c>
    </row>
    <row r="8743" spans="1:4" ht="38.25">
      <c r="A8743" s="341">
        <v>11587</v>
      </c>
      <c r="B8743" s="342" t="s">
        <v>9582</v>
      </c>
      <c r="C8743" s="341" t="s">
        <v>7273</v>
      </c>
      <c r="D8743" s="343">
        <v>49.92</v>
      </c>
    </row>
    <row r="8744" spans="1:4" ht="38.25">
      <c r="A8744" s="341">
        <v>36225</v>
      </c>
      <c r="B8744" s="342" t="s">
        <v>9583</v>
      </c>
      <c r="C8744" s="341" t="s">
        <v>7273</v>
      </c>
      <c r="D8744" s="343">
        <v>20.28</v>
      </c>
    </row>
    <row r="8745" spans="1:4" ht="38.25">
      <c r="A8745" s="341">
        <v>36230</v>
      </c>
      <c r="B8745" s="342" t="s">
        <v>9584</v>
      </c>
      <c r="C8745" s="341" t="s">
        <v>7273</v>
      </c>
      <c r="D8745" s="343">
        <v>14.9</v>
      </c>
    </row>
    <row r="8746" spans="1:4" ht="38.25">
      <c r="A8746" s="341">
        <v>36238</v>
      </c>
      <c r="B8746" s="342" t="s">
        <v>9585</v>
      </c>
      <c r="C8746" s="341" t="s">
        <v>7273</v>
      </c>
      <c r="D8746" s="343">
        <v>14.56</v>
      </c>
    </row>
    <row r="8747" spans="1:4" ht="25.5">
      <c r="A8747" s="341">
        <v>11887</v>
      </c>
      <c r="B8747" s="342" t="s">
        <v>9586</v>
      </c>
      <c r="C8747" s="341" t="s">
        <v>7278</v>
      </c>
      <c r="D8747" s="344">
        <v>2274.77</v>
      </c>
    </row>
    <row r="8748" spans="1:4" ht="25.5">
      <c r="A8748" s="341">
        <v>11883</v>
      </c>
      <c r="B8748" s="342" t="s">
        <v>9587</v>
      </c>
      <c r="C8748" s="341" t="s">
        <v>7278</v>
      </c>
      <c r="D8748" s="344">
        <v>3344.31</v>
      </c>
    </row>
    <row r="8749" spans="1:4" ht="25.5">
      <c r="A8749" s="341">
        <v>11884</v>
      </c>
      <c r="B8749" s="342" t="s">
        <v>9588</v>
      </c>
      <c r="C8749" s="341" t="s">
        <v>7278</v>
      </c>
      <c r="D8749" s="344">
        <v>3588.15</v>
      </c>
    </row>
    <row r="8750" spans="1:4" ht="25.5">
      <c r="A8750" s="341">
        <v>11885</v>
      </c>
      <c r="B8750" s="342" t="s">
        <v>9589</v>
      </c>
      <c r="C8750" s="341" t="s">
        <v>7278</v>
      </c>
      <c r="D8750" s="344">
        <v>4002</v>
      </c>
    </row>
    <row r="8751" spans="1:4" ht="25.5">
      <c r="A8751" s="341">
        <v>11886</v>
      </c>
      <c r="B8751" s="342" t="s">
        <v>9590</v>
      </c>
      <c r="C8751" s="341" t="s">
        <v>7278</v>
      </c>
      <c r="D8751" s="344">
        <v>1289.83</v>
      </c>
    </row>
    <row r="8752" spans="1:4" ht="25.5">
      <c r="A8752" s="341">
        <v>11888</v>
      </c>
      <c r="B8752" s="342" t="s">
        <v>9591</v>
      </c>
      <c r="C8752" s="341" t="s">
        <v>7278</v>
      </c>
      <c r="D8752" s="344">
        <v>3029.03</v>
      </c>
    </row>
    <row r="8753" spans="1:4" ht="25.5">
      <c r="A8753" s="341">
        <v>3277</v>
      </c>
      <c r="B8753" s="342" t="s">
        <v>9592</v>
      </c>
      <c r="C8753" s="341" t="s">
        <v>7278</v>
      </c>
      <c r="D8753" s="343">
        <v>510.82</v>
      </c>
    </row>
    <row r="8754" spans="1:4" ht="25.5">
      <c r="A8754" s="341">
        <v>3281</v>
      </c>
      <c r="B8754" s="342" t="s">
        <v>9593</v>
      </c>
      <c r="C8754" s="341" t="s">
        <v>7278</v>
      </c>
      <c r="D8754" s="343">
        <v>423.02</v>
      </c>
    </row>
    <row r="8755" spans="1:4" ht="63.75">
      <c r="A8755" s="341">
        <v>39363</v>
      </c>
      <c r="B8755" s="342" t="s">
        <v>9594</v>
      </c>
      <c r="C8755" s="341" t="s">
        <v>7278</v>
      </c>
      <c r="D8755" s="344">
        <v>3021.66</v>
      </c>
    </row>
    <row r="8756" spans="1:4" ht="63.75">
      <c r="A8756" s="341">
        <v>39361</v>
      </c>
      <c r="B8756" s="342" t="s">
        <v>9595</v>
      </c>
      <c r="C8756" s="341" t="s">
        <v>7278</v>
      </c>
      <c r="D8756" s="343">
        <v>777</v>
      </c>
    </row>
    <row r="8757" spans="1:4" ht="63.75">
      <c r="A8757" s="341">
        <v>39362</v>
      </c>
      <c r="B8757" s="342" t="s">
        <v>9596</v>
      </c>
      <c r="C8757" s="341" t="s">
        <v>7278</v>
      </c>
      <c r="D8757" s="344">
        <v>2391.02</v>
      </c>
    </row>
    <row r="8758" spans="1:4" ht="63.75">
      <c r="A8758" s="341">
        <v>39364</v>
      </c>
      <c r="B8758" s="342" t="s">
        <v>9597</v>
      </c>
      <c r="C8758" s="341" t="s">
        <v>7278</v>
      </c>
      <c r="D8758" s="344">
        <v>6906.66</v>
      </c>
    </row>
    <row r="8759" spans="1:4" ht="38.25">
      <c r="A8759" s="341">
        <v>14576</v>
      </c>
      <c r="B8759" s="342" t="s">
        <v>9598</v>
      </c>
      <c r="C8759" s="341" t="s">
        <v>7278</v>
      </c>
      <c r="D8759" s="344">
        <v>3385451.34</v>
      </c>
    </row>
    <row r="8760" spans="1:4" ht="25.5">
      <c r="A8760" s="341">
        <v>13877</v>
      </c>
      <c r="B8760" s="342" t="s">
        <v>9599</v>
      </c>
      <c r="C8760" s="341" t="s">
        <v>7278</v>
      </c>
      <c r="D8760" s="344">
        <v>1449261.22</v>
      </c>
    </row>
    <row r="8761" spans="1:4" ht="25.5">
      <c r="A8761" s="341">
        <v>7307</v>
      </c>
      <c r="B8761" s="342" t="s">
        <v>9600</v>
      </c>
      <c r="C8761" s="341" t="s">
        <v>7340</v>
      </c>
      <c r="D8761" s="343">
        <v>20.78</v>
      </c>
    </row>
    <row r="8762" spans="1:4">
      <c r="A8762" s="341">
        <v>38122</v>
      </c>
      <c r="B8762" s="342" t="s">
        <v>9601</v>
      </c>
      <c r="C8762" s="341" t="s">
        <v>7340</v>
      </c>
      <c r="D8762" s="343">
        <v>7.59</v>
      </c>
    </row>
    <row r="8763" spans="1:4" ht="25.5">
      <c r="A8763" s="341">
        <v>6086</v>
      </c>
      <c r="B8763" s="342" t="s">
        <v>9602</v>
      </c>
      <c r="C8763" s="341" t="s">
        <v>9603</v>
      </c>
      <c r="D8763" s="343">
        <v>59.2</v>
      </c>
    </row>
    <row r="8764" spans="1:4" ht="38.25">
      <c r="A8764" s="341">
        <v>38633</v>
      </c>
      <c r="B8764" s="342" t="s">
        <v>9604</v>
      </c>
      <c r="C8764" s="341" t="s">
        <v>7278</v>
      </c>
      <c r="D8764" s="343">
        <v>15.45</v>
      </c>
    </row>
    <row r="8765" spans="1:4" ht="38.25">
      <c r="A8765" s="341">
        <v>12344</v>
      </c>
      <c r="B8765" s="342" t="s">
        <v>9605</v>
      </c>
      <c r="C8765" s="341" t="s">
        <v>7278</v>
      </c>
      <c r="D8765" s="343">
        <v>1.47</v>
      </c>
    </row>
    <row r="8766" spans="1:4" ht="38.25">
      <c r="A8766" s="341">
        <v>12343</v>
      </c>
      <c r="B8766" s="342" t="s">
        <v>9606</v>
      </c>
      <c r="C8766" s="341" t="s">
        <v>7278</v>
      </c>
      <c r="D8766" s="343">
        <v>2.2799999999999998</v>
      </c>
    </row>
    <row r="8767" spans="1:4" ht="38.25">
      <c r="A8767" s="341">
        <v>3295</v>
      </c>
      <c r="B8767" s="342" t="s">
        <v>9607</v>
      </c>
      <c r="C8767" s="341" t="s">
        <v>7278</v>
      </c>
      <c r="D8767" s="343">
        <v>7.98</v>
      </c>
    </row>
    <row r="8768" spans="1:4" ht="38.25">
      <c r="A8768" s="341">
        <v>3302</v>
      </c>
      <c r="B8768" s="342" t="s">
        <v>9608</v>
      </c>
      <c r="C8768" s="341" t="s">
        <v>7278</v>
      </c>
      <c r="D8768" s="343">
        <v>8.34</v>
      </c>
    </row>
    <row r="8769" spans="1:4" ht="38.25">
      <c r="A8769" s="341">
        <v>3297</v>
      </c>
      <c r="B8769" s="342" t="s">
        <v>9609</v>
      </c>
      <c r="C8769" s="341" t="s">
        <v>7278</v>
      </c>
      <c r="D8769" s="343">
        <v>8.91</v>
      </c>
    </row>
    <row r="8770" spans="1:4" ht="38.25">
      <c r="A8770" s="341">
        <v>3294</v>
      </c>
      <c r="B8770" s="342" t="s">
        <v>9610</v>
      </c>
      <c r="C8770" s="341" t="s">
        <v>7278</v>
      </c>
      <c r="D8770" s="343">
        <v>9.0399999999999991</v>
      </c>
    </row>
    <row r="8771" spans="1:4" ht="38.25">
      <c r="A8771" s="341">
        <v>3292</v>
      </c>
      <c r="B8771" s="342" t="s">
        <v>9611</v>
      </c>
      <c r="C8771" s="341" t="s">
        <v>7278</v>
      </c>
      <c r="D8771" s="343">
        <v>8.5</v>
      </c>
    </row>
    <row r="8772" spans="1:4" ht="38.25">
      <c r="A8772" s="341">
        <v>3298</v>
      </c>
      <c r="B8772" s="342" t="s">
        <v>9612</v>
      </c>
      <c r="C8772" s="341" t="s">
        <v>7278</v>
      </c>
      <c r="D8772" s="343">
        <v>19.920000000000002</v>
      </c>
    </row>
    <row r="8773" spans="1:4" ht="38.25">
      <c r="A8773" s="341">
        <v>11596</v>
      </c>
      <c r="B8773" s="342" t="s">
        <v>9613</v>
      </c>
      <c r="C8773" s="341" t="s">
        <v>7278</v>
      </c>
      <c r="D8773" s="343">
        <v>347.53</v>
      </c>
    </row>
    <row r="8774" spans="1:4" ht="38.25">
      <c r="A8774" s="341">
        <v>34802</v>
      </c>
      <c r="B8774" s="342" t="s">
        <v>9614</v>
      </c>
      <c r="C8774" s="341" t="s">
        <v>7278</v>
      </c>
      <c r="D8774" s="343">
        <v>954.43</v>
      </c>
    </row>
    <row r="8775" spans="1:4" ht="38.25">
      <c r="A8775" s="341">
        <v>11588</v>
      </c>
      <c r="B8775" s="342" t="s">
        <v>9615</v>
      </c>
      <c r="C8775" s="341" t="s">
        <v>7278</v>
      </c>
      <c r="D8775" s="344">
        <v>1029.67</v>
      </c>
    </row>
    <row r="8776" spans="1:4" ht="38.25">
      <c r="A8776" s="341">
        <v>34383</v>
      </c>
      <c r="B8776" s="342" t="s">
        <v>9616</v>
      </c>
      <c r="C8776" s="341" t="s">
        <v>7278</v>
      </c>
      <c r="D8776" s="344">
        <v>1132.71</v>
      </c>
    </row>
    <row r="8777" spans="1:4" ht="38.25">
      <c r="A8777" s="341">
        <v>40451</v>
      </c>
      <c r="B8777" s="342" t="s">
        <v>9617</v>
      </c>
      <c r="C8777" s="341" t="s">
        <v>7273</v>
      </c>
      <c r="D8777" s="343">
        <v>91.56</v>
      </c>
    </row>
    <row r="8778" spans="1:4" ht="38.25">
      <c r="A8778" s="341">
        <v>40453</v>
      </c>
      <c r="B8778" s="342" t="s">
        <v>9618</v>
      </c>
      <c r="C8778" s="341" t="s">
        <v>7273</v>
      </c>
      <c r="D8778" s="343">
        <v>99.07</v>
      </c>
    </row>
    <row r="8779" spans="1:4" ht="38.25">
      <c r="A8779" s="341">
        <v>40452</v>
      </c>
      <c r="B8779" s="342" t="s">
        <v>9619</v>
      </c>
      <c r="C8779" s="341" t="s">
        <v>7273</v>
      </c>
      <c r="D8779" s="343">
        <v>108.66</v>
      </c>
    </row>
    <row r="8780" spans="1:4" ht="38.25">
      <c r="A8780" s="341">
        <v>11594</v>
      </c>
      <c r="B8780" s="342" t="s">
        <v>9620</v>
      </c>
      <c r="C8780" s="341" t="s">
        <v>7278</v>
      </c>
      <c r="D8780" s="343">
        <v>328.18</v>
      </c>
    </row>
    <row r="8781" spans="1:4" ht="25.5">
      <c r="A8781" s="341">
        <v>3311</v>
      </c>
      <c r="B8781" s="342" t="s">
        <v>9621</v>
      </c>
      <c r="C8781" s="341" t="s">
        <v>7283</v>
      </c>
      <c r="D8781" s="343">
        <v>328.18</v>
      </c>
    </row>
    <row r="8782" spans="1:4" ht="25.5">
      <c r="A8782" s="341">
        <v>11599</v>
      </c>
      <c r="B8782" s="342" t="s">
        <v>9622</v>
      </c>
      <c r="C8782" s="341" t="s">
        <v>7278</v>
      </c>
      <c r="D8782" s="343">
        <v>436.45</v>
      </c>
    </row>
    <row r="8783" spans="1:4" ht="38.25">
      <c r="A8783" s="341">
        <v>11593</v>
      </c>
      <c r="B8783" s="342" t="s">
        <v>9623</v>
      </c>
      <c r="C8783" s="341" t="s">
        <v>7278</v>
      </c>
      <c r="D8783" s="343">
        <v>611.87</v>
      </c>
    </row>
    <row r="8784" spans="1:4" ht="25.5">
      <c r="A8784" s="341">
        <v>3314</v>
      </c>
      <c r="B8784" s="342" t="s">
        <v>9624</v>
      </c>
      <c r="C8784" s="341" t="s">
        <v>7283</v>
      </c>
      <c r="D8784" s="343">
        <v>437.61</v>
      </c>
    </row>
    <row r="8785" spans="1:4" ht="38.25">
      <c r="A8785" s="341">
        <v>11597</v>
      </c>
      <c r="B8785" s="342" t="s">
        <v>9625</v>
      </c>
      <c r="C8785" s="341" t="s">
        <v>7278</v>
      </c>
      <c r="D8785" s="343">
        <v>508.89</v>
      </c>
    </row>
    <row r="8786" spans="1:4" ht="25.5">
      <c r="A8786" s="341">
        <v>3309</v>
      </c>
      <c r="B8786" s="342" t="s">
        <v>9626</v>
      </c>
      <c r="C8786" s="341" t="s">
        <v>7283</v>
      </c>
      <c r="D8786" s="343">
        <v>347.53</v>
      </c>
    </row>
    <row r="8787" spans="1:4" ht="51">
      <c r="A8787" s="341">
        <v>34612</v>
      </c>
      <c r="B8787" s="342" t="s">
        <v>9627</v>
      </c>
      <c r="C8787" s="341" t="s">
        <v>7278</v>
      </c>
      <c r="D8787" s="343">
        <v>629.41</v>
      </c>
    </row>
    <row r="8788" spans="1:4" ht="51">
      <c r="A8788" s="341">
        <v>34635</v>
      </c>
      <c r="B8788" s="342" t="s">
        <v>9628</v>
      </c>
      <c r="C8788" s="341" t="s">
        <v>7278</v>
      </c>
      <c r="D8788" s="343">
        <v>809.39</v>
      </c>
    </row>
    <row r="8789" spans="1:4" ht="51">
      <c r="A8789" s="341">
        <v>34633</v>
      </c>
      <c r="B8789" s="342" t="s">
        <v>9629</v>
      </c>
      <c r="C8789" s="341" t="s">
        <v>7278</v>
      </c>
      <c r="D8789" s="343">
        <v>892.16</v>
      </c>
    </row>
    <row r="8790" spans="1:4" ht="51">
      <c r="A8790" s="341">
        <v>40440</v>
      </c>
      <c r="B8790" s="342" t="s">
        <v>9630</v>
      </c>
      <c r="C8790" s="341" t="s">
        <v>7283</v>
      </c>
      <c r="D8790" s="343">
        <v>455.82</v>
      </c>
    </row>
    <row r="8791" spans="1:4" ht="51">
      <c r="A8791" s="341">
        <v>40441</v>
      </c>
      <c r="B8791" s="342" t="s">
        <v>9631</v>
      </c>
      <c r="C8791" s="341" t="s">
        <v>7283</v>
      </c>
      <c r="D8791" s="343">
        <v>291.01</v>
      </c>
    </row>
    <row r="8792" spans="1:4" ht="51">
      <c r="A8792" s="341">
        <v>40449</v>
      </c>
      <c r="B8792" s="342" t="s">
        <v>9632</v>
      </c>
      <c r="C8792" s="341" t="s">
        <v>7283</v>
      </c>
      <c r="D8792" s="343">
        <v>244.65</v>
      </c>
    </row>
    <row r="8793" spans="1:4" ht="38.25">
      <c r="A8793" s="341">
        <v>34800</v>
      </c>
      <c r="B8793" s="342" t="s">
        <v>9633</v>
      </c>
      <c r="C8793" s="341" t="s">
        <v>7283</v>
      </c>
      <c r="D8793" s="343">
        <v>305.93</v>
      </c>
    </row>
    <row r="8794" spans="1:4" ht="38.25">
      <c r="A8794" s="341">
        <v>11592</v>
      </c>
      <c r="B8794" s="342" t="s">
        <v>9634</v>
      </c>
      <c r="C8794" s="341" t="s">
        <v>7278</v>
      </c>
      <c r="D8794" s="343">
        <v>437.61</v>
      </c>
    </row>
    <row r="8795" spans="1:4" ht="38.25">
      <c r="A8795" s="341">
        <v>40438</v>
      </c>
      <c r="B8795" s="342" t="s">
        <v>9635</v>
      </c>
      <c r="C8795" s="341" t="s">
        <v>7283</v>
      </c>
      <c r="D8795" s="343">
        <v>203.82</v>
      </c>
    </row>
    <row r="8796" spans="1:4" ht="38.25">
      <c r="A8796" s="341">
        <v>40436</v>
      </c>
      <c r="B8796" s="342" t="s">
        <v>9636</v>
      </c>
      <c r="C8796" s="341" t="s">
        <v>7283</v>
      </c>
      <c r="D8796" s="343">
        <v>254.14</v>
      </c>
    </row>
    <row r="8797" spans="1:4" ht="51">
      <c r="A8797" s="341">
        <v>4315</v>
      </c>
      <c r="B8797" s="342" t="s">
        <v>9637</v>
      </c>
      <c r="C8797" s="341" t="s">
        <v>7278</v>
      </c>
      <c r="D8797" s="343">
        <v>1.29</v>
      </c>
    </row>
    <row r="8798" spans="1:4" ht="25.5">
      <c r="A8798" s="341">
        <v>42482</v>
      </c>
      <c r="B8798" s="342" t="s">
        <v>9638</v>
      </c>
      <c r="C8798" s="341" t="s">
        <v>7278</v>
      </c>
      <c r="D8798" s="343">
        <v>1.72</v>
      </c>
    </row>
    <row r="8799" spans="1:4" ht="25.5">
      <c r="A8799" s="341">
        <v>402</v>
      </c>
      <c r="B8799" s="342" t="s">
        <v>9639</v>
      </c>
      <c r="C8799" s="341" t="s">
        <v>7278</v>
      </c>
      <c r="D8799" s="343">
        <v>8.64</v>
      </c>
    </row>
    <row r="8800" spans="1:4">
      <c r="A8800" s="341">
        <v>4226</v>
      </c>
      <c r="B8800" s="342" t="s">
        <v>9640</v>
      </c>
      <c r="C8800" s="341" t="s">
        <v>7338</v>
      </c>
      <c r="D8800" s="343">
        <v>7.4</v>
      </c>
    </row>
    <row r="8801" spans="1:4">
      <c r="A8801" s="341">
        <v>4222</v>
      </c>
      <c r="B8801" s="342" t="s">
        <v>9641</v>
      </c>
      <c r="C8801" s="341" t="s">
        <v>7340</v>
      </c>
      <c r="D8801" s="343">
        <v>4.62</v>
      </c>
    </row>
    <row r="8802" spans="1:4" ht="51">
      <c r="A8802" s="341">
        <v>34804</v>
      </c>
      <c r="B8802" s="342" t="s">
        <v>9642</v>
      </c>
      <c r="C8802" s="341" t="s">
        <v>7273</v>
      </c>
      <c r="D8802" s="343">
        <v>36.94</v>
      </c>
    </row>
    <row r="8803" spans="1:4" ht="38.25">
      <c r="A8803" s="341">
        <v>4013</v>
      </c>
      <c r="B8803" s="342" t="s">
        <v>9643</v>
      </c>
      <c r="C8803" s="341" t="s">
        <v>7273</v>
      </c>
      <c r="D8803" s="343">
        <v>4.72</v>
      </c>
    </row>
    <row r="8804" spans="1:4" ht="38.25">
      <c r="A8804" s="341">
        <v>4011</v>
      </c>
      <c r="B8804" s="342" t="s">
        <v>9644</v>
      </c>
      <c r="C8804" s="341" t="s">
        <v>7273</v>
      </c>
      <c r="D8804" s="343">
        <v>5.27</v>
      </c>
    </row>
    <row r="8805" spans="1:4" ht="38.25">
      <c r="A8805" s="341">
        <v>4021</v>
      </c>
      <c r="B8805" s="342" t="s">
        <v>9645</v>
      </c>
      <c r="C8805" s="341" t="s">
        <v>7273</v>
      </c>
      <c r="D8805" s="343">
        <v>6.58</v>
      </c>
    </row>
    <row r="8806" spans="1:4" ht="38.25">
      <c r="A8806" s="341">
        <v>4019</v>
      </c>
      <c r="B8806" s="342" t="s">
        <v>9646</v>
      </c>
      <c r="C8806" s="341" t="s">
        <v>7273</v>
      </c>
      <c r="D8806" s="343">
        <v>7.9</v>
      </c>
    </row>
    <row r="8807" spans="1:4" ht="38.25">
      <c r="A8807" s="341">
        <v>4012</v>
      </c>
      <c r="B8807" s="342" t="s">
        <v>9647</v>
      </c>
      <c r="C8807" s="341" t="s">
        <v>7273</v>
      </c>
      <c r="D8807" s="343">
        <v>10.58</v>
      </c>
    </row>
    <row r="8808" spans="1:4" ht="38.25">
      <c r="A8808" s="341">
        <v>4020</v>
      </c>
      <c r="B8808" s="342" t="s">
        <v>9648</v>
      </c>
      <c r="C8808" s="341" t="s">
        <v>7273</v>
      </c>
      <c r="D8808" s="343">
        <v>13.25</v>
      </c>
    </row>
    <row r="8809" spans="1:4" ht="38.25">
      <c r="A8809" s="341">
        <v>4018</v>
      </c>
      <c r="B8809" s="342" t="s">
        <v>9649</v>
      </c>
      <c r="C8809" s="341" t="s">
        <v>7273</v>
      </c>
      <c r="D8809" s="343">
        <v>15.87</v>
      </c>
    </row>
    <row r="8810" spans="1:4" ht="38.25">
      <c r="A8810" s="341">
        <v>36498</v>
      </c>
      <c r="B8810" s="342" t="s">
        <v>9650</v>
      </c>
      <c r="C8810" s="341" t="s">
        <v>7278</v>
      </c>
      <c r="D8810" s="344">
        <v>3755.65</v>
      </c>
    </row>
    <row r="8811" spans="1:4">
      <c r="A8811" s="341">
        <v>12872</v>
      </c>
      <c r="B8811" s="342" t="s">
        <v>9651</v>
      </c>
      <c r="C8811" s="341" t="s">
        <v>7275</v>
      </c>
      <c r="D8811" s="343">
        <v>12.68</v>
      </c>
    </row>
    <row r="8812" spans="1:4">
      <c r="A8812" s="341">
        <v>41075</v>
      </c>
      <c r="B8812" s="342" t="s">
        <v>9652</v>
      </c>
      <c r="C8812" s="341" t="s">
        <v>7466</v>
      </c>
      <c r="D8812" s="344">
        <v>2236.52</v>
      </c>
    </row>
    <row r="8813" spans="1:4" ht="25.5">
      <c r="A8813" s="341">
        <v>3315</v>
      </c>
      <c r="B8813" s="342" t="s">
        <v>9653</v>
      </c>
      <c r="C8813" s="341" t="s">
        <v>7338</v>
      </c>
      <c r="D8813" s="343">
        <v>0.59</v>
      </c>
    </row>
    <row r="8814" spans="1:4">
      <c r="A8814" s="341">
        <v>36870</v>
      </c>
      <c r="B8814" s="342" t="s">
        <v>9654</v>
      </c>
      <c r="C8814" s="341" t="s">
        <v>7338</v>
      </c>
      <c r="D8814" s="343">
        <v>0.59</v>
      </c>
    </row>
    <row r="8815" spans="1:4" ht="38.25">
      <c r="A8815" s="341">
        <v>5092</v>
      </c>
      <c r="B8815" s="342" t="s">
        <v>9655</v>
      </c>
      <c r="C8815" s="341" t="s">
        <v>7735</v>
      </c>
      <c r="D8815" s="343">
        <v>13.55</v>
      </c>
    </row>
    <row r="8816" spans="1:4" ht="25.5">
      <c r="A8816" s="341">
        <v>11462</v>
      </c>
      <c r="B8816" s="342" t="s">
        <v>9656</v>
      </c>
      <c r="C8816" s="341" t="s">
        <v>7735</v>
      </c>
      <c r="D8816" s="343">
        <v>13.86</v>
      </c>
    </row>
    <row r="8817" spans="1:4" ht="38.25">
      <c r="A8817" s="341">
        <v>36529</v>
      </c>
      <c r="B8817" s="342" t="s">
        <v>9657</v>
      </c>
      <c r="C8817" s="341" t="s">
        <v>7278</v>
      </c>
      <c r="D8817" s="344">
        <v>29445.57</v>
      </c>
    </row>
    <row r="8818" spans="1:4" ht="38.25">
      <c r="A8818" s="341">
        <v>3318</v>
      </c>
      <c r="B8818" s="342" t="s">
        <v>9658</v>
      </c>
      <c r="C8818" s="341" t="s">
        <v>7278</v>
      </c>
      <c r="D8818" s="344">
        <v>23085.33</v>
      </c>
    </row>
    <row r="8819" spans="1:4" ht="63.75">
      <c r="A8819" s="341">
        <v>38968</v>
      </c>
      <c r="B8819" s="342" t="s">
        <v>9659</v>
      </c>
      <c r="C8819" s="341" t="s">
        <v>7273</v>
      </c>
      <c r="D8819" s="343">
        <v>217.37</v>
      </c>
    </row>
    <row r="8820" spans="1:4">
      <c r="A8820" s="341">
        <v>3324</v>
      </c>
      <c r="B8820" s="342" t="s">
        <v>9660</v>
      </c>
      <c r="C8820" s="341" t="s">
        <v>7273</v>
      </c>
      <c r="D8820" s="343">
        <v>4.99</v>
      </c>
    </row>
    <row r="8821" spans="1:4" ht="25.5">
      <c r="A8821" s="341">
        <v>3322</v>
      </c>
      <c r="B8821" s="342" t="s">
        <v>9661</v>
      </c>
      <c r="C8821" s="341" t="s">
        <v>7273</v>
      </c>
      <c r="D8821" s="343">
        <v>7</v>
      </c>
    </row>
    <row r="8822" spans="1:4">
      <c r="A8822" s="341">
        <v>5076</v>
      </c>
      <c r="B8822" s="342" t="s">
        <v>9662</v>
      </c>
      <c r="C8822" s="341" t="s">
        <v>7338</v>
      </c>
      <c r="D8822" s="343">
        <v>9.51</v>
      </c>
    </row>
    <row r="8823" spans="1:4">
      <c r="A8823" s="341">
        <v>5077</v>
      </c>
      <c r="B8823" s="342" t="s">
        <v>9663</v>
      </c>
      <c r="C8823" s="341" t="s">
        <v>7338</v>
      </c>
      <c r="D8823" s="343">
        <v>10.51</v>
      </c>
    </row>
    <row r="8824" spans="1:4" ht="38.25">
      <c r="A8824" s="341">
        <v>11837</v>
      </c>
      <c r="B8824" s="342" t="s">
        <v>9664</v>
      </c>
      <c r="C8824" s="341" t="s">
        <v>7278</v>
      </c>
      <c r="D8824" s="343">
        <v>34.200000000000003</v>
      </c>
    </row>
    <row r="8825" spans="1:4" ht="38.25">
      <c r="A8825" s="341">
        <v>38055</v>
      </c>
      <c r="B8825" s="342" t="s">
        <v>9665</v>
      </c>
      <c r="C8825" s="341" t="s">
        <v>7278</v>
      </c>
      <c r="D8825" s="343">
        <v>3.1</v>
      </c>
    </row>
    <row r="8826" spans="1:4" ht="38.25">
      <c r="A8826" s="341">
        <v>415</v>
      </c>
      <c r="B8826" s="342" t="s">
        <v>9666</v>
      </c>
      <c r="C8826" s="341" t="s">
        <v>7278</v>
      </c>
      <c r="D8826" s="343">
        <v>14.02</v>
      </c>
    </row>
    <row r="8827" spans="1:4" ht="38.25">
      <c r="A8827" s="341">
        <v>416</v>
      </c>
      <c r="B8827" s="342" t="s">
        <v>9667</v>
      </c>
      <c r="C8827" s="341" t="s">
        <v>7278</v>
      </c>
      <c r="D8827" s="343">
        <v>5.13</v>
      </c>
    </row>
    <row r="8828" spans="1:4" ht="38.25">
      <c r="A8828" s="341">
        <v>425</v>
      </c>
      <c r="B8828" s="342" t="s">
        <v>9668</v>
      </c>
      <c r="C8828" s="341" t="s">
        <v>7278</v>
      </c>
      <c r="D8828" s="343">
        <v>3.18</v>
      </c>
    </row>
    <row r="8829" spans="1:4" ht="38.25">
      <c r="A8829" s="341">
        <v>426</v>
      </c>
      <c r="B8829" s="342" t="s">
        <v>9669</v>
      </c>
      <c r="C8829" s="341" t="s">
        <v>7278</v>
      </c>
      <c r="D8829" s="343">
        <v>17.52</v>
      </c>
    </row>
    <row r="8830" spans="1:4" ht="38.25">
      <c r="A8830" s="341">
        <v>38056</v>
      </c>
      <c r="B8830" s="342" t="s">
        <v>9670</v>
      </c>
      <c r="C8830" s="341" t="s">
        <v>7278</v>
      </c>
      <c r="D8830" s="343">
        <v>17.11</v>
      </c>
    </row>
    <row r="8831" spans="1:4" ht="25.5">
      <c r="A8831" s="341">
        <v>1564</v>
      </c>
      <c r="B8831" s="342" t="s">
        <v>9671</v>
      </c>
      <c r="C8831" s="341" t="s">
        <v>7278</v>
      </c>
      <c r="D8831" s="343">
        <v>6.53</v>
      </c>
    </row>
    <row r="8832" spans="1:4">
      <c r="A8832" s="341">
        <v>11032</v>
      </c>
      <c r="B8832" s="342" t="s">
        <v>9672</v>
      </c>
      <c r="C8832" s="341" t="s">
        <v>7278</v>
      </c>
      <c r="D8832" s="343">
        <v>7.27</v>
      </c>
    </row>
    <row r="8833" spans="1:4" ht="38.25">
      <c r="A8833" s="341">
        <v>36786</v>
      </c>
      <c r="B8833" s="342" t="s">
        <v>9673</v>
      </c>
      <c r="C8833" s="341" t="s">
        <v>9674</v>
      </c>
      <c r="D8833" s="343">
        <v>97.73</v>
      </c>
    </row>
    <row r="8834" spans="1:4" ht="25.5">
      <c r="A8834" s="341">
        <v>36785</v>
      </c>
      <c r="B8834" s="342" t="s">
        <v>9675</v>
      </c>
      <c r="C8834" s="341" t="s">
        <v>9674</v>
      </c>
      <c r="D8834" s="343">
        <v>84.92</v>
      </c>
    </row>
    <row r="8835" spans="1:4" ht="38.25">
      <c r="A8835" s="341">
        <v>36782</v>
      </c>
      <c r="B8835" s="342" t="s">
        <v>9676</v>
      </c>
      <c r="C8835" s="341" t="s">
        <v>9674</v>
      </c>
      <c r="D8835" s="343">
        <v>101.37</v>
      </c>
    </row>
    <row r="8836" spans="1:4" ht="38.25">
      <c r="A8836" s="341">
        <v>25930</v>
      </c>
      <c r="B8836" s="342" t="s">
        <v>9677</v>
      </c>
      <c r="C8836" s="341" t="s">
        <v>9674</v>
      </c>
      <c r="D8836" s="343">
        <v>114.18</v>
      </c>
    </row>
    <row r="8837" spans="1:4" ht="38.25">
      <c r="A8837" s="341">
        <v>4824</v>
      </c>
      <c r="B8837" s="342" t="s">
        <v>9678</v>
      </c>
      <c r="C8837" s="341" t="s">
        <v>7338</v>
      </c>
      <c r="D8837" s="343">
        <v>0.41</v>
      </c>
    </row>
    <row r="8838" spans="1:4" ht="38.25">
      <c r="A8838" s="341">
        <v>11795</v>
      </c>
      <c r="B8838" s="342" t="s">
        <v>9679</v>
      </c>
      <c r="C8838" s="341" t="s">
        <v>7273</v>
      </c>
      <c r="D8838" s="343">
        <v>483.01</v>
      </c>
    </row>
    <row r="8839" spans="1:4">
      <c r="A8839" s="341">
        <v>134</v>
      </c>
      <c r="B8839" s="342" t="s">
        <v>9680</v>
      </c>
      <c r="C8839" s="341" t="s">
        <v>7338</v>
      </c>
      <c r="D8839" s="343">
        <v>1.5</v>
      </c>
    </row>
    <row r="8840" spans="1:4">
      <c r="A8840" s="341">
        <v>4229</v>
      </c>
      <c r="B8840" s="342" t="s">
        <v>9681</v>
      </c>
      <c r="C8840" s="341" t="s">
        <v>7338</v>
      </c>
      <c r="D8840" s="343">
        <v>16.440000000000001</v>
      </c>
    </row>
    <row r="8841" spans="1:4" ht="25.5">
      <c r="A8841" s="341">
        <v>37402</v>
      </c>
      <c r="B8841" s="342" t="s">
        <v>9682</v>
      </c>
      <c r="C8841" s="341" t="s">
        <v>7278</v>
      </c>
      <c r="D8841" s="343">
        <v>39.29</v>
      </c>
    </row>
    <row r="8842" spans="1:4" ht="25.5">
      <c r="A8842" s="341">
        <v>11244</v>
      </c>
      <c r="B8842" s="342" t="s">
        <v>9683</v>
      </c>
      <c r="C8842" s="341" t="s">
        <v>7278</v>
      </c>
      <c r="D8842" s="343">
        <v>176.23</v>
      </c>
    </row>
    <row r="8843" spans="1:4" ht="38.25">
      <c r="A8843" s="341">
        <v>11245</v>
      </c>
      <c r="B8843" s="342" t="s">
        <v>9684</v>
      </c>
      <c r="C8843" s="341" t="s">
        <v>7278</v>
      </c>
      <c r="D8843" s="343">
        <v>243.75</v>
      </c>
    </row>
    <row r="8844" spans="1:4" ht="25.5">
      <c r="A8844" s="341">
        <v>11235</v>
      </c>
      <c r="B8844" s="342" t="s">
        <v>9685</v>
      </c>
      <c r="C8844" s="341" t="s">
        <v>7278</v>
      </c>
      <c r="D8844" s="343">
        <v>134.47999999999999</v>
      </c>
    </row>
    <row r="8845" spans="1:4" ht="25.5">
      <c r="A8845" s="341">
        <v>11236</v>
      </c>
      <c r="B8845" s="342" t="s">
        <v>9686</v>
      </c>
      <c r="C8845" s="341" t="s">
        <v>7278</v>
      </c>
      <c r="D8845" s="343">
        <v>170.9</v>
      </c>
    </row>
    <row r="8846" spans="1:4">
      <c r="A8846" s="341">
        <v>11731</v>
      </c>
      <c r="B8846" s="342" t="s">
        <v>9687</v>
      </c>
      <c r="C8846" s="341" t="s">
        <v>7278</v>
      </c>
      <c r="D8846" s="343">
        <v>3.66</v>
      </c>
    </row>
    <row r="8847" spans="1:4">
      <c r="A8847" s="341">
        <v>11732</v>
      </c>
      <c r="B8847" s="342" t="s">
        <v>9688</v>
      </c>
      <c r="C8847" s="341" t="s">
        <v>7278</v>
      </c>
      <c r="D8847" s="343">
        <v>18.61</v>
      </c>
    </row>
    <row r="8848" spans="1:4" ht="25.5">
      <c r="A8848" s="341">
        <v>36494</v>
      </c>
      <c r="B8848" s="342" t="s">
        <v>9689</v>
      </c>
      <c r="C8848" s="341" t="s">
        <v>7278</v>
      </c>
      <c r="D8848" s="344">
        <v>340106.25</v>
      </c>
    </row>
    <row r="8849" spans="1:4" ht="25.5">
      <c r="A8849" s="341">
        <v>36493</v>
      </c>
      <c r="B8849" s="342" t="s">
        <v>9690</v>
      </c>
      <c r="C8849" s="341" t="s">
        <v>7278</v>
      </c>
      <c r="D8849" s="344">
        <v>385326.56</v>
      </c>
    </row>
    <row r="8850" spans="1:4" ht="25.5">
      <c r="A8850" s="341">
        <v>36492</v>
      </c>
      <c r="B8850" s="342" t="s">
        <v>9691</v>
      </c>
      <c r="C8850" s="341" t="s">
        <v>7278</v>
      </c>
      <c r="D8850" s="344">
        <v>715790.62</v>
      </c>
    </row>
    <row r="8851" spans="1:4" ht="38.25">
      <c r="A8851" s="341">
        <v>13333</v>
      </c>
      <c r="B8851" s="342" t="s">
        <v>9692</v>
      </c>
      <c r="C8851" s="341" t="s">
        <v>7278</v>
      </c>
      <c r="D8851" s="344">
        <v>104002.68</v>
      </c>
    </row>
    <row r="8852" spans="1:4" ht="38.25">
      <c r="A8852" s="341">
        <v>13533</v>
      </c>
      <c r="B8852" s="342" t="s">
        <v>9693</v>
      </c>
      <c r="C8852" s="341" t="s">
        <v>7278</v>
      </c>
      <c r="D8852" s="344">
        <v>92966.84</v>
      </c>
    </row>
    <row r="8853" spans="1:4" ht="38.25">
      <c r="A8853" s="341">
        <v>36499</v>
      </c>
      <c r="B8853" s="342" t="s">
        <v>9694</v>
      </c>
      <c r="C8853" s="341" t="s">
        <v>7278</v>
      </c>
      <c r="D8853" s="344">
        <v>2028.05</v>
      </c>
    </row>
    <row r="8854" spans="1:4" ht="51">
      <c r="A8854" s="341">
        <v>39585</v>
      </c>
      <c r="B8854" s="342" t="s">
        <v>9695</v>
      </c>
      <c r="C8854" s="341" t="s">
        <v>7278</v>
      </c>
      <c r="D8854" s="344">
        <v>67154.53</v>
      </c>
    </row>
    <row r="8855" spans="1:4" ht="51">
      <c r="A8855" s="341">
        <v>39586</v>
      </c>
      <c r="B8855" s="342" t="s">
        <v>9696</v>
      </c>
      <c r="C8855" s="341" t="s">
        <v>7278</v>
      </c>
      <c r="D8855" s="344">
        <v>78767.710000000006</v>
      </c>
    </row>
    <row r="8856" spans="1:4" ht="51">
      <c r="A8856" s="341">
        <v>39587</v>
      </c>
      <c r="B8856" s="342" t="s">
        <v>9697</v>
      </c>
      <c r="C8856" s="341" t="s">
        <v>7278</v>
      </c>
      <c r="D8856" s="344">
        <v>95935.039999999994</v>
      </c>
    </row>
    <row r="8857" spans="1:4" ht="51">
      <c r="A8857" s="341">
        <v>39588</v>
      </c>
      <c r="B8857" s="342" t="s">
        <v>9698</v>
      </c>
      <c r="C8857" s="341" t="s">
        <v>7278</v>
      </c>
      <c r="D8857" s="344">
        <v>111082.68</v>
      </c>
    </row>
    <row r="8858" spans="1:4" ht="51">
      <c r="A8858" s="341">
        <v>39584</v>
      </c>
      <c r="B8858" s="342" t="s">
        <v>9699</v>
      </c>
      <c r="C8858" s="341" t="s">
        <v>7278</v>
      </c>
      <c r="D8858" s="344">
        <v>59802.879999999997</v>
      </c>
    </row>
    <row r="8859" spans="1:4" ht="51">
      <c r="A8859" s="341">
        <v>39590</v>
      </c>
      <c r="B8859" s="342" t="s">
        <v>9700</v>
      </c>
      <c r="C8859" s="341" t="s">
        <v>7278</v>
      </c>
      <c r="D8859" s="344">
        <v>58368.9</v>
      </c>
    </row>
    <row r="8860" spans="1:4" ht="51">
      <c r="A8860" s="341">
        <v>39592</v>
      </c>
      <c r="B8860" s="342" t="s">
        <v>9701</v>
      </c>
      <c r="C8860" s="341" t="s">
        <v>7278</v>
      </c>
      <c r="D8860" s="344">
        <v>83877.52</v>
      </c>
    </row>
    <row r="8861" spans="1:4" ht="51">
      <c r="A8861" s="341">
        <v>39593</v>
      </c>
      <c r="B8861" s="342" t="s">
        <v>9702</v>
      </c>
      <c r="C8861" s="341" t="s">
        <v>7278</v>
      </c>
      <c r="D8861" s="344">
        <v>95935.039999999994</v>
      </c>
    </row>
    <row r="8862" spans="1:4" ht="51">
      <c r="A8862" s="341">
        <v>14254</v>
      </c>
      <c r="B8862" s="342" t="s">
        <v>9703</v>
      </c>
      <c r="C8862" s="341" t="s">
        <v>7278</v>
      </c>
      <c r="D8862" s="344">
        <v>54531.5</v>
      </c>
    </row>
    <row r="8863" spans="1:4" ht="25.5">
      <c r="A8863" s="341">
        <v>25987</v>
      </c>
      <c r="B8863" s="342" t="s">
        <v>9704</v>
      </c>
      <c r="C8863" s="341" t="s">
        <v>7278</v>
      </c>
      <c r="D8863" s="344">
        <v>45538.15</v>
      </c>
    </row>
    <row r="8864" spans="1:4" ht="25.5">
      <c r="A8864" s="341">
        <v>25019</v>
      </c>
      <c r="B8864" s="342" t="s">
        <v>9705</v>
      </c>
      <c r="C8864" s="341" t="s">
        <v>7278</v>
      </c>
      <c r="D8864" s="344">
        <v>78057.48</v>
      </c>
    </row>
    <row r="8865" spans="1:4" ht="25.5">
      <c r="A8865" s="341">
        <v>36501</v>
      </c>
      <c r="B8865" s="342" t="s">
        <v>9706</v>
      </c>
      <c r="C8865" s="341" t="s">
        <v>7278</v>
      </c>
      <c r="D8865" s="344">
        <v>69498.06</v>
      </c>
    </row>
    <row r="8866" spans="1:4" ht="25.5">
      <c r="A8866" s="341">
        <v>25986</v>
      </c>
      <c r="B8866" s="342" t="s">
        <v>9707</v>
      </c>
      <c r="C8866" s="341" t="s">
        <v>7278</v>
      </c>
      <c r="D8866" s="344">
        <v>83549.98</v>
      </c>
    </row>
    <row r="8867" spans="1:4" ht="25.5">
      <c r="A8867" s="341">
        <v>36500</v>
      </c>
      <c r="B8867" s="342" t="s">
        <v>9708</v>
      </c>
      <c r="C8867" s="341" t="s">
        <v>7278</v>
      </c>
      <c r="D8867" s="344">
        <v>49112.38</v>
      </c>
    </row>
    <row r="8868" spans="1:4" ht="51">
      <c r="A8868" s="341">
        <v>20017</v>
      </c>
      <c r="B8868" s="342" t="s">
        <v>9709</v>
      </c>
      <c r="C8868" s="341" t="s">
        <v>7287</v>
      </c>
      <c r="D8868" s="343">
        <v>2.69</v>
      </c>
    </row>
    <row r="8869" spans="1:4" ht="38.25">
      <c r="A8869" s="341">
        <v>20007</v>
      </c>
      <c r="B8869" s="342" t="s">
        <v>9710</v>
      </c>
      <c r="C8869" s="341" t="s">
        <v>7287</v>
      </c>
      <c r="D8869" s="343">
        <v>2.06</v>
      </c>
    </row>
    <row r="8870" spans="1:4" ht="51">
      <c r="A8870" s="341">
        <v>39836</v>
      </c>
      <c r="B8870" s="342" t="s">
        <v>9711</v>
      </c>
      <c r="C8870" s="341" t="s">
        <v>7773</v>
      </c>
      <c r="D8870" s="343">
        <v>118.36</v>
      </c>
    </row>
    <row r="8871" spans="1:4" ht="25.5">
      <c r="A8871" s="341">
        <v>39830</v>
      </c>
      <c r="B8871" s="342" t="s">
        <v>9712</v>
      </c>
      <c r="C8871" s="341" t="s">
        <v>7773</v>
      </c>
      <c r="D8871" s="343">
        <v>134.99</v>
      </c>
    </row>
    <row r="8872" spans="1:4" ht="25.5">
      <c r="A8872" s="341">
        <v>39831</v>
      </c>
      <c r="B8872" s="342" t="s">
        <v>9713</v>
      </c>
      <c r="C8872" s="341" t="s">
        <v>7773</v>
      </c>
      <c r="D8872" s="343">
        <v>134.69999999999999</v>
      </c>
    </row>
    <row r="8873" spans="1:4" ht="38.25">
      <c r="A8873" s="341">
        <v>36888</v>
      </c>
      <c r="B8873" s="342" t="s">
        <v>9714</v>
      </c>
      <c r="C8873" s="341" t="s">
        <v>7287</v>
      </c>
      <c r="D8873" s="343">
        <v>12.67</v>
      </c>
    </row>
    <row r="8874" spans="1:4" ht="38.25">
      <c r="A8874" s="341">
        <v>40527</v>
      </c>
      <c r="B8874" s="342" t="s">
        <v>9715</v>
      </c>
      <c r="C8874" s="341" t="s">
        <v>7278</v>
      </c>
      <c r="D8874" s="344">
        <v>2153</v>
      </c>
    </row>
    <row r="8875" spans="1:4" ht="38.25">
      <c r="A8875" s="341">
        <v>36497</v>
      </c>
      <c r="B8875" s="342" t="s">
        <v>9716</v>
      </c>
      <c r="C8875" s="341" t="s">
        <v>7278</v>
      </c>
      <c r="D8875" s="344">
        <v>2457.89</v>
      </c>
    </row>
    <row r="8876" spans="1:4" ht="38.25">
      <c r="A8876" s="341">
        <v>36487</v>
      </c>
      <c r="B8876" s="342" t="s">
        <v>9717</v>
      </c>
      <c r="C8876" s="341" t="s">
        <v>7278</v>
      </c>
      <c r="D8876" s="344">
        <v>4279.5600000000004</v>
      </c>
    </row>
    <row r="8877" spans="1:4" ht="38.25">
      <c r="A8877" s="341">
        <v>25952</v>
      </c>
      <c r="B8877" s="342" t="s">
        <v>9718</v>
      </c>
      <c r="C8877" s="341" t="s">
        <v>7278</v>
      </c>
      <c r="D8877" s="344">
        <v>594728.06000000006</v>
      </c>
    </row>
    <row r="8878" spans="1:4" ht="38.25">
      <c r="A8878" s="341">
        <v>25954</v>
      </c>
      <c r="B8878" s="342" t="s">
        <v>9719</v>
      </c>
      <c r="C8878" s="341" t="s">
        <v>7278</v>
      </c>
      <c r="D8878" s="344">
        <v>1143707.81</v>
      </c>
    </row>
    <row r="8879" spans="1:4" ht="38.25">
      <c r="A8879" s="341">
        <v>25953</v>
      </c>
      <c r="B8879" s="342" t="s">
        <v>9720</v>
      </c>
      <c r="C8879" s="341" t="s">
        <v>7278</v>
      </c>
      <c r="D8879" s="344">
        <v>1944303.27</v>
      </c>
    </row>
    <row r="8880" spans="1:4" ht="76.5">
      <c r="A8880" s="341">
        <v>37776</v>
      </c>
      <c r="B8880" s="342" t="s">
        <v>9721</v>
      </c>
      <c r="C8880" s="341" t="s">
        <v>7278</v>
      </c>
      <c r="D8880" s="344">
        <v>119160.94</v>
      </c>
    </row>
    <row r="8881" spans="1:4" ht="76.5">
      <c r="A8881" s="341">
        <v>37775</v>
      </c>
      <c r="B8881" s="342" t="s">
        <v>9722</v>
      </c>
      <c r="C8881" s="341" t="s">
        <v>7278</v>
      </c>
      <c r="D8881" s="344">
        <v>187687.5</v>
      </c>
    </row>
    <row r="8882" spans="1:4" ht="76.5">
      <c r="A8882" s="341">
        <v>36491</v>
      </c>
      <c r="B8882" s="342" t="s">
        <v>9723</v>
      </c>
      <c r="C8882" s="341" t="s">
        <v>7278</v>
      </c>
      <c r="D8882" s="344">
        <v>695062.5</v>
      </c>
    </row>
    <row r="8883" spans="1:4" ht="76.5">
      <c r="A8883" s="341">
        <v>10712</v>
      </c>
      <c r="B8883" s="342" t="s">
        <v>9724</v>
      </c>
      <c r="C8883" s="341" t="s">
        <v>7278</v>
      </c>
      <c r="D8883" s="344">
        <v>46921.87</v>
      </c>
    </row>
    <row r="8884" spans="1:4" ht="76.5">
      <c r="A8884" s="341">
        <v>3363</v>
      </c>
      <c r="B8884" s="342" t="s">
        <v>9725</v>
      </c>
      <c r="C8884" s="341" t="s">
        <v>7278</v>
      </c>
      <c r="D8884" s="344">
        <v>66000</v>
      </c>
    </row>
    <row r="8885" spans="1:4" ht="76.5">
      <c r="A8885" s="341">
        <v>3365</v>
      </c>
      <c r="B8885" s="342" t="s">
        <v>9726</v>
      </c>
      <c r="C8885" s="341" t="s">
        <v>7278</v>
      </c>
      <c r="D8885" s="344">
        <v>154275</v>
      </c>
    </row>
    <row r="8886" spans="1:4" ht="25.5">
      <c r="A8886" s="341">
        <v>7569</v>
      </c>
      <c r="B8886" s="342" t="s">
        <v>9727</v>
      </c>
      <c r="C8886" s="341" t="s">
        <v>7278</v>
      </c>
      <c r="D8886" s="343">
        <v>40.36</v>
      </c>
    </row>
    <row r="8887" spans="1:4" ht="25.5">
      <c r="A8887" s="341">
        <v>34349</v>
      </c>
      <c r="B8887" s="342" t="s">
        <v>9728</v>
      </c>
      <c r="C8887" s="341" t="s">
        <v>7278</v>
      </c>
      <c r="D8887" s="343">
        <v>12.25</v>
      </c>
    </row>
    <row r="8888" spans="1:4" ht="38.25">
      <c r="A8888" s="341">
        <v>11991</v>
      </c>
      <c r="B8888" s="342" t="s">
        <v>9729</v>
      </c>
      <c r="C8888" s="341" t="s">
        <v>7278</v>
      </c>
      <c r="D8888" s="343">
        <v>38.950000000000003</v>
      </c>
    </row>
    <row r="8889" spans="1:4" ht="25.5">
      <c r="A8889" s="341">
        <v>20062</v>
      </c>
      <c r="B8889" s="342" t="s">
        <v>9730</v>
      </c>
      <c r="C8889" s="341" t="s">
        <v>7278</v>
      </c>
      <c r="D8889" s="343">
        <v>13.63</v>
      </c>
    </row>
    <row r="8890" spans="1:4" ht="51">
      <c r="A8890" s="341">
        <v>11029</v>
      </c>
      <c r="B8890" s="342" t="s">
        <v>9731</v>
      </c>
      <c r="C8890" s="341" t="s">
        <v>8783</v>
      </c>
      <c r="D8890" s="343">
        <v>1.1100000000000001</v>
      </c>
    </row>
    <row r="8891" spans="1:4" ht="51">
      <c r="A8891" s="341">
        <v>4316</v>
      </c>
      <c r="B8891" s="342" t="s">
        <v>9732</v>
      </c>
      <c r="C8891" s="341" t="s">
        <v>7278</v>
      </c>
      <c r="D8891" s="343">
        <v>1.1200000000000001</v>
      </c>
    </row>
    <row r="8892" spans="1:4" ht="51">
      <c r="A8892" s="341">
        <v>4313</v>
      </c>
      <c r="B8892" s="342" t="s">
        <v>9733</v>
      </c>
      <c r="C8892" s="341" t="s">
        <v>8783</v>
      </c>
      <c r="D8892" s="343">
        <v>1.61</v>
      </c>
    </row>
    <row r="8893" spans="1:4" ht="51">
      <c r="A8893" s="341">
        <v>4317</v>
      </c>
      <c r="B8893" s="342" t="s">
        <v>9734</v>
      </c>
      <c r="C8893" s="341" t="s">
        <v>7278</v>
      </c>
      <c r="D8893" s="343">
        <v>1.84</v>
      </c>
    </row>
    <row r="8894" spans="1:4" ht="51">
      <c r="A8894" s="341">
        <v>4314</v>
      </c>
      <c r="B8894" s="342" t="s">
        <v>9735</v>
      </c>
      <c r="C8894" s="341" t="s">
        <v>8783</v>
      </c>
      <c r="D8894" s="343">
        <v>2.15</v>
      </c>
    </row>
    <row r="8895" spans="1:4">
      <c r="A8895" s="341">
        <v>10561</v>
      </c>
      <c r="B8895" s="342" t="s">
        <v>9736</v>
      </c>
      <c r="C8895" s="341" t="s">
        <v>7338</v>
      </c>
      <c r="D8895" s="343">
        <v>1.47</v>
      </c>
    </row>
    <row r="8896" spans="1:4" ht="51">
      <c r="A8896" s="341">
        <v>10921</v>
      </c>
      <c r="B8896" s="342" t="s">
        <v>9737</v>
      </c>
      <c r="C8896" s="341" t="s">
        <v>7278</v>
      </c>
      <c r="D8896" s="344">
        <v>2820</v>
      </c>
    </row>
    <row r="8897" spans="1:4" ht="51">
      <c r="A8897" s="341">
        <v>10922</v>
      </c>
      <c r="B8897" s="342" t="s">
        <v>9738</v>
      </c>
      <c r="C8897" s="341" t="s">
        <v>7278</v>
      </c>
      <c r="D8897" s="344">
        <v>2554.2800000000002</v>
      </c>
    </row>
    <row r="8898" spans="1:4" ht="25.5">
      <c r="A8898" s="341">
        <v>10923</v>
      </c>
      <c r="B8898" s="342" t="s">
        <v>9739</v>
      </c>
      <c r="C8898" s="341" t="s">
        <v>7278</v>
      </c>
      <c r="D8898" s="344">
        <v>1509.69</v>
      </c>
    </row>
    <row r="8899" spans="1:4" ht="25.5">
      <c r="A8899" s="341">
        <v>10924</v>
      </c>
      <c r="B8899" s="342" t="s">
        <v>9740</v>
      </c>
      <c r="C8899" s="341" t="s">
        <v>7278</v>
      </c>
      <c r="D8899" s="344">
        <v>1589.99</v>
      </c>
    </row>
    <row r="8900" spans="1:4" ht="51">
      <c r="A8900" s="341">
        <v>37772</v>
      </c>
      <c r="B8900" s="342" t="s">
        <v>9741</v>
      </c>
      <c r="C8900" s="341" t="s">
        <v>7278</v>
      </c>
      <c r="D8900" s="344">
        <v>81389.539999999994</v>
      </c>
    </row>
    <row r="8901" spans="1:4" ht="63.75">
      <c r="A8901" s="341">
        <v>37771</v>
      </c>
      <c r="B8901" s="342" t="s">
        <v>9742</v>
      </c>
      <c r="C8901" s="341" t="s">
        <v>7278</v>
      </c>
      <c r="D8901" s="344">
        <v>86585.51</v>
      </c>
    </row>
    <row r="8902" spans="1:4" ht="25.5">
      <c r="A8902" s="341">
        <v>12770</v>
      </c>
      <c r="B8902" s="342" t="s">
        <v>9743</v>
      </c>
      <c r="C8902" s="341" t="s">
        <v>7278</v>
      </c>
      <c r="D8902" s="343">
        <v>397.28</v>
      </c>
    </row>
    <row r="8903" spans="1:4" ht="25.5">
      <c r="A8903" s="341">
        <v>12772</v>
      </c>
      <c r="B8903" s="342" t="s">
        <v>9744</v>
      </c>
      <c r="C8903" s="341" t="s">
        <v>7278</v>
      </c>
      <c r="D8903" s="343">
        <v>660.27</v>
      </c>
    </row>
    <row r="8904" spans="1:4" ht="25.5">
      <c r="A8904" s="341">
        <v>12768</v>
      </c>
      <c r="B8904" s="342" t="s">
        <v>9745</v>
      </c>
      <c r="C8904" s="341" t="s">
        <v>7278</v>
      </c>
      <c r="D8904" s="343">
        <v>928.86</v>
      </c>
    </row>
    <row r="8905" spans="1:4" ht="25.5">
      <c r="A8905" s="341">
        <v>12775</v>
      </c>
      <c r="B8905" s="342" t="s">
        <v>9746</v>
      </c>
      <c r="C8905" s="341" t="s">
        <v>7278</v>
      </c>
      <c r="D8905" s="343">
        <v>290.97000000000003</v>
      </c>
    </row>
    <row r="8906" spans="1:4" ht="25.5">
      <c r="A8906" s="341">
        <v>12769</v>
      </c>
      <c r="B8906" s="342" t="s">
        <v>9747</v>
      </c>
      <c r="C8906" s="341" t="s">
        <v>7278</v>
      </c>
      <c r="D8906" s="343">
        <v>76.099999999999994</v>
      </c>
    </row>
    <row r="8907" spans="1:4" ht="25.5">
      <c r="A8907" s="341">
        <v>12773</v>
      </c>
      <c r="B8907" s="342" t="s">
        <v>9748</v>
      </c>
      <c r="C8907" s="341" t="s">
        <v>7278</v>
      </c>
      <c r="D8907" s="343">
        <v>81.69</v>
      </c>
    </row>
    <row r="8908" spans="1:4" ht="25.5">
      <c r="A8908" s="341">
        <v>12774</v>
      </c>
      <c r="B8908" s="342" t="s">
        <v>9749</v>
      </c>
      <c r="C8908" s="341" t="s">
        <v>7278</v>
      </c>
      <c r="D8908" s="343">
        <v>100.72</v>
      </c>
    </row>
    <row r="8909" spans="1:4" ht="25.5">
      <c r="A8909" s="341">
        <v>12776</v>
      </c>
      <c r="B8909" s="342" t="s">
        <v>9750</v>
      </c>
      <c r="C8909" s="341" t="s">
        <v>7278</v>
      </c>
      <c r="D8909" s="344">
        <v>1499.61</v>
      </c>
    </row>
    <row r="8910" spans="1:4" ht="25.5">
      <c r="A8910" s="341">
        <v>12777</v>
      </c>
      <c r="B8910" s="342" t="s">
        <v>9751</v>
      </c>
      <c r="C8910" s="341" t="s">
        <v>7278</v>
      </c>
      <c r="D8910" s="344">
        <v>1958.45</v>
      </c>
    </row>
    <row r="8911" spans="1:4" ht="38.25">
      <c r="A8911" s="341">
        <v>3391</v>
      </c>
      <c r="B8911" s="342" t="s">
        <v>9752</v>
      </c>
      <c r="C8911" s="341" t="s">
        <v>7278</v>
      </c>
      <c r="D8911" s="343">
        <v>44.87</v>
      </c>
    </row>
    <row r="8912" spans="1:4" ht="38.25">
      <c r="A8912" s="341">
        <v>3389</v>
      </c>
      <c r="B8912" s="342" t="s">
        <v>9753</v>
      </c>
      <c r="C8912" s="341" t="s">
        <v>7278</v>
      </c>
      <c r="D8912" s="343">
        <v>23.28</v>
      </c>
    </row>
    <row r="8913" spans="1:4" ht="38.25">
      <c r="A8913" s="341">
        <v>3390</v>
      </c>
      <c r="B8913" s="342" t="s">
        <v>9754</v>
      </c>
      <c r="C8913" s="341" t="s">
        <v>7278</v>
      </c>
      <c r="D8913" s="343">
        <v>26.2</v>
      </c>
    </row>
    <row r="8914" spans="1:4">
      <c r="A8914" s="341">
        <v>12873</v>
      </c>
      <c r="B8914" s="342" t="s">
        <v>9755</v>
      </c>
      <c r="C8914" s="341" t="s">
        <v>7275</v>
      </c>
      <c r="D8914" s="343">
        <v>13.44</v>
      </c>
    </row>
    <row r="8915" spans="1:4">
      <c r="A8915" s="341">
        <v>41076</v>
      </c>
      <c r="B8915" s="342" t="s">
        <v>9756</v>
      </c>
      <c r="C8915" s="341" t="s">
        <v>7466</v>
      </c>
      <c r="D8915" s="344">
        <v>2370.19</v>
      </c>
    </row>
    <row r="8916" spans="1:4" ht="25.5">
      <c r="A8916" s="341">
        <v>140</v>
      </c>
      <c r="B8916" s="342" t="s">
        <v>9757</v>
      </c>
      <c r="C8916" s="341" t="s">
        <v>7338</v>
      </c>
      <c r="D8916" s="343">
        <v>14.86</v>
      </c>
    </row>
    <row r="8917" spans="1:4" ht="38.25">
      <c r="A8917" s="341">
        <v>151</v>
      </c>
      <c r="B8917" s="342" t="s">
        <v>9758</v>
      </c>
      <c r="C8917" s="341" t="s">
        <v>7340</v>
      </c>
      <c r="D8917" s="343">
        <v>18.690000000000001</v>
      </c>
    </row>
    <row r="8918" spans="1:4">
      <c r="A8918" s="341">
        <v>7340</v>
      </c>
      <c r="B8918" s="342" t="s">
        <v>9759</v>
      </c>
      <c r="C8918" s="341" t="s">
        <v>7340</v>
      </c>
      <c r="D8918" s="343">
        <v>22.68</v>
      </c>
    </row>
    <row r="8919" spans="1:4" ht="25.5">
      <c r="A8919" s="341">
        <v>2701</v>
      </c>
      <c r="B8919" s="342" t="s">
        <v>9760</v>
      </c>
      <c r="C8919" s="341" t="s">
        <v>7275</v>
      </c>
      <c r="D8919" s="343">
        <v>9.74</v>
      </c>
    </row>
    <row r="8920" spans="1:4" ht="25.5">
      <c r="A8920" s="341">
        <v>40929</v>
      </c>
      <c r="B8920" s="342" t="s">
        <v>9761</v>
      </c>
      <c r="C8920" s="341" t="s">
        <v>7466</v>
      </c>
      <c r="D8920" s="344">
        <v>1718.32</v>
      </c>
    </row>
    <row r="8921" spans="1:4" ht="25.5">
      <c r="A8921" s="341">
        <v>38114</v>
      </c>
      <c r="B8921" s="342" t="s">
        <v>9762</v>
      </c>
      <c r="C8921" s="341" t="s">
        <v>7278</v>
      </c>
      <c r="D8921" s="343">
        <v>10.27</v>
      </c>
    </row>
    <row r="8922" spans="1:4" ht="38.25">
      <c r="A8922" s="341">
        <v>38064</v>
      </c>
      <c r="B8922" s="342" t="s">
        <v>9763</v>
      </c>
      <c r="C8922" s="341" t="s">
        <v>7278</v>
      </c>
      <c r="D8922" s="343">
        <v>11.48</v>
      </c>
    </row>
    <row r="8923" spans="1:4" ht="25.5">
      <c r="A8923" s="341">
        <v>38115</v>
      </c>
      <c r="B8923" s="342" t="s">
        <v>9764</v>
      </c>
      <c r="C8923" s="341" t="s">
        <v>7278</v>
      </c>
      <c r="D8923" s="343">
        <v>10.96</v>
      </c>
    </row>
    <row r="8924" spans="1:4" ht="38.25">
      <c r="A8924" s="341">
        <v>38065</v>
      </c>
      <c r="B8924" s="342" t="s">
        <v>9765</v>
      </c>
      <c r="C8924" s="341" t="s">
        <v>7278</v>
      </c>
      <c r="D8924" s="343">
        <v>16.29</v>
      </c>
    </row>
    <row r="8925" spans="1:4" ht="38.25">
      <c r="A8925" s="341">
        <v>38078</v>
      </c>
      <c r="B8925" s="342" t="s">
        <v>9766</v>
      </c>
      <c r="C8925" s="341" t="s">
        <v>7278</v>
      </c>
      <c r="D8925" s="343">
        <v>9.5</v>
      </c>
    </row>
    <row r="8926" spans="1:4" ht="25.5">
      <c r="A8926" s="341">
        <v>38113</v>
      </c>
      <c r="B8926" s="342" t="s">
        <v>9767</v>
      </c>
      <c r="C8926" s="341" t="s">
        <v>7278</v>
      </c>
      <c r="D8926" s="343">
        <v>5.16</v>
      </c>
    </row>
    <row r="8927" spans="1:4" ht="38.25">
      <c r="A8927" s="341">
        <v>38063</v>
      </c>
      <c r="B8927" s="342" t="s">
        <v>9768</v>
      </c>
      <c r="C8927" s="341" t="s">
        <v>7278</v>
      </c>
      <c r="D8927" s="343">
        <v>5.54</v>
      </c>
    </row>
    <row r="8928" spans="1:4" ht="51">
      <c r="A8928" s="341">
        <v>38080</v>
      </c>
      <c r="B8928" s="342" t="s">
        <v>9769</v>
      </c>
      <c r="C8928" s="341" t="s">
        <v>7278</v>
      </c>
      <c r="D8928" s="343">
        <v>16.5</v>
      </c>
    </row>
    <row r="8929" spans="1:4" ht="51">
      <c r="A8929" s="341">
        <v>38069</v>
      </c>
      <c r="B8929" s="342" t="s">
        <v>9770</v>
      </c>
      <c r="C8929" s="341" t="s">
        <v>7278</v>
      </c>
      <c r="D8929" s="343">
        <v>9.02</v>
      </c>
    </row>
    <row r="8930" spans="1:4" ht="38.25">
      <c r="A8930" s="341">
        <v>38077</v>
      </c>
      <c r="B8930" s="342" t="s">
        <v>9771</v>
      </c>
      <c r="C8930" s="341" t="s">
        <v>7278</v>
      </c>
      <c r="D8930" s="343">
        <v>8.82</v>
      </c>
    </row>
    <row r="8931" spans="1:4" ht="51">
      <c r="A8931" s="341">
        <v>38073</v>
      </c>
      <c r="B8931" s="342" t="s">
        <v>9772</v>
      </c>
      <c r="C8931" s="341" t="s">
        <v>7278</v>
      </c>
      <c r="D8931" s="343">
        <v>13.44</v>
      </c>
    </row>
    <row r="8932" spans="1:4" ht="25.5">
      <c r="A8932" s="341">
        <v>38112</v>
      </c>
      <c r="B8932" s="342" t="s">
        <v>9773</v>
      </c>
      <c r="C8932" s="341" t="s">
        <v>7278</v>
      </c>
      <c r="D8932" s="343">
        <v>3.96</v>
      </c>
    </row>
    <row r="8933" spans="1:4" ht="38.25">
      <c r="A8933" s="341">
        <v>38062</v>
      </c>
      <c r="B8933" s="342" t="s">
        <v>9774</v>
      </c>
      <c r="C8933" s="341" t="s">
        <v>7278</v>
      </c>
      <c r="D8933" s="343">
        <v>4.07</v>
      </c>
    </row>
    <row r="8934" spans="1:4" ht="38.25">
      <c r="A8934" s="341">
        <v>12128</v>
      </c>
      <c r="B8934" s="342" t="s">
        <v>9775</v>
      </c>
      <c r="C8934" s="341" t="s">
        <v>7278</v>
      </c>
      <c r="D8934" s="343">
        <v>5.44</v>
      </c>
    </row>
    <row r="8935" spans="1:4" ht="38.25">
      <c r="A8935" s="341">
        <v>12129</v>
      </c>
      <c r="B8935" s="342" t="s">
        <v>9776</v>
      </c>
      <c r="C8935" s="341" t="s">
        <v>7278</v>
      </c>
      <c r="D8935" s="343">
        <v>7.18</v>
      </c>
    </row>
    <row r="8936" spans="1:4" ht="51">
      <c r="A8936" s="341">
        <v>38081</v>
      </c>
      <c r="B8936" s="342" t="s">
        <v>9777</v>
      </c>
      <c r="C8936" s="341" t="s">
        <v>7278</v>
      </c>
      <c r="D8936" s="343">
        <v>14</v>
      </c>
    </row>
    <row r="8937" spans="1:4" ht="38.25">
      <c r="A8937" s="341">
        <v>38070</v>
      </c>
      <c r="B8937" s="342" t="s">
        <v>9778</v>
      </c>
      <c r="C8937" s="341" t="s">
        <v>7278</v>
      </c>
      <c r="D8937" s="343">
        <v>9.64</v>
      </c>
    </row>
    <row r="8938" spans="1:4" ht="38.25">
      <c r="A8938" s="341">
        <v>38074</v>
      </c>
      <c r="B8938" s="342" t="s">
        <v>9779</v>
      </c>
      <c r="C8938" s="341" t="s">
        <v>7278</v>
      </c>
      <c r="D8938" s="343">
        <v>14.67</v>
      </c>
    </row>
    <row r="8939" spans="1:4" ht="51">
      <c r="A8939" s="341">
        <v>38079</v>
      </c>
      <c r="B8939" s="342" t="s">
        <v>9780</v>
      </c>
      <c r="C8939" s="341" t="s">
        <v>7278</v>
      </c>
      <c r="D8939" s="343">
        <v>12.59</v>
      </c>
    </row>
    <row r="8940" spans="1:4" ht="51">
      <c r="A8940" s="341">
        <v>38072</v>
      </c>
      <c r="B8940" s="342" t="s">
        <v>9781</v>
      </c>
      <c r="C8940" s="341" t="s">
        <v>7278</v>
      </c>
      <c r="D8940" s="343">
        <v>12.1</v>
      </c>
    </row>
    <row r="8941" spans="1:4" ht="38.25">
      <c r="A8941" s="341">
        <v>38068</v>
      </c>
      <c r="B8941" s="342" t="s">
        <v>9782</v>
      </c>
      <c r="C8941" s="341" t="s">
        <v>7278</v>
      </c>
      <c r="D8941" s="343">
        <v>8.35</v>
      </c>
    </row>
    <row r="8942" spans="1:4" ht="38.25">
      <c r="A8942" s="341">
        <v>38071</v>
      </c>
      <c r="B8942" s="342" t="s">
        <v>9783</v>
      </c>
      <c r="C8942" s="341" t="s">
        <v>7278</v>
      </c>
      <c r="D8942" s="343">
        <v>9.98</v>
      </c>
    </row>
    <row r="8943" spans="1:4" ht="51">
      <c r="A8943" s="341">
        <v>38412</v>
      </c>
      <c r="B8943" s="342" t="s">
        <v>9784</v>
      </c>
      <c r="C8943" s="341" t="s">
        <v>7278</v>
      </c>
      <c r="D8943" s="343">
        <v>944.76</v>
      </c>
    </row>
    <row r="8944" spans="1:4" ht="38.25">
      <c r="A8944" s="341">
        <v>3405</v>
      </c>
      <c r="B8944" s="342" t="s">
        <v>9785</v>
      </c>
      <c r="C8944" s="341" t="s">
        <v>7278</v>
      </c>
      <c r="D8944" s="343">
        <v>67.23</v>
      </c>
    </row>
    <row r="8945" spans="1:4" ht="25.5">
      <c r="A8945" s="341">
        <v>3394</v>
      </c>
      <c r="B8945" s="342" t="s">
        <v>9786</v>
      </c>
      <c r="C8945" s="341" t="s">
        <v>7278</v>
      </c>
      <c r="D8945" s="343">
        <v>354.91</v>
      </c>
    </row>
    <row r="8946" spans="1:4" ht="25.5">
      <c r="A8946" s="341">
        <v>3393</v>
      </c>
      <c r="B8946" s="342" t="s">
        <v>9787</v>
      </c>
      <c r="C8946" s="341" t="s">
        <v>7278</v>
      </c>
      <c r="D8946" s="343">
        <v>604.27</v>
      </c>
    </row>
    <row r="8947" spans="1:4" ht="25.5">
      <c r="A8947" s="341">
        <v>3406</v>
      </c>
      <c r="B8947" s="342" t="s">
        <v>9788</v>
      </c>
      <c r="C8947" s="341" t="s">
        <v>7278</v>
      </c>
      <c r="D8947" s="343">
        <v>20.58</v>
      </c>
    </row>
    <row r="8948" spans="1:4" ht="25.5">
      <c r="A8948" s="341">
        <v>3395</v>
      </c>
      <c r="B8948" s="342" t="s">
        <v>9789</v>
      </c>
      <c r="C8948" s="341" t="s">
        <v>7278</v>
      </c>
      <c r="D8948" s="343">
        <v>86.81</v>
      </c>
    </row>
    <row r="8949" spans="1:4" ht="38.25">
      <c r="A8949" s="341">
        <v>3398</v>
      </c>
      <c r="B8949" s="342" t="s">
        <v>9790</v>
      </c>
      <c r="C8949" s="341" t="s">
        <v>7278</v>
      </c>
      <c r="D8949" s="343">
        <v>4.12</v>
      </c>
    </row>
    <row r="8950" spans="1:4" ht="51">
      <c r="A8950" s="341">
        <v>34379</v>
      </c>
      <c r="B8950" s="342" t="s">
        <v>9791</v>
      </c>
      <c r="C8950" s="341" t="s">
        <v>7278</v>
      </c>
      <c r="D8950" s="343">
        <v>386.48</v>
      </c>
    </row>
    <row r="8951" spans="1:4" ht="51">
      <c r="A8951" s="341">
        <v>34378</v>
      </c>
      <c r="B8951" s="342" t="s">
        <v>9792</v>
      </c>
      <c r="C8951" s="341" t="s">
        <v>7278</v>
      </c>
      <c r="D8951" s="343">
        <v>311.29000000000002</v>
      </c>
    </row>
    <row r="8952" spans="1:4" ht="51">
      <c r="A8952" s="341">
        <v>34377</v>
      </c>
      <c r="B8952" s="342" t="s">
        <v>9793</v>
      </c>
      <c r="C8952" s="341" t="s">
        <v>7278</v>
      </c>
      <c r="D8952" s="343">
        <v>287.08</v>
      </c>
    </row>
    <row r="8953" spans="1:4" ht="38.25">
      <c r="A8953" s="341">
        <v>581</v>
      </c>
      <c r="B8953" s="342" t="s">
        <v>9794</v>
      </c>
      <c r="C8953" s="341" t="s">
        <v>7273</v>
      </c>
      <c r="D8953" s="343">
        <v>545.25</v>
      </c>
    </row>
    <row r="8954" spans="1:4" ht="76.5">
      <c r="A8954" s="341">
        <v>40662</v>
      </c>
      <c r="B8954" s="342" t="s">
        <v>9795</v>
      </c>
      <c r="C8954" s="341" t="s">
        <v>7278</v>
      </c>
      <c r="D8954" s="343">
        <v>122.24</v>
      </c>
    </row>
    <row r="8955" spans="1:4" ht="76.5">
      <c r="A8955" s="341">
        <v>3437</v>
      </c>
      <c r="B8955" s="342" t="s">
        <v>9796</v>
      </c>
      <c r="C8955" s="341" t="s">
        <v>7273</v>
      </c>
      <c r="D8955" s="343">
        <v>339.56</v>
      </c>
    </row>
    <row r="8956" spans="1:4" ht="38.25">
      <c r="A8956" s="341">
        <v>11183</v>
      </c>
      <c r="B8956" s="342" t="s">
        <v>9797</v>
      </c>
      <c r="C8956" s="341" t="s">
        <v>7278</v>
      </c>
      <c r="D8956" s="343">
        <v>226.13</v>
      </c>
    </row>
    <row r="8957" spans="1:4" ht="25.5">
      <c r="A8957" s="341">
        <v>11190</v>
      </c>
      <c r="B8957" s="342" t="s">
        <v>9798</v>
      </c>
      <c r="C8957" s="341" t="s">
        <v>7278</v>
      </c>
      <c r="D8957" s="343">
        <v>104.9</v>
      </c>
    </row>
    <row r="8958" spans="1:4" ht="25.5">
      <c r="A8958" s="341">
        <v>616</v>
      </c>
      <c r="B8958" s="342" t="s">
        <v>9799</v>
      </c>
      <c r="C8958" s="341" t="s">
        <v>7278</v>
      </c>
      <c r="D8958" s="343">
        <v>123.37</v>
      </c>
    </row>
    <row r="8959" spans="1:4" ht="25.5">
      <c r="A8959" s="341">
        <v>615</v>
      </c>
      <c r="B8959" s="342" t="s">
        <v>9799</v>
      </c>
      <c r="C8959" s="341" t="s">
        <v>7273</v>
      </c>
      <c r="D8959" s="343">
        <v>257.02</v>
      </c>
    </row>
    <row r="8960" spans="1:4" ht="25.5">
      <c r="A8960" s="341">
        <v>11192</v>
      </c>
      <c r="B8960" s="342" t="s">
        <v>9800</v>
      </c>
      <c r="C8960" s="341" t="s">
        <v>7278</v>
      </c>
      <c r="D8960" s="343">
        <v>193.01</v>
      </c>
    </row>
    <row r="8961" spans="1:4" ht="25.5">
      <c r="A8961" s="341">
        <v>11231</v>
      </c>
      <c r="B8961" s="342" t="s">
        <v>9800</v>
      </c>
      <c r="C8961" s="341" t="s">
        <v>7273</v>
      </c>
      <c r="D8961" s="343">
        <v>301.57</v>
      </c>
    </row>
    <row r="8962" spans="1:4" ht="89.25">
      <c r="A8962" s="341">
        <v>3428</v>
      </c>
      <c r="B8962" s="342" t="s">
        <v>9801</v>
      </c>
      <c r="C8962" s="341" t="s">
        <v>7273</v>
      </c>
      <c r="D8962" s="343">
        <v>503.69</v>
      </c>
    </row>
    <row r="8963" spans="1:4" ht="89.25">
      <c r="A8963" s="341">
        <v>3429</v>
      </c>
      <c r="B8963" s="342" t="s">
        <v>9802</v>
      </c>
      <c r="C8963" s="341" t="s">
        <v>7273</v>
      </c>
      <c r="D8963" s="343">
        <v>287.77999999999997</v>
      </c>
    </row>
    <row r="8964" spans="1:4" ht="63.75">
      <c r="A8964" s="341">
        <v>34371</v>
      </c>
      <c r="B8964" s="342" t="s">
        <v>9803</v>
      </c>
      <c r="C8964" s="341" t="s">
        <v>7278</v>
      </c>
      <c r="D8964" s="344">
        <v>1050.77</v>
      </c>
    </row>
    <row r="8965" spans="1:4" ht="63.75">
      <c r="A8965" s="341">
        <v>34370</v>
      </c>
      <c r="B8965" s="342" t="s">
        <v>9804</v>
      </c>
      <c r="C8965" s="341" t="s">
        <v>7278</v>
      </c>
      <c r="D8965" s="343">
        <v>871.41</v>
      </c>
    </row>
    <row r="8966" spans="1:4" ht="63.75">
      <c r="A8966" s="341">
        <v>34372</v>
      </c>
      <c r="B8966" s="342" t="s">
        <v>9805</v>
      </c>
      <c r="C8966" s="341" t="s">
        <v>7278</v>
      </c>
      <c r="D8966" s="344">
        <v>1212.26</v>
      </c>
    </row>
    <row r="8967" spans="1:4" ht="63.75">
      <c r="A8967" s="341">
        <v>34373</v>
      </c>
      <c r="B8967" s="342" t="s">
        <v>9806</v>
      </c>
      <c r="C8967" s="341" t="s">
        <v>7278</v>
      </c>
      <c r="D8967" s="344">
        <v>1500.59</v>
      </c>
    </row>
    <row r="8968" spans="1:4" ht="51">
      <c r="A8968" s="341">
        <v>36896</v>
      </c>
      <c r="B8968" s="342" t="s">
        <v>9807</v>
      </c>
      <c r="C8968" s="341" t="s">
        <v>7278</v>
      </c>
      <c r="D8968" s="343">
        <v>500</v>
      </c>
    </row>
    <row r="8969" spans="1:4" ht="51">
      <c r="A8969" s="341">
        <v>34367</v>
      </c>
      <c r="B8969" s="342" t="s">
        <v>9808</v>
      </c>
      <c r="C8969" s="341" t="s">
        <v>7278</v>
      </c>
      <c r="D8969" s="343">
        <v>587.32000000000005</v>
      </c>
    </row>
    <row r="8970" spans="1:4" ht="51">
      <c r="A8970" s="341">
        <v>36884</v>
      </c>
      <c r="B8970" s="342" t="s">
        <v>9809</v>
      </c>
      <c r="C8970" s="341" t="s">
        <v>7273</v>
      </c>
      <c r="D8970" s="343">
        <v>486.44</v>
      </c>
    </row>
    <row r="8971" spans="1:4" ht="51">
      <c r="A8971" s="341">
        <v>36897</v>
      </c>
      <c r="B8971" s="342" t="s">
        <v>9809</v>
      </c>
      <c r="C8971" s="341" t="s">
        <v>7278</v>
      </c>
      <c r="D8971" s="343">
        <v>692.58</v>
      </c>
    </row>
    <row r="8972" spans="1:4" ht="51">
      <c r="A8972" s="341">
        <v>597</v>
      </c>
      <c r="B8972" s="342" t="s">
        <v>9810</v>
      </c>
      <c r="C8972" s="341" t="s">
        <v>7273</v>
      </c>
      <c r="D8972" s="343">
        <v>511.56</v>
      </c>
    </row>
    <row r="8973" spans="1:4" ht="51">
      <c r="A8973" s="341">
        <v>34369</v>
      </c>
      <c r="B8973" s="342" t="s">
        <v>9811</v>
      </c>
      <c r="C8973" s="341" t="s">
        <v>7278</v>
      </c>
      <c r="D8973" s="343">
        <v>820.57</v>
      </c>
    </row>
    <row r="8974" spans="1:4" ht="51">
      <c r="A8974" s="341">
        <v>34362</v>
      </c>
      <c r="B8974" s="342" t="s">
        <v>9812</v>
      </c>
      <c r="C8974" s="341" t="s">
        <v>7278</v>
      </c>
      <c r="D8974" s="343">
        <v>569.37</v>
      </c>
    </row>
    <row r="8975" spans="1:4" ht="51">
      <c r="A8975" s="341">
        <v>34363</v>
      </c>
      <c r="B8975" s="342" t="s">
        <v>9813</v>
      </c>
      <c r="C8975" s="341" t="s">
        <v>7278</v>
      </c>
      <c r="D8975" s="343">
        <v>643.54</v>
      </c>
    </row>
    <row r="8976" spans="1:4" ht="63.75">
      <c r="A8976" s="341">
        <v>34364</v>
      </c>
      <c r="B8976" s="342" t="s">
        <v>9814</v>
      </c>
      <c r="C8976" s="341" t="s">
        <v>7278</v>
      </c>
      <c r="D8976" s="343">
        <v>802.63</v>
      </c>
    </row>
    <row r="8977" spans="1:4" ht="63.75">
      <c r="A8977" s="341">
        <v>34365</v>
      </c>
      <c r="B8977" s="342" t="s">
        <v>9815</v>
      </c>
      <c r="C8977" s="341" t="s">
        <v>7278</v>
      </c>
      <c r="D8977" s="343">
        <v>904.3</v>
      </c>
    </row>
    <row r="8978" spans="1:4" ht="51">
      <c r="A8978" s="341">
        <v>11199</v>
      </c>
      <c r="B8978" s="342" t="s">
        <v>9816</v>
      </c>
      <c r="C8978" s="341" t="s">
        <v>7278</v>
      </c>
      <c r="D8978" s="343">
        <v>579.34</v>
      </c>
    </row>
    <row r="8979" spans="1:4" ht="51">
      <c r="A8979" s="341">
        <v>34801</v>
      </c>
      <c r="B8979" s="342" t="s">
        <v>9817</v>
      </c>
      <c r="C8979" s="341" t="s">
        <v>7278</v>
      </c>
      <c r="D8979" s="343">
        <v>726.74</v>
      </c>
    </row>
    <row r="8980" spans="1:4" ht="51">
      <c r="A8980" s="341">
        <v>34799</v>
      </c>
      <c r="B8980" s="342" t="s">
        <v>9818</v>
      </c>
      <c r="C8980" s="341" t="s">
        <v>7278</v>
      </c>
      <c r="D8980" s="343">
        <v>896.23</v>
      </c>
    </row>
    <row r="8981" spans="1:4" ht="51">
      <c r="A8981" s="341">
        <v>622</v>
      </c>
      <c r="B8981" s="342" t="s">
        <v>9819</v>
      </c>
      <c r="C8981" s="341" t="s">
        <v>7278</v>
      </c>
      <c r="D8981" s="343">
        <v>403.48</v>
      </c>
    </row>
    <row r="8982" spans="1:4" ht="51">
      <c r="A8982" s="341">
        <v>34805</v>
      </c>
      <c r="B8982" s="342" t="s">
        <v>9820</v>
      </c>
      <c r="C8982" s="341" t="s">
        <v>7273</v>
      </c>
      <c r="D8982" s="343">
        <v>301.98</v>
      </c>
    </row>
    <row r="8983" spans="1:4" ht="51">
      <c r="A8983" s="341">
        <v>34803</v>
      </c>
      <c r="B8983" s="342" t="s">
        <v>9821</v>
      </c>
      <c r="C8983" s="341" t="s">
        <v>7278</v>
      </c>
      <c r="D8983" s="343">
        <v>365.15</v>
      </c>
    </row>
    <row r="8984" spans="1:4" ht="51">
      <c r="A8984" s="341">
        <v>606</v>
      </c>
      <c r="B8984" s="342" t="s">
        <v>9822</v>
      </c>
      <c r="C8984" s="341" t="s">
        <v>7273</v>
      </c>
      <c r="D8984" s="343">
        <v>403.75</v>
      </c>
    </row>
    <row r="8985" spans="1:4" ht="51">
      <c r="A8985" s="341">
        <v>11227</v>
      </c>
      <c r="B8985" s="342" t="s">
        <v>9823</v>
      </c>
      <c r="C8985" s="341" t="s">
        <v>7278</v>
      </c>
      <c r="D8985" s="343">
        <v>427.63</v>
      </c>
    </row>
    <row r="8986" spans="1:4" ht="51">
      <c r="A8986" s="341">
        <v>11193</v>
      </c>
      <c r="B8986" s="342" t="s">
        <v>9824</v>
      </c>
      <c r="C8986" s="341" t="s">
        <v>7273</v>
      </c>
      <c r="D8986" s="343">
        <v>409.36</v>
      </c>
    </row>
    <row r="8987" spans="1:4" ht="38.25">
      <c r="A8987" s="341">
        <v>11194</v>
      </c>
      <c r="B8987" s="342" t="s">
        <v>9825</v>
      </c>
      <c r="C8987" s="341" t="s">
        <v>7273</v>
      </c>
      <c r="D8987" s="343">
        <v>368.58</v>
      </c>
    </row>
    <row r="8988" spans="1:4" ht="63.75">
      <c r="A8988" s="341">
        <v>605</v>
      </c>
      <c r="B8988" s="342" t="s">
        <v>9826</v>
      </c>
      <c r="C8988" s="341" t="s">
        <v>7273</v>
      </c>
      <c r="D8988" s="343">
        <v>462.9</v>
      </c>
    </row>
    <row r="8989" spans="1:4" ht="63.75">
      <c r="A8989" s="341">
        <v>11197</v>
      </c>
      <c r="B8989" s="342" t="s">
        <v>9827</v>
      </c>
      <c r="C8989" s="341" t="s">
        <v>7278</v>
      </c>
      <c r="D8989" s="343">
        <v>560.62</v>
      </c>
    </row>
    <row r="8990" spans="1:4" ht="102">
      <c r="A8990" s="341">
        <v>40659</v>
      </c>
      <c r="B8990" s="342" t="s">
        <v>9828</v>
      </c>
      <c r="C8990" s="341" t="s">
        <v>7273</v>
      </c>
      <c r="D8990" s="343">
        <v>480.44</v>
      </c>
    </row>
    <row r="8991" spans="1:4" ht="102">
      <c r="A8991" s="341">
        <v>40660</v>
      </c>
      <c r="B8991" s="342" t="s">
        <v>9829</v>
      </c>
      <c r="C8991" s="341" t="s">
        <v>7273</v>
      </c>
      <c r="D8991" s="343">
        <v>608.9</v>
      </c>
    </row>
    <row r="8992" spans="1:4" ht="102">
      <c r="A8992" s="341">
        <v>40661</v>
      </c>
      <c r="B8992" s="342" t="s">
        <v>9830</v>
      </c>
      <c r="C8992" s="341" t="s">
        <v>7273</v>
      </c>
      <c r="D8992" s="343">
        <v>374.36</v>
      </c>
    </row>
    <row r="8993" spans="1:4" ht="89.25">
      <c r="A8993" s="341">
        <v>3421</v>
      </c>
      <c r="B8993" s="342" t="s">
        <v>9831</v>
      </c>
      <c r="C8993" s="341" t="s">
        <v>7273</v>
      </c>
      <c r="D8993" s="343">
        <v>377.23</v>
      </c>
    </row>
    <row r="8994" spans="1:4" ht="38.25">
      <c r="A8994" s="341">
        <v>599</v>
      </c>
      <c r="B8994" s="342" t="s">
        <v>9832</v>
      </c>
      <c r="C8994" s="341" t="s">
        <v>7273</v>
      </c>
      <c r="D8994" s="343">
        <v>433.61</v>
      </c>
    </row>
    <row r="8995" spans="1:4" ht="38.25">
      <c r="A8995" s="341">
        <v>34380</v>
      </c>
      <c r="B8995" s="342" t="s">
        <v>9833</v>
      </c>
      <c r="C8995" s="341" t="s">
        <v>7278</v>
      </c>
      <c r="D8995" s="343">
        <v>224.88</v>
      </c>
    </row>
    <row r="8996" spans="1:4" ht="38.25">
      <c r="A8996" s="341">
        <v>34381</v>
      </c>
      <c r="B8996" s="342" t="s">
        <v>9834</v>
      </c>
      <c r="C8996" s="341" t="s">
        <v>7278</v>
      </c>
      <c r="D8996" s="343">
        <v>293.06</v>
      </c>
    </row>
    <row r="8997" spans="1:4" ht="38.25">
      <c r="A8997" s="341">
        <v>601</v>
      </c>
      <c r="B8997" s="342" t="s">
        <v>9834</v>
      </c>
      <c r="C8997" s="341" t="s">
        <v>7273</v>
      </c>
      <c r="D8997" s="343">
        <v>584.94000000000005</v>
      </c>
    </row>
    <row r="8998" spans="1:4" ht="76.5">
      <c r="A8998" s="341">
        <v>3423</v>
      </c>
      <c r="B8998" s="342" t="s">
        <v>9835</v>
      </c>
      <c r="C8998" s="341" t="s">
        <v>7273</v>
      </c>
      <c r="D8998" s="343">
        <v>531.98</v>
      </c>
    </row>
    <row r="8999" spans="1:4" ht="38.25">
      <c r="A8999" s="341">
        <v>34797</v>
      </c>
      <c r="B8999" s="342" t="s">
        <v>9836</v>
      </c>
      <c r="C8999" s="341" t="s">
        <v>7278</v>
      </c>
      <c r="D8999" s="343">
        <v>228.49</v>
      </c>
    </row>
    <row r="9000" spans="1:4" ht="38.25">
      <c r="A9000" s="341">
        <v>624</v>
      </c>
      <c r="B9000" s="342" t="s">
        <v>9837</v>
      </c>
      <c r="C9000" s="341" t="s">
        <v>7273</v>
      </c>
      <c r="D9000" s="343">
        <v>476.02</v>
      </c>
    </row>
    <row r="9001" spans="1:4" ht="38.25">
      <c r="A9001" s="341">
        <v>623</v>
      </c>
      <c r="B9001" s="342" t="s">
        <v>9838</v>
      </c>
      <c r="C9001" s="341" t="s">
        <v>7273</v>
      </c>
      <c r="D9001" s="343">
        <v>178.74</v>
      </c>
    </row>
    <row r="9002" spans="1:4">
      <c r="A9002" s="341">
        <v>25964</v>
      </c>
      <c r="B9002" s="342" t="s">
        <v>9839</v>
      </c>
      <c r="C9002" s="341" t="s">
        <v>7275</v>
      </c>
      <c r="D9002" s="343">
        <v>12.27</v>
      </c>
    </row>
    <row r="9003" spans="1:4">
      <c r="A9003" s="341">
        <v>41077</v>
      </c>
      <c r="B9003" s="342" t="s">
        <v>9840</v>
      </c>
      <c r="C9003" s="341" t="s">
        <v>7466</v>
      </c>
      <c r="D9003" s="344">
        <v>2164.7199999999998</v>
      </c>
    </row>
    <row r="9004" spans="1:4" ht="25.5">
      <c r="A9004" s="341">
        <v>20159</v>
      </c>
      <c r="B9004" s="342" t="s">
        <v>9841</v>
      </c>
      <c r="C9004" s="341" t="s">
        <v>7278</v>
      </c>
      <c r="D9004" s="343">
        <v>22.78</v>
      </c>
    </row>
    <row r="9005" spans="1:4" ht="25.5">
      <c r="A9005" s="341">
        <v>37963</v>
      </c>
      <c r="B9005" s="342" t="s">
        <v>9842</v>
      </c>
      <c r="C9005" s="341" t="s">
        <v>7278</v>
      </c>
      <c r="D9005" s="343">
        <v>3.32</v>
      </c>
    </row>
    <row r="9006" spans="1:4" ht="25.5">
      <c r="A9006" s="341">
        <v>37964</v>
      </c>
      <c r="B9006" s="342" t="s">
        <v>9843</v>
      </c>
      <c r="C9006" s="341" t="s">
        <v>7278</v>
      </c>
      <c r="D9006" s="343">
        <v>5.54</v>
      </c>
    </row>
    <row r="9007" spans="1:4" ht="25.5">
      <c r="A9007" s="341">
        <v>37965</v>
      </c>
      <c r="B9007" s="342" t="s">
        <v>9844</v>
      </c>
      <c r="C9007" s="341" t="s">
        <v>7278</v>
      </c>
      <c r="D9007" s="343">
        <v>8.02</v>
      </c>
    </row>
    <row r="9008" spans="1:4" ht="25.5">
      <c r="A9008" s="341">
        <v>37966</v>
      </c>
      <c r="B9008" s="342" t="s">
        <v>9845</v>
      </c>
      <c r="C9008" s="341" t="s">
        <v>7278</v>
      </c>
      <c r="D9008" s="343">
        <v>14.53</v>
      </c>
    </row>
    <row r="9009" spans="1:4" ht="25.5">
      <c r="A9009" s="341">
        <v>37967</v>
      </c>
      <c r="B9009" s="342" t="s">
        <v>9846</v>
      </c>
      <c r="C9009" s="341" t="s">
        <v>7278</v>
      </c>
      <c r="D9009" s="343">
        <v>23.31</v>
      </c>
    </row>
    <row r="9010" spans="1:4" ht="25.5">
      <c r="A9010" s="341">
        <v>37968</v>
      </c>
      <c r="B9010" s="342" t="s">
        <v>9847</v>
      </c>
      <c r="C9010" s="341" t="s">
        <v>7278</v>
      </c>
      <c r="D9010" s="343">
        <v>51.12</v>
      </c>
    </row>
    <row r="9011" spans="1:4" ht="25.5">
      <c r="A9011" s="341">
        <v>37969</v>
      </c>
      <c r="B9011" s="342" t="s">
        <v>9848</v>
      </c>
      <c r="C9011" s="341" t="s">
        <v>7278</v>
      </c>
      <c r="D9011" s="343">
        <v>136.58000000000001</v>
      </c>
    </row>
    <row r="9012" spans="1:4" ht="25.5">
      <c r="A9012" s="341">
        <v>37970</v>
      </c>
      <c r="B9012" s="342" t="s">
        <v>9849</v>
      </c>
      <c r="C9012" s="341" t="s">
        <v>7278</v>
      </c>
      <c r="D9012" s="343">
        <v>159.32</v>
      </c>
    </row>
    <row r="9013" spans="1:4" ht="25.5">
      <c r="A9013" s="341">
        <v>21118</v>
      </c>
      <c r="B9013" s="342" t="s">
        <v>9850</v>
      </c>
      <c r="C9013" s="341" t="s">
        <v>7278</v>
      </c>
      <c r="D9013" s="343">
        <v>2.5099999999999998</v>
      </c>
    </row>
    <row r="9014" spans="1:4" ht="25.5">
      <c r="A9014" s="341">
        <v>37956</v>
      </c>
      <c r="B9014" s="342" t="s">
        <v>9851</v>
      </c>
      <c r="C9014" s="341" t="s">
        <v>7278</v>
      </c>
      <c r="D9014" s="343">
        <v>3.97</v>
      </c>
    </row>
    <row r="9015" spans="1:4" ht="25.5">
      <c r="A9015" s="341">
        <v>37957</v>
      </c>
      <c r="B9015" s="342" t="s">
        <v>9852</v>
      </c>
      <c r="C9015" s="341" t="s">
        <v>7278</v>
      </c>
      <c r="D9015" s="343">
        <v>8.3800000000000008</v>
      </c>
    </row>
    <row r="9016" spans="1:4" ht="25.5">
      <c r="A9016" s="341">
        <v>37958</v>
      </c>
      <c r="B9016" s="342" t="s">
        <v>9853</v>
      </c>
      <c r="C9016" s="341" t="s">
        <v>7278</v>
      </c>
      <c r="D9016" s="343">
        <v>14.53</v>
      </c>
    </row>
    <row r="9017" spans="1:4" ht="25.5">
      <c r="A9017" s="341">
        <v>37959</v>
      </c>
      <c r="B9017" s="342" t="s">
        <v>9854</v>
      </c>
      <c r="C9017" s="341" t="s">
        <v>7278</v>
      </c>
      <c r="D9017" s="343">
        <v>23.31</v>
      </c>
    </row>
    <row r="9018" spans="1:4" ht="25.5">
      <c r="A9018" s="341">
        <v>37960</v>
      </c>
      <c r="B9018" s="342" t="s">
        <v>9855</v>
      </c>
      <c r="C9018" s="341" t="s">
        <v>7278</v>
      </c>
      <c r="D9018" s="343">
        <v>50.2</v>
      </c>
    </row>
    <row r="9019" spans="1:4" ht="25.5">
      <c r="A9019" s="341">
        <v>37961</v>
      </c>
      <c r="B9019" s="342" t="s">
        <v>9856</v>
      </c>
      <c r="C9019" s="341" t="s">
        <v>7278</v>
      </c>
      <c r="D9019" s="343">
        <v>133.18</v>
      </c>
    </row>
    <row r="9020" spans="1:4" ht="25.5">
      <c r="A9020" s="341">
        <v>37962</v>
      </c>
      <c r="B9020" s="342" t="s">
        <v>9857</v>
      </c>
      <c r="C9020" s="341" t="s">
        <v>7278</v>
      </c>
      <c r="D9020" s="343">
        <v>154.76</v>
      </c>
    </row>
    <row r="9021" spans="1:4" ht="38.25">
      <c r="A9021" s="341">
        <v>3533</v>
      </c>
      <c r="B9021" s="342" t="s">
        <v>9858</v>
      </c>
      <c r="C9021" s="341" t="s">
        <v>7278</v>
      </c>
      <c r="D9021" s="343">
        <v>1.71</v>
      </c>
    </row>
    <row r="9022" spans="1:4" ht="38.25">
      <c r="A9022" s="341">
        <v>3538</v>
      </c>
      <c r="B9022" s="342" t="s">
        <v>9859</v>
      </c>
      <c r="C9022" s="341" t="s">
        <v>7278</v>
      </c>
      <c r="D9022" s="343">
        <v>2.35</v>
      </c>
    </row>
    <row r="9023" spans="1:4" ht="38.25">
      <c r="A9023" s="341">
        <v>3497</v>
      </c>
      <c r="B9023" s="342" t="s">
        <v>9860</v>
      </c>
      <c r="C9023" s="341" t="s">
        <v>7278</v>
      </c>
      <c r="D9023" s="343">
        <v>10.38</v>
      </c>
    </row>
    <row r="9024" spans="1:4" ht="25.5">
      <c r="A9024" s="341">
        <v>3498</v>
      </c>
      <c r="B9024" s="342" t="s">
        <v>9861</v>
      </c>
      <c r="C9024" s="341" t="s">
        <v>7278</v>
      </c>
      <c r="D9024" s="343">
        <v>3.29</v>
      </c>
    </row>
    <row r="9025" spans="1:4" ht="25.5">
      <c r="A9025" s="341">
        <v>3496</v>
      </c>
      <c r="B9025" s="342" t="s">
        <v>9862</v>
      </c>
      <c r="C9025" s="341" t="s">
        <v>7278</v>
      </c>
      <c r="D9025" s="343">
        <v>2.04</v>
      </c>
    </row>
    <row r="9026" spans="1:4" ht="25.5">
      <c r="A9026" s="341">
        <v>38429</v>
      </c>
      <c r="B9026" s="342" t="s">
        <v>9863</v>
      </c>
      <c r="C9026" s="341" t="s">
        <v>7278</v>
      </c>
      <c r="D9026" s="343">
        <v>8.4700000000000006</v>
      </c>
    </row>
    <row r="9027" spans="1:4" ht="25.5">
      <c r="A9027" s="341">
        <v>38431</v>
      </c>
      <c r="B9027" s="342" t="s">
        <v>9864</v>
      </c>
      <c r="C9027" s="341" t="s">
        <v>7278</v>
      </c>
      <c r="D9027" s="343">
        <v>13.43</v>
      </c>
    </row>
    <row r="9028" spans="1:4" ht="25.5">
      <c r="A9028" s="341">
        <v>38430</v>
      </c>
      <c r="B9028" s="342" t="s">
        <v>9865</v>
      </c>
      <c r="C9028" s="341" t="s">
        <v>7278</v>
      </c>
      <c r="D9028" s="343">
        <v>17.16</v>
      </c>
    </row>
    <row r="9029" spans="1:4" ht="25.5">
      <c r="A9029" s="341">
        <v>38449</v>
      </c>
      <c r="B9029" s="342" t="s">
        <v>9866</v>
      </c>
      <c r="C9029" s="341" t="s">
        <v>7278</v>
      </c>
      <c r="D9029" s="343">
        <v>22.43</v>
      </c>
    </row>
    <row r="9030" spans="1:4" ht="25.5">
      <c r="A9030" s="341">
        <v>36348</v>
      </c>
      <c r="B9030" s="342" t="s">
        <v>9867</v>
      </c>
      <c r="C9030" s="341" t="s">
        <v>7278</v>
      </c>
      <c r="D9030" s="343">
        <v>0.89</v>
      </c>
    </row>
    <row r="9031" spans="1:4" ht="25.5">
      <c r="A9031" s="341">
        <v>36349</v>
      </c>
      <c r="B9031" s="342" t="s">
        <v>9868</v>
      </c>
      <c r="C9031" s="341" t="s">
        <v>7278</v>
      </c>
      <c r="D9031" s="343">
        <v>1.34</v>
      </c>
    </row>
    <row r="9032" spans="1:4" ht="25.5">
      <c r="A9032" s="341">
        <v>38433</v>
      </c>
      <c r="B9032" s="342" t="s">
        <v>9869</v>
      </c>
      <c r="C9032" s="341" t="s">
        <v>7278</v>
      </c>
      <c r="D9032" s="343">
        <v>2.4900000000000002</v>
      </c>
    </row>
    <row r="9033" spans="1:4" ht="25.5">
      <c r="A9033" s="341">
        <v>38440</v>
      </c>
      <c r="B9033" s="342" t="s">
        <v>9870</v>
      </c>
      <c r="C9033" s="341" t="s">
        <v>7278</v>
      </c>
      <c r="D9033" s="343">
        <v>86.01</v>
      </c>
    </row>
    <row r="9034" spans="1:4" ht="25.5">
      <c r="A9034" s="341">
        <v>36359</v>
      </c>
      <c r="B9034" s="342" t="s">
        <v>9871</v>
      </c>
      <c r="C9034" s="341" t="s">
        <v>7278</v>
      </c>
      <c r="D9034" s="343">
        <v>1.07</v>
      </c>
    </row>
    <row r="9035" spans="1:4" ht="25.5">
      <c r="A9035" s="341">
        <v>36360</v>
      </c>
      <c r="B9035" s="342" t="s">
        <v>9872</v>
      </c>
      <c r="C9035" s="341" t="s">
        <v>7278</v>
      </c>
      <c r="D9035" s="343">
        <v>1.65</v>
      </c>
    </row>
    <row r="9036" spans="1:4" ht="25.5">
      <c r="A9036" s="341">
        <v>38434</v>
      </c>
      <c r="B9036" s="342" t="s">
        <v>9873</v>
      </c>
      <c r="C9036" s="341" t="s">
        <v>7278</v>
      </c>
      <c r="D9036" s="343">
        <v>2.52</v>
      </c>
    </row>
    <row r="9037" spans="1:4" ht="25.5">
      <c r="A9037" s="341">
        <v>38435</v>
      </c>
      <c r="B9037" s="342" t="s">
        <v>9874</v>
      </c>
      <c r="C9037" s="341" t="s">
        <v>7278</v>
      </c>
      <c r="D9037" s="343">
        <v>4.79</v>
      </c>
    </row>
    <row r="9038" spans="1:4" ht="25.5">
      <c r="A9038" s="341">
        <v>38436</v>
      </c>
      <c r="B9038" s="342" t="s">
        <v>9875</v>
      </c>
      <c r="C9038" s="341" t="s">
        <v>7278</v>
      </c>
      <c r="D9038" s="343">
        <v>9.91</v>
      </c>
    </row>
    <row r="9039" spans="1:4" ht="25.5">
      <c r="A9039" s="341">
        <v>38437</v>
      </c>
      <c r="B9039" s="342" t="s">
        <v>9876</v>
      </c>
      <c r="C9039" s="341" t="s">
        <v>7278</v>
      </c>
      <c r="D9039" s="343">
        <v>14.89</v>
      </c>
    </row>
    <row r="9040" spans="1:4" ht="25.5">
      <c r="A9040" s="341">
        <v>38438</v>
      </c>
      <c r="B9040" s="342" t="s">
        <v>9877</v>
      </c>
      <c r="C9040" s="341" t="s">
        <v>7278</v>
      </c>
      <c r="D9040" s="343">
        <v>37.630000000000003</v>
      </c>
    </row>
    <row r="9041" spans="1:4" ht="25.5">
      <c r="A9041" s="341">
        <v>38439</v>
      </c>
      <c r="B9041" s="342" t="s">
        <v>9878</v>
      </c>
      <c r="C9041" s="341" t="s">
        <v>7278</v>
      </c>
      <c r="D9041" s="343">
        <v>57.35</v>
      </c>
    </row>
    <row r="9042" spans="1:4" ht="25.5">
      <c r="A9042" s="341">
        <v>10836</v>
      </c>
      <c r="B9042" s="342" t="s">
        <v>9879</v>
      </c>
      <c r="C9042" s="341" t="s">
        <v>7278</v>
      </c>
      <c r="D9042" s="343">
        <v>13.11</v>
      </c>
    </row>
    <row r="9043" spans="1:4" ht="25.5">
      <c r="A9043" s="341">
        <v>20128</v>
      </c>
      <c r="B9043" s="342" t="s">
        <v>9880</v>
      </c>
      <c r="C9043" s="341" t="s">
        <v>7278</v>
      </c>
      <c r="D9043" s="343">
        <v>32.619999999999997</v>
      </c>
    </row>
    <row r="9044" spans="1:4" ht="25.5">
      <c r="A9044" s="341">
        <v>20131</v>
      </c>
      <c r="B9044" s="342" t="s">
        <v>9881</v>
      </c>
      <c r="C9044" s="341" t="s">
        <v>7278</v>
      </c>
      <c r="D9044" s="343">
        <v>29.39</v>
      </c>
    </row>
    <row r="9045" spans="1:4" ht="25.5">
      <c r="A9045" s="341">
        <v>3521</v>
      </c>
      <c r="B9045" s="342" t="s">
        <v>9882</v>
      </c>
      <c r="C9045" s="341" t="s">
        <v>7278</v>
      </c>
      <c r="D9045" s="343">
        <v>1.24</v>
      </c>
    </row>
    <row r="9046" spans="1:4" ht="25.5">
      <c r="A9046" s="341">
        <v>3531</v>
      </c>
      <c r="B9046" s="342" t="s">
        <v>9883</v>
      </c>
      <c r="C9046" s="341" t="s">
        <v>7278</v>
      </c>
      <c r="D9046" s="343">
        <v>1.35</v>
      </c>
    </row>
    <row r="9047" spans="1:4" ht="25.5">
      <c r="A9047" s="341">
        <v>3522</v>
      </c>
      <c r="B9047" s="342" t="s">
        <v>9884</v>
      </c>
      <c r="C9047" s="341" t="s">
        <v>7278</v>
      </c>
      <c r="D9047" s="343">
        <v>2.2000000000000002</v>
      </c>
    </row>
    <row r="9048" spans="1:4" ht="25.5">
      <c r="A9048" s="341">
        <v>3527</v>
      </c>
      <c r="B9048" s="342" t="s">
        <v>9885</v>
      </c>
      <c r="C9048" s="341" t="s">
        <v>7278</v>
      </c>
      <c r="D9048" s="343">
        <v>6.94</v>
      </c>
    </row>
    <row r="9049" spans="1:4" ht="38.25">
      <c r="A9049" s="341">
        <v>10835</v>
      </c>
      <c r="B9049" s="342" t="s">
        <v>9886</v>
      </c>
      <c r="C9049" s="341" t="s">
        <v>7278</v>
      </c>
      <c r="D9049" s="343">
        <v>2.92</v>
      </c>
    </row>
    <row r="9050" spans="1:4" ht="25.5">
      <c r="A9050" s="341">
        <v>3475</v>
      </c>
      <c r="B9050" s="342" t="s">
        <v>9887</v>
      </c>
      <c r="C9050" s="341" t="s">
        <v>7278</v>
      </c>
      <c r="D9050" s="343">
        <v>2.1800000000000002</v>
      </c>
    </row>
    <row r="9051" spans="1:4" ht="25.5">
      <c r="A9051" s="341">
        <v>3485</v>
      </c>
      <c r="B9051" s="342" t="s">
        <v>9888</v>
      </c>
      <c r="C9051" s="341" t="s">
        <v>7278</v>
      </c>
      <c r="D9051" s="343">
        <v>6.67</v>
      </c>
    </row>
    <row r="9052" spans="1:4" ht="25.5">
      <c r="A9052" s="341">
        <v>3534</v>
      </c>
      <c r="B9052" s="342" t="s">
        <v>9889</v>
      </c>
      <c r="C9052" s="341" t="s">
        <v>7278</v>
      </c>
      <c r="D9052" s="343">
        <v>2.83</v>
      </c>
    </row>
    <row r="9053" spans="1:4" ht="25.5">
      <c r="A9053" s="341">
        <v>3543</v>
      </c>
      <c r="B9053" s="342" t="s">
        <v>9890</v>
      </c>
      <c r="C9053" s="341" t="s">
        <v>7278</v>
      </c>
      <c r="D9053" s="343">
        <v>1.41</v>
      </c>
    </row>
    <row r="9054" spans="1:4" ht="25.5">
      <c r="A9054" s="341">
        <v>3482</v>
      </c>
      <c r="B9054" s="342" t="s">
        <v>9891</v>
      </c>
      <c r="C9054" s="341" t="s">
        <v>7278</v>
      </c>
      <c r="D9054" s="343">
        <v>3.4</v>
      </c>
    </row>
    <row r="9055" spans="1:4" ht="25.5">
      <c r="A9055" s="341">
        <v>3505</v>
      </c>
      <c r="B9055" s="342" t="s">
        <v>9892</v>
      </c>
      <c r="C9055" s="341" t="s">
        <v>7278</v>
      </c>
      <c r="D9055" s="343">
        <v>2.0299999999999998</v>
      </c>
    </row>
    <row r="9056" spans="1:4" ht="25.5">
      <c r="A9056" s="341">
        <v>3516</v>
      </c>
      <c r="B9056" s="342" t="s">
        <v>9893</v>
      </c>
      <c r="C9056" s="341" t="s">
        <v>7278</v>
      </c>
      <c r="D9056" s="343">
        <v>1.87</v>
      </c>
    </row>
    <row r="9057" spans="1:4" ht="25.5">
      <c r="A9057" s="341">
        <v>3517</v>
      </c>
      <c r="B9057" s="342" t="s">
        <v>9894</v>
      </c>
      <c r="C9057" s="341" t="s">
        <v>7278</v>
      </c>
      <c r="D9057" s="343">
        <v>1.1399999999999999</v>
      </c>
    </row>
    <row r="9058" spans="1:4" ht="38.25">
      <c r="A9058" s="341">
        <v>3515</v>
      </c>
      <c r="B9058" s="342" t="s">
        <v>9895</v>
      </c>
      <c r="C9058" s="341" t="s">
        <v>7278</v>
      </c>
      <c r="D9058" s="343">
        <v>4.25</v>
      </c>
    </row>
    <row r="9059" spans="1:4" ht="38.25">
      <c r="A9059" s="341">
        <v>20147</v>
      </c>
      <c r="B9059" s="342" t="s">
        <v>9896</v>
      </c>
      <c r="C9059" s="341" t="s">
        <v>7278</v>
      </c>
      <c r="D9059" s="343">
        <v>4.3499999999999996</v>
      </c>
    </row>
    <row r="9060" spans="1:4" ht="38.25">
      <c r="A9060" s="341">
        <v>3524</v>
      </c>
      <c r="B9060" s="342" t="s">
        <v>9897</v>
      </c>
      <c r="C9060" s="341" t="s">
        <v>7278</v>
      </c>
      <c r="D9060" s="343">
        <v>5.19</v>
      </c>
    </row>
    <row r="9061" spans="1:4" ht="38.25">
      <c r="A9061" s="341">
        <v>3532</v>
      </c>
      <c r="B9061" s="342" t="s">
        <v>9898</v>
      </c>
      <c r="C9061" s="341" t="s">
        <v>7278</v>
      </c>
      <c r="D9061" s="343">
        <v>9.67</v>
      </c>
    </row>
    <row r="9062" spans="1:4" ht="25.5">
      <c r="A9062" s="341">
        <v>3528</v>
      </c>
      <c r="B9062" s="342" t="s">
        <v>9899</v>
      </c>
      <c r="C9062" s="341" t="s">
        <v>7278</v>
      </c>
      <c r="D9062" s="343">
        <v>5.93</v>
      </c>
    </row>
    <row r="9063" spans="1:4" ht="25.5">
      <c r="A9063" s="341">
        <v>37952</v>
      </c>
      <c r="B9063" s="342" t="s">
        <v>9900</v>
      </c>
      <c r="C9063" s="341" t="s">
        <v>7278</v>
      </c>
      <c r="D9063" s="343">
        <v>36.57</v>
      </c>
    </row>
    <row r="9064" spans="1:4" ht="25.5">
      <c r="A9064" s="341">
        <v>37951</v>
      </c>
      <c r="B9064" s="342" t="s">
        <v>9901</v>
      </c>
      <c r="C9064" s="341" t="s">
        <v>7278</v>
      </c>
      <c r="D9064" s="343">
        <v>1.58</v>
      </c>
    </row>
    <row r="9065" spans="1:4" ht="25.5">
      <c r="A9065" s="341">
        <v>3518</v>
      </c>
      <c r="B9065" s="342" t="s">
        <v>9902</v>
      </c>
      <c r="C9065" s="341" t="s">
        <v>7278</v>
      </c>
      <c r="D9065" s="343">
        <v>2.2799999999999998</v>
      </c>
    </row>
    <row r="9066" spans="1:4" ht="25.5">
      <c r="A9066" s="341">
        <v>3519</v>
      </c>
      <c r="B9066" s="342" t="s">
        <v>9903</v>
      </c>
      <c r="C9066" s="341" t="s">
        <v>7278</v>
      </c>
      <c r="D9066" s="343">
        <v>5.23</v>
      </c>
    </row>
    <row r="9067" spans="1:4" ht="25.5">
      <c r="A9067" s="341">
        <v>3520</v>
      </c>
      <c r="B9067" s="342" t="s">
        <v>9904</v>
      </c>
      <c r="C9067" s="341" t="s">
        <v>7278</v>
      </c>
      <c r="D9067" s="343">
        <v>5.86</v>
      </c>
    </row>
    <row r="9068" spans="1:4" ht="25.5">
      <c r="A9068" s="341">
        <v>37950</v>
      </c>
      <c r="B9068" s="342" t="s">
        <v>9905</v>
      </c>
      <c r="C9068" s="341" t="s">
        <v>7278</v>
      </c>
      <c r="D9068" s="343">
        <v>35.270000000000003</v>
      </c>
    </row>
    <row r="9069" spans="1:4" ht="25.5">
      <c r="A9069" s="341">
        <v>37949</v>
      </c>
      <c r="B9069" s="342" t="s">
        <v>9906</v>
      </c>
      <c r="C9069" s="341" t="s">
        <v>7278</v>
      </c>
      <c r="D9069" s="343">
        <v>1.29</v>
      </c>
    </row>
    <row r="9070" spans="1:4" ht="25.5">
      <c r="A9070" s="341">
        <v>3526</v>
      </c>
      <c r="B9070" s="342" t="s">
        <v>9907</v>
      </c>
      <c r="C9070" s="341" t="s">
        <v>7278</v>
      </c>
      <c r="D9070" s="343">
        <v>1.75</v>
      </c>
    </row>
    <row r="9071" spans="1:4" ht="25.5">
      <c r="A9071" s="341">
        <v>3509</v>
      </c>
      <c r="B9071" s="342" t="s">
        <v>9908</v>
      </c>
      <c r="C9071" s="341" t="s">
        <v>7278</v>
      </c>
      <c r="D9071" s="343">
        <v>4.46</v>
      </c>
    </row>
    <row r="9072" spans="1:4" ht="25.5">
      <c r="A9072" s="341">
        <v>3530</v>
      </c>
      <c r="B9072" s="342" t="s">
        <v>9909</v>
      </c>
      <c r="C9072" s="341" t="s">
        <v>7278</v>
      </c>
      <c r="D9072" s="343">
        <v>152</v>
      </c>
    </row>
    <row r="9073" spans="1:4" ht="25.5">
      <c r="A9073" s="341">
        <v>3542</v>
      </c>
      <c r="B9073" s="342" t="s">
        <v>9910</v>
      </c>
      <c r="C9073" s="341" t="s">
        <v>7278</v>
      </c>
      <c r="D9073" s="343">
        <v>0.38</v>
      </c>
    </row>
    <row r="9074" spans="1:4" ht="25.5">
      <c r="A9074" s="341">
        <v>3529</v>
      </c>
      <c r="B9074" s="342" t="s">
        <v>9911</v>
      </c>
      <c r="C9074" s="341" t="s">
        <v>7278</v>
      </c>
      <c r="D9074" s="343">
        <v>0.56999999999999995</v>
      </c>
    </row>
    <row r="9075" spans="1:4" ht="25.5">
      <c r="A9075" s="341">
        <v>3536</v>
      </c>
      <c r="B9075" s="342" t="s">
        <v>9912</v>
      </c>
      <c r="C9075" s="341" t="s">
        <v>7278</v>
      </c>
      <c r="D9075" s="343">
        <v>1.47</v>
      </c>
    </row>
    <row r="9076" spans="1:4" ht="25.5">
      <c r="A9076" s="341">
        <v>3535</v>
      </c>
      <c r="B9076" s="342" t="s">
        <v>9913</v>
      </c>
      <c r="C9076" s="341" t="s">
        <v>7278</v>
      </c>
      <c r="D9076" s="343">
        <v>3.6</v>
      </c>
    </row>
    <row r="9077" spans="1:4" ht="25.5">
      <c r="A9077" s="341">
        <v>3540</v>
      </c>
      <c r="B9077" s="342" t="s">
        <v>9914</v>
      </c>
      <c r="C9077" s="341" t="s">
        <v>7278</v>
      </c>
      <c r="D9077" s="343">
        <v>4</v>
      </c>
    </row>
    <row r="9078" spans="1:4" ht="25.5">
      <c r="A9078" s="341">
        <v>3539</v>
      </c>
      <c r="B9078" s="342" t="s">
        <v>9915</v>
      </c>
      <c r="C9078" s="341" t="s">
        <v>7278</v>
      </c>
      <c r="D9078" s="343">
        <v>18.3</v>
      </c>
    </row>
    <row r="9079" spans="1:4" ht="25.5">
      <c r="A9079" s="341">
        <v>3513</v>
      </c>
      <c r="B9079" s="342" t="s">
        <v>9916</v>
      </c>
      <c r="C9079" s="341" t="s">
        <v>7278</v>
      </c>
      <c r="D9079" s="343">
        <v>65.33</v>
      </c>
    </row>
    <row r="9080" spans="1:4" ht="25.5">
      <c r="A9080" s="341">
        <v>3492</v>
      </c>
      <c r="B9080" s="342" t="s">
        <v>9917</v>
      </c>
      <c r="C9080" s="341" t="s">
        <v>7278</v>
      </c>
      <c r="D9080" s="343">
        <v>9.32</v>
      </c>
    </row>
    <row r="9081" spans="1:4" ht="25.5">
      <c r="A9081" s="341">
        <v>3491</v>
      </c>
      <c r="B9081" s="342" t="s">
        <v>9918</v>
      </c>
      <c r="C9081" s="341" t="s">
        <v>7278</v>
      </c>
      <c r="D9081" s="343">
        <v>7.74</v>
      </c>
    </row>
    <row r="9082" spans="1:4" ht="25.5">
      <c r="A9082" s="341">
        <v>3493</v>
      </c>
      <c r="B9082" s="342" t="s">
        <v>9919</v>
      </c>
      <c r="C9082" s="341" t="s">
        <v>7278</v>
      </c>
      <c r="D9082" s="343">
        <v>18.09</v>
      </c>
    </row>
    <row r="9083" spans="1:4" ht="25.5">
      <c r="A9083" s="341">
        <v>12628</v>
      </c>
      <c r="B9083" s="342" t="s">
        <v>9920</v>
      </c>
      <c r="C9083" s="341" t="s">
        <v>7278</v>
      </c>
      <c r="D9083" s="343">
        <v>6.91</v>
      </c>
    </row>
    <row r="9084" spans="1:4" ht="25.5">
      <c r="A9084" s="341">
        <v>12629</v>
      </c>
      <c r="B9084" s="342" t="s">
        <v>9921</v>
      </c>
      <c r="C9084" s="341" t="s">
        <v>7278</v>
      </c>
      <c r="D9084" s="343">
        <v>7.49</v>
      </c>
    </row>
    <row r="9085" spans="1:4" ht="25.5">
      <c r="A9085" s="341">
        <v>3481</v>
      </c>
      <c r="B9085" s="342" t="s">
        <v>9922</v>
      </c>
      <c r="C9085" s="341" t="s">
        <v>7278</v>
      </c>
      <c r="D9085" s="343">
        <v>9.44</v>
      </c>
    </row>
    <row r="9086" spans="1:4" ht="25.5">
      <c r="A9086" s="341">
        <v>3510</v>
      </c>
      <c r="B9086" s="342" t="s">
        <v>9923</v>
      </c>
      <c r="C9086" s="341" t="s">
        <v>7278</v>
      </c>
      <c r="D9086" s="343">
        <v>8.2799999999999994</v>
      </c>
    </row>
    <row r="9087" spans="1:4" ht="25.5">
      <c r="A9087" s="341">
        <v>3508</v>
      </c>
      <c r="B9087" s="342" t="s">
        <v>9924</v>
      </c>
      <c r="C9087" s="341" t="s">
        <v>7278</v>
      </c>
      <c r="D9087" s="343">
        <v>18.850000000000001</v>
      </c>
    </row>
    <row r="9088" spans="1:4" ht="38.25">
      <c r="A9088" s="341">
        <v>38939</v>
      </c>
      <c r="B9088" s="342" t="s">
        <v>9925</v>
      </c>
      <c r="C9088" s="341" t="s">
        <v>7278</v>
      </c>
      <c r="D9088" s="343">
        <v>12.01</v>
      </c>
    </row>
    <row r="9089" spans="1:4" ht="38.25">
      <c r="A9089" s="341">
        <v>38940</v>
      </c>
      <c r="B9089" s="342" t="s">
        <v>9926</v>
      </c>
      <c r="C9089" s="341" t="s">
        <v>7278</v>
      </c>
      <c r="D9089" s="343">
        <v>18.34</v>
      </c>
    </row>
    <row r="9090" spans="1:4" ht="38.25">
      <c r="A9090" s="341">
        <v>38941</v>
      </c>
      <c r="B9090" s="342" t="s">
        <v>9927</v>
      </c>
      <c r="C9090" s="341" t="s">
        <v>7278</v>
      </c>
      <c r="D9090" s="343">
        <v>21.66</v>
      </c>
    </row>
    <row r="9091" spans="1:4" ht="38.25">
      <c r="A9091" s="341">
        <v>38942</v>
      </c>
      <c r="B9091" s="342" t="s">
        <v>9928</v>
      </c>
      <c r="C9091" s="341" t="s">
        <v>7278</v>
      </c>
      <c r="D9091" s="343">
        <v>24.27</v>
      </c>
    </row>
    <row r="9092" spans="1:4" ht="25.5">
      <c r="A9092" s="341">
        <v>38987</v>
      </c>
      <c r="B9092" s="342" t="s">
        <v>9929</v>
      </c>
      <c r="C9092" s="341" t="s">
        <v>7278</v>
      </c>
      <c r="D9092" s="343">
        <v>4.46</v>
      </c>
    </row>
    <row r="9093" spans="1:4" ht="25.5">
      <c r="A9093" s="341">
        <v>38988</v>
      </c>
      <c r="B9093" s="342" t="s">
        <v>9930</v>
      </c>
      <c r="C9093" s="341" t="s">
        <v>7278</v>
      </c>
      <c r="D9093" s="343">
        <v>10.37</v>
      </c>
    </row>
    <row r="9094" spans="1:4" ht="25.5">
      <c r="A9094" s="341">
        <v>38989</v>
      </c>
      <c r="B9094" s="342" t="s">
        <v>9931</v>
      </c>
      <c r="C9094" s="341" t="s">
        <v>7278</v>
      </c>
      <c r="D9094" s="343">
        <v>13.78</v>
      </c>
    </row>
    <row r="9095" spans="1:4" ht="25.5">
      <c r="A9095" s="341">
        <v>38990</v>
      </c>
      <c r="B9095" s="342" t="s">
        <v>9932</v>
      </c>
      <c r="C9095" s="341" t="s">
        <v>7278</v>
      </c>
      <c r="D9095" s="343">
        <v>36.32</v>
      </c>
    </row>
    <row r="9096" spans="1:4" ht="25.5">
      <c r="A9096" s="341">
        <v>38991</v>
      </c>
      <c r="B9096" s="342" t="s">
        <v>9933</v>
      </c>
      <c r="C9096" s="341" t="s">
        <v>7278</v>
      </c>
      <c r="D9096" s="343">
        <v>73.38</v>
      </c>
    </row>
    <row r="9097" spans="1:4" ht="25.5">
      <c r="A9097" s="341">
        <v>38913</v>
      </c>
      <c r="B9097" s="342" t="s">
        <v>9934</v>
      </c>
      <c r="C9097" s="341" t="s">
        <v>7278</v>
      </c>
      <c r="D9097" s="343">
        <v>11.14</v>
      </c>
    </row>
    <row r="9098" spans="1:4" ht="25.5">
      <c r="A9098" s="341">
        <v>38914</v>
      </c>
      <c r="B9098" s="342" t="s">
        <v>9935</v>
      </c>
      <c r="C9098" s="341" t="s">
        <v>7278</v>
      </c>
      <c r="D9098" s="343">
        <v>12.93</v>
      </c>
    </row>
    <row r="9099" spans="1:4" ht="25.5">
      <c r="A9099" s="341">
        <v>38915</v>
      </c>
      <c r="B9099" s="342" t="s">
        <v>9936</v>
      </c>
      <c r="C9099" s="341" t="s">
        <v>7278</v>
      </c>
      <c r="D9099" s="343">
        <v>22.45</v>
      </c>
    </row>
    <row r="9100" spans="1:4" ht="25.5">
      <c r="A9100" s="341">
        <v>38916</v>
      </c>
      <c r="B9100" s="342" t="s">
        <v>9937</v>
      </c>
      <c r="C9100" s="341" t="s">
        <v>7278</v>
      </c>
      <c r="D9100" s="343">
        <v>29.61</v>
      </c>
    </row>
    <row r="9101" spans="1:4" ht="25.5">
      <c r="A9101" s="341">
        <v>39300</v>
      </c>
      <c r="B9101" s="342" t="s">
        <v>9938</v>
      </c>
      <c r="C9101" s="341" t="s">
        <v>7278</v>
      </c>
      <c r="D9101" s="343">
        <v>10.07</v>
      </c>
    </row>
    <row r="9102" spans="1:4" ht="25.5">
      <c r="A9102" s="341">
        <v>39301</v>
      </c>
      <c r="B9102" s="342" t="s">
        <v>9939</v>
      </c>
      <c r="C9102" s="341" t="s">
        <v>7278</v>
      </c>
      <c r="D9102" s="343">
        <v>13.97</v>
      </c>
    </row>
    <row r="9103" spans="1:4" ht="25.5">
      <c r="A9103" s="341">
        <v>39302</v>
      </c>
      <c r="B9103" s="342" t="s">
        <v>9940</v>
      </c>
      <c r="C9103" s="341" t="s">
        <v>7278</v>
      </c>
      <c r="D9103" s="343">
        <v>17.55</v>
      </c>
    </row>
    <row r="9104" spans="1:4" ht="25.5">
      <c r="A9104" s="341">
        <v>39303</v>
      </c>
      <c r="B9104" s="342" t="s">
        <v>9941</v>
      </c>
      <c r="C9104" s="341" t="s">
        <v>7278</v>
      </c>
      <c r="D9104" s="343">
        <v>30.87</v>
      </c>
    </row>
    <row r="9105" spans="1:4" ht="38.25">
      <c r="A9105" s="341">
        <v>38923</v>
      </c>
      <c r="B9105" s="342" t="s">
        <v>9942</v>
      </c>
      <c r="C9105" s="341" t="s">
        <v>7278</v>
      </c>
      <c r="D9105" s="343">
        <v>9.83</v>
      </c>
    </row>
    <row r="9106" spans="1:4" ht="38.25">
      <c r="A9106" s="341">
        <v>38925</v>
      </c>
      <c r="B9106" s="342" t="s">
        <v>9943</v>
      </c>
      <c r="C9106" s="341" t="s">
        <v>7278</v>
      </c>
      <c r="D9106" s="343">
        <v>10.56</v>
      </c>
    </row>
    <row r="9107" spans="1:4" ht="38.25">
      <c r="A9107" s="341">
        <v>38926</v>
      </c>
      <c r="B9107" s="342" t="s">
        <v>9944</v>
      </c>
      <c r="C9107" s="341" t="s">
        <v>7278</v>
      </c>
      <c r="D9107" s="343">
        <v>15.09</v>
      </c>
    </row>
    <row r="9108" spans="1:4" ht="38.25">
      <c r="A9108" s="341">
        <v>38927</v>
      </c>
      <c r="B9108" s="342" t="s">
        <v>9945</v>
      </c>
      <c r="C9108" s="341" t="s">
        <v>7278</v>
      </c>
      <c r="D9108" s="343">
        <v>16.14</v>
      </c>
    </row>
    <row r="9109" spans="1:4" ht="38.25">
      <c r="A9109" s="341">
        <v>39304</v>
      </c>
      <c r="B9109" s="342" t="s">
        <v>9946</v>
      </c>
      <c r="C9109" s="341" t="s">
        <v>7278</v>
      </c>
      <c r="D9109" s="343">
        <v>12.43</v>
      </c>
    </row>
    <row r="9110" spans="1:4" ht="38.25">
      <c r="A9110" s="341">
        <v>38924</v>
      </c>
      <c r="B9110" s="342" t="s">
        <v>9947</v>
      </c>
      <c r="C9110" s="341" t="s">
        <v>7278</v>
      </c>
      <c r="D9110" s="343">
        <v>17.72</v>
      </c>
    </row>
    <row r="9111" spans="1:4" ht="38.25">
      <c r="A9111" s="341">
        <v>39305</v>
      </c>
      <c r="B9111" s="342" t="s">
        <v>9948</v>
      </c>
      <c r="C9111" s="341" t="s">
        <v>7278</v>
      </c>
      <c r="D9111" s="343">
        <v>16.28</v>
      </c>
    </row>
    <row r="9112" spans="1:4" ht="38.25">
      <c r="A9112" s="341">
        <v>39306</v>
      </c>
      <c r="B9112" s="342" t="s">
        <v>9949</v>
      </c>
      <c r="C9112" s="341" t="s">
        <v>7278</v>
      </c>
      <c r="D9112" s="343">
        <v>20.37</v>
      </c>
    </row>
    <row r="9113" spans="1:4" ht="38.25">
      <c r="A9113" s="341">
        <v>38928</v>
      </c>
      <c r="B9113" s="342" t="s">
        <v>9950</v>
      </c>
      <c r="C9113" s="341" t="s">
        <v>7278</v>
      </c>
      <c r="D9113" s="343">
        <v>17.89</v>
      </c>
    </row>
    <row r="9114" spans="1:4" ht="38.25">
      <c r="A9114" s="341">
        <v>38929</v>
      </c>
      <c r="B9114" s="342" t="s">
        <v>9951</v>
      </c>
      <c r="C9114" s="341" t="s">
        <v>7278</v>
      </c>
      <c r="D9114" s="343">
        <v>31.72</v>
      </c>
    </row>
    <row r="9115" spans="1:4" ht="38.25">
      <c r="A9115" s="341">
        <v>39307</v>
      </c>
      <c r="B9115" s="342" t="s">
        <v>9952</v>
      </c>
      <c r="C9115" s="341" t="s">
        <v>7278</v>
      </c>
      <c r="D9115" s="343">
        <v>23.44</v>
      </c>
    </row>
    <row r="9116" spans="1:4" ht="38.25">
      <c r="A9116" s="341">
        <v>38930</v>
      </c>
      <c r="B9116" s="342" t="s">
        <v>9953</v>
      </c>
      <c r="C9116" s="341" t="s">
        <v>7278</v>
      </c>
      <c r="D9116" s="343">
        <v>39.85</v>
      </c>
    </row>
    <row r="9117" spans="1:4" ht="38.25">
      <c r="A9117" s="341">
        <v>38931</v>
      </c>
      <c r="B9117" s="342" t="s">
        <v>9954</v>
      </c>
      <c r="C9117" s="341" t="s">
        <v>7278</v>
      </c>
      <c r="D9117" s="343">
        <v>10.029999999999999</v>
      </c>
    </row>
    <row r="9118" spans="1:4" ht="38.25">
      <c r="A9118" s="341">
        <v>38932</v>
      </c>
      <c r="B9118" s="342" t="s">
        <v>9955</v>
      </c>
      <c r="C9118" s="341" t="s">
        <v>7278</v>
      </c>
      <c r="D9118" s="343">
        <v>10.130000000000001</v>
      </c>
    </row>
    <row r="9119" spans="1:4" ht="38.25">
      <c r="A9119" s="341">
        <v>38934</v>
      </c>
      <c r="B9119" s="342" t="s">
        <v>9956</v>
      </c>
      <c r="C9119" s="341" t="s">
        <v>7278</v>
      </c>
      <c r="D9119" s="343">
        <v>14.98</v>
      </c>
    </row>
    <row r="9120" spans="1:4" ht="38.25">
      <c r="A9120" s="341">
        <v>38935</v>
      </c>
      <c r="B9120" s="342" t="s">
        <v>9957</v>
      </c>
      <c r="C9120" s="341" t="s">
        <v>7278</v>
      </c>
      <c r="D9120" s="343">
        <v>16.02</v>
      </c>
    </row>
    <row r="9121" spans="1:4" ht="38.25">
      <c r="A9121" s="341">
        <v>38936</v>
      </c>
      <c r="B9121" s="342" t="s">
        <v>9958</v>
      </c>
      <c r="C9121" s="341" t="s">
        <v>7278</v>
      </c>
      <c r="D9121" s="343">
        <v>17.16</v>
      </c>
    </row>
    <row r="9122" spans="1:4" ht="38.25">
      <c r="A9122" s="341">
        <v>38937</v>
      </c>
      <c r="B9122" s="342" t="s">
        <v>9959</v>
      </c>
      <c r="C9122" s="341" t="s">
        <v>7278</v>
      </c>
      <c r="D9122" s="343">
        <v>20.92</v>
      </c>
    </row>
    <row r="9123" spans="1:4" ht="38.25">
      <c r="A9123" s="341">
        <v>38938</v>
      </c>
      <c r="B9123" s="342" t="s">
        <v>9960</v>
      </c>
      <c r="C9123" s="341" t="s">
        <v>7278</v>
      </c>
      <c r="D9123" s="343">
        <v>31.1</v>
      </c>
    </row>
    <row r="9124" spans="1:4" ht="25.5">
      <c r="A9124" s="341">
        <v>3489</v>
      </c>
      <c r="B9124" s="342" t="s">
        <v>9961</v>
      </c>
      <c r="C9124" s="341" t="s">
        <v>7278</v>
      </c>
      <c r="D9124" s="343">
        <v>9.48</v>
      </c>
    </row>
    <row r="9125" spans="1:4" ht="25.5">
      <c r="A9125" s="341">
        <v>20151</v>
      </c>
      <c r="B9125" s="342" t="s">
        <v>9962</v>
      </c>
      <c r="C9125" s="341" t="s">
        <v>7278</v>
      </c>
      <c r="D9125" s="343">
        <v>16.02</v>
      </c>
    </row>
    <row r="9126" spans="1:4" ht="25.5">
      <c r="A9126" s="341">
        <v>20152</v>
      </c>
      <c r="B9126" s="342" t="s">
        <v>9963</v>
      </c>
      <c r="C9126" s="341" t="s">
        <v>7278</v>
      </c>
      <c r="D9126" s="343">
        <v>50.78</v>
      </c>
    </row>
    <row r="9127" spans="1:4" ht="25.5">
      <c r="A9127" s="341">
        <v>20148</v>
      </c>
      <c r="B9127" s="342" t="s">
        <v>9964</v>
      </c>
      <c r="C9127" s="341" t="s">
        <v>7278</v>
      </c>
      <c r="D9127" s="343">
        <v>2.95</v>
      </c>
    </row>
    <row r="9128" spans="1:4" ht="25.5">
      <c r="A9128" s="341">
        <v>20149</v>
      </c>
      <c r="B9128" s="342" t="s">
        <v>9965</v>
      </c>
      <c r="C9128" s="341" t="s">
        <v>7278</v>
      </c>
      <c r="D9128" s="343">
        <v>4.43</v>
      </c>
    </row>
    <row r="9129" spans="1:4" ht="25.5">
      <c r="A9129" s="341">
        <v>20150</v>
      </c>
      <c r="B9129" s="342" t="s">
        <v>9966</v>
      </c>
      <c r="C9129" s="341" t="s">
        <v>7278</v>
      </c>
      <c r="D9129" s="343">
        <v>11.65</v>
      </c>
    </row>
    <row r="9130" spans="1:4" ht="25.5">
      <c r="A9130" s="341">
        <v>20157</v>
      </c>
      <c r="B9130" s="342" t="s">
        <v>9967</v>
      </c>
      <c r="C9130" s="341" t="s">
        <v>7278</v>
      </c>
      <c r="D9130" s="343">
        <v>19.91</v>
      </c>
    </row>
    <row r="9131" spans="1:4" ht="25.5">
      <c r="A9131" s="341">
        <v>20158</v>
      </c>
      <c r="B9131" s="342" t="s">
        <v>9968</v>
      </c>
      <c r="C9131" s="341" t="s">
        <v>7278</v>
      </c>
      <c r="D9131" s="343">
        <v>65.31</v>
      </c>
    </row>
    <row r="9132" spans="1:4" ht="25.5">
      <c r="A9132" s="341">
        <v>20154</v>
      </c>
      <c r="B9132" s="342" t="s">
        <v>9969</v>
      </c>
      <c r="C9132" s="341" t="s">
        <v>7278</v>
      </c>
      <c r="D9132" s="343">
        <v>3.24</v>
      </c>
    </row>
    <row r="9133" spans="1:4" ht="25.5">
      <c r="A9133" s="341">
        <v>20155</v>
      </c>
      <c r="B9133" s="342" t="s">
        <v>9970</v>
      </c>
      <c r="C9133" s="341" t="s">
        <v>7278</v>
      </c>
      <c r="D9133" s="343">
        <v>5.07</v>
      </c>
    </row>
    <row r="9134" spans="1:4" ht="25.5">
      <c r="A9134" s="341">
        <v>20156</v>
      </c>
      <c r="B9134" s="342" t="s">
        <v>9971</v>
      </c>
      <c r="C9134" s="341" t="s">
        <v>7278</v>
      </c>
      <c r="D9134" s="343">
        <v>12.07</v>
      </c>
    </row>
    <row r="9135" spans="1:4" ht="25.5">
      <c r="A9135" s="341">
        <v>3512</v>
      </c>
      <c r="B9135" s="342" t="s">
        <v>9972</v>
      </c>
      <c r="C9135" s="341" t="s">
        <v>7278</v>
      </c>
      <c r="D9135" s="343">
        <v>138.97</v>
      </c>
    </row>
    <row r="9136" spans="1:4" ht="25.5">
      <c r="A9136" s="341">
        <v>3499</v>
      </c>
      <c r="B9136" s="342" t="s">
        <v>9973</v>
      </c>
      <c r="C9136" s="341" t="s">
        <v>7278</v>
      </c>
      <c r="D9136" s="343">
        <v>0.57999999999999996</v>
      </c>
    </row>
    <row r="9137" spans="1:4" ht="25.5">
      <c r="A9137" s="341">
        <v>3500</v>
      </c>
      <c r="B9137" s="342" t="s">
        <v>9974</v>
      </c>
      <c r="C9137" s="341" t="s">
        <v>7278</v>
      </c>
      <c r="D9137" s="343">
        <v>1.01</v>
      </c>
    </row>
    <row r="9138" spans="1:4" ht="25.5">
      <c r="A9138" s="341">
        <v>3501</v>
      </c>
      <c r="B9138" s="342" t="s">
        <v>9975</v>
      </c>
      <c r="C9138" s="341" t="s">
        <v>7278</v>
      </c>
      <c r="D9138" s="343">
        <v>2.71</v>
      </c>
    </row>
    <row r="9139" spans="1:4" ht="25.5">
      <c r="A9139" s="341">
        <v>3502</v>
      </c>
      <c r="B9139" s="342" t="s">
        <v>9976</v>
      </c>
      <c r="C9139" s="341" t="s">
        <v>7278</v>
      </c>
      <c r="D9139" s="343">
        <v>3.94</v>
      </c>
    </row>
    <row r="9140" spans="1:4" ht="25.5">
      <c r="A9140" s="341">
        <v>3503</v>
      </c>
      <c r="B9140" s="342" t="s">
        <v>9977</v>
      </c>
      <c r="C9140" s="341" t="s">
        <v>7278</v>
      </c>
      <c r="D9140" s="343">
        <v>4.91</v>
      </c>
    </row>
    <row r="9141" spans="1:4" ht="25.5">
      <c r="A9141" s="341">
        <v>3477</v>
      </c>
      <c r="B9141" s="342" t="s">
        <v>9978</v>
      </c>
      <c r="C9141" s="341" t="s">
        <v>7278</v>
      </c>
      <c r="D9141" s="343">
        <v>17.649999999999999</v>
      </c>
    </row>
    <row r="9142" spans="1:4" ht="25.5">
      <c r="A9142" s="341">
        <v>3478</v>
      </c>
      <c r="B9142" s="342" t="s">
        <v>9979</v>
      </c>
      <c r="C9142" s="341" t="s">
        <v>7278</v>
      </c>
      <c r="D9142" s="343">
        <v>42.78</v>
      </c>
    </row>
    <row r="9143" spans="1:4" ht="25.5">
      <c r="A9143" s="341">
        <v>3525</v>
      </c>
      <c r="B9143" s="342" t="s">
        <v>9980</v>
      </c>
      <c r="C9143" s="341" t="s">
        <v>7278</v>
      </c>
      <c r="D9143" s="343">
        <v>48.45</v>
      </c>
    </row>
    <row r="9144" spans="1:4" ht="25.5">
      <c r="A9144" s="341">
        <v>3511</v>
      </c>
      <c r="B9144" s="342" t="s">
        <v>9981</v>
      </c>
      <c r="C9144" s="341" t="s">
        <v>7278</v>
      </c>
      <c r="D9144" s="343">
        <v>57.95</v>
      </c>
    </row>
    <row r="9145" spans="1:4" ht="38.25">
      <c r="A9145" s="341">
        <v>38917</v>
      </c>
      <c r="B9145" s="342" t="s">
        <v>9982</v>
      </c>
      <c r="C9145" s="341" t="s">
        <v>7278</v>
      </c>
      <c r="D9145" s="343">
        <v>9.6</v>
      </c>
    </row>
    <row r="9146" spans="1:4" ht="38.25">
      <c r="A9146" s="341">
        <v>38919</v>
      </c>
      <c r="B9146" s="342" t="s">
        <v>9983</v>
      </c>
      <c r="C9146" s="341" t="s">
        <v>7278</v>
      </c>
      <c r="D9146" s="343">
        <v>14.28</v>
      </c>
    </row>
    <row r="9147" spans="1:4" ht="38.25">
      <c r="A9147" s="341">
        <v>38922</v>
      </c>
      <c r="B9147" s="342" t="s">
        <v>9984</v>
      </c>
      <c r="C9147" s="341" t="s">
        <v>7278</v>
      </c>
      <c r="D9147" s="343">
        <v>18.45</v>
      </c>
    </row>
    <row r="9148" spans="1:4" ht="38.25">
      <c r="A9148" s="341">
        <v>38921</v>
      </c>
      <c r="B9148" s="342" t="s">
        <v>9985</v>
      </c>
      <c r="C9148" s="341" t="s">
        <v>7278</v>
      </c>
      <c r="D9148" s="343">
        <v>22.81</v>
      </c>
    </row>
    <row r="9149" spans="1:4" ht="38.25">
      <c r="A9149" s="341">
        <v>38918</v>
      </c>
      <c r="B9149" s="342" t="s">
        <v>9986</v>
      </c>
      <c r="C9149" s="341" t="s">
        <v>7278</v>
      </c>
      <c r="D9149" s="343">
        <v>21.68</v>
      </c>
    </row>
    <row r="9150" spans="1:4" ht="38.25">
      <c r="A9150" s="341">
        <v>38920</v>
      </c>
      <c r="B9150" s="342" t="s">
        <v>9987</v>
      </c>
      <c r="C9150" s="341" t="s">
        <v>7278</v>
      </c>
      <c r="D9150" s="343">
        <v>27.11</v>
      </c>
    </row>
    <row r="9151" spans="1:4" ht="63.75">
      <c r="A9151" s="341">
        <v>3104</v>
      </c>
      <c r="B9151" s="342" t="s">
        <v>9988</v>
      </c>
      <c r="C9151" s="341" t="s">
        <v>8783</v>
      </c>
      <c r="D9151" s="343">
        <v>350.87</v>
      </c>
    </row>
    <row r="9152" spans="1:4" ht="51">
      <c r="A9152" s="341">
        <v>12032</v>
      </c>
      <c r="B9152" s="342" t="s">
        <v>9989</v>
      </c>
      <c r="C9152" s="341" t="s">
        <v>7773</v>
      </c>
      <c r="D9152" s="343">
        <v>42.19</v>
      </c>
    </row>
    <row r="9153" spans="1:4" ht="51">
      <c r="A9153" s="341">
        <v>12030</v>
      </c>
      <c r="B9153" s="342" t="s">
        <v>9990</v>
      </c>
      <c r="C9153" s="341" t="s">
        <v>7773</v>
      </c>
      <c r="D9153" s="343">
        <v>39.64</v>
      </c>
    </row>
    <row r="9154" spans="1:4" ht="38.25">
      <c r="A9154" s="341">
        <v>10908</v>
      </c>
      <c r="B9154" s="342" t="s">
        <v>9991</v>
      </c>
      <c r="C9154" s="341" t="s">
        <v>7278</v>
      </c>
      <c r="D9154" s="343">
        <v>10.9</v>
      </c>
    </row>
    <row r="9155" spans="1:4" ht="38.25">
      <c r="A9155" s="341">
        <v>10909</v>
      </c>
      <c r="B9155" s="342" t="s">
        <v>9992</v>
      </c>
      <c r="C9155" s="341" t="s">
        <v>7278</v>
      </c>
      <c r="D9155" s="343">
        <v>13.24</v>
      </c>
    </row>
    <row r="9156" spans="1:4" ht="38.25">
      <c r="A9156" s="341">
        <v>3669</v>
      </c>
      <c r="B9156" s="342" t="s">
        <v>9993</v>
      </c>
      <c r="C9156" s="341" t="s">
        <v>7278</v>
      </c>
      <c r="D9156" s="343">
        <v>7.98</v>
      </c>
    </row>
    <row r="9157" spans="1:4" ht="38.25">
      <c r="A9157" s="341">
        <v>20138</v>
      </c>
      <c r="B9157" s="342" t="s">
        <v>9994</v>
      </c>
      <c r="C9157" s="341" t="s">
        <v>7278</v>
      </c>
      <c r="D9157" s="343">
        <v>65.33</v>
      </c>
    </row>
    <row r="9158" spans="1:4" ht="25.5">
      <c r="A9158" s="341">
        <v>20139</v>
      </c>
      <c r="B9158" s="342" t="s">
        <v>9995</v>
      </c>
      <c r="C9158" s="341" t="s">
        <v>7278</v>
      </c>
      <c r="D9158" s="343">
        <v>45.39</v>
      </c>
    </row>
    <row r="9159" spans="1:4" ht="25.5">
      <c r="A9159" s="341">
        <v>3668</v>
      </c>
      <c r="B9159" s="342" t="s">
        <v>9996</v>
      </c>
      <c r="C9159" s="341" t="s">
        <v>7278</v>
      </c>
      <c r="D9159" s="343">
        <v>26.25</v>
      </c>
    </row>
    <row r="9160" spans="1:4" ht="25.5">
      <c r="A9160" s="341">
        <v>3656</v>
      </c>
      <c r="B9160" s="342" t="s">
        <v>9997</v>
      </c>
      <c r="C9160" s="341" t="s">
        <v>7278</v>
      </c>
      <c r="D9160" s="343">
        <v>13.24</v>
      </c>
    </row>
    <row r="9161" spans="1:4" ht="25.5">
      <c r="A9161" s="341">
        <v>10911</v>
      </c>
      <c r="B9161" s="342" t="s">
        <v>9998</v>
      </c>
      <c r="C9161" s="341" t="s">
        <v>7278</v>
      </c>
      <c r="D9161" s="343">
        <v>12.55</v>
      </c>
    </row>
    <row r="9162" spans="1:4" ht="25.5">
      <c r="A9162" s="341">
        <v>3654</v>
      </c>
      <c r="B9162" s="342" t="s">
        <v>9999</v>
      </c>
      <c r="C9162" s="341" t="s">
        <v>7278</v>
      </c>
      <c r="D9162" s="343">
        <v>8.24</v>
      </c>
    </row>
    <row r="9163" spans="1:4" ht="25.5">
      <c r="A9163" s="341">
        <v>3663</v>
      </c>
      <c r="B9163" s="342" t="s">
        <v>10000</v>
      </c>
      <c r="C9163" s="341" t="s">
        <v>7278</v>
      </c>
      <c r="D9163" s="343">
        <v>16.600000000000001</v>
      </c>
    </row>
    <row r="9164" spans="1:4" ht="25.5">
      <c r="A9164" s="341">
        <v>3664</v>
      </c>
      <c r="B9164" s="342" t="s">
        <v>10001</v>
      </c>
      <c r="C9164" s="341" t="s">
        <v>7278</v>
      </c>
      <c r="D9164" s="343">
        <v>9.5</v>
      </c>
    </row>
    <row r="9165" spans="1:4" ht="25.5">
      <c r="A9165" s="341">
        <v>3655</v>
      </c>
      <c r="B9165" s="342" t="s">
        <v>10002</v>
      </c>
      <c r="C9165" s="341" t="s">
        <v>7278</v>
      </c>
      <c r="D9165" s="343">
        <v>28.9</v>
      </c>
    </row>
    <row r="9166" spans="1:4" ht="25.5">
      <c r="A9166" s="341">
        <v>3657</v>
      </c>
      <c r="B9166" s="342" t="s">
        <v>10003</v>
      </c>
      <c r="C9166" s="341" t="s">
        <v>7278</v>
      </c>
      <c r="D9166" s="343">
        <v>21.28</v>
      </c>
    </row>
    <row r="9167" spans="1:4" ht="25.5">
      <c r="A9167" s="341">
        <v>3665</v>
      </c>
      <c r="B9167" s="342" t="s">
        <v>10004</v>
      </c>
      <c r="C9167" s="341" t="s">
        <v>7278</v>
      </c>
      <c r="D9167" s="343">
        <v>43.5</v>
      </c>
    </row>
    <row r="9168" spans="1:4" ht="38.25">
      <c r="A9168" s="341">
        <v>12625</v>
      </c>
      <c r="B9168" s="342" t="s">
        <v>10005</v>
      </c>
      <c r="C9168" s="341" t="s">
        <v>7278</v>
      </c>
      <c r="D9168" s="343">
        <v>9.4700000000000006</v>
      </c>
    </row>
    <row r="9169" spans="1:4" ht="25.5">
      <c r="A9169" s="341">
        <v>20136</v>
      </c>
      <c r="B9169" s="342" t="s">
        <v>10006</v>
      </c>
      <c r="C9169" s="341" t="s">
        <v>7278</v>
      </c>
      <c r="D9169" s="343">
        <v>97.5</v>
      </c>
    </row>
    <row r="9170" spans="1:4" ht="25.5">
      <c r="A9170" s="341">
        <v>20144</v>
      </c>
      <c r="B9170" s="342" t="s">
        <v>10007</v>
      </c>
      <c r="C9170" s="341" t="s">
        <v>7278</v>
      </c>
      <c r="D9170" s="343">
        <v>36.58</v>
      </c>
    </row>
    <row r="9171" spans="1:4" ht="25.5">
      <c r="A9171" s="341">
        <v>20143</v>
      </c>
      <c r="B9171" s="342" t="s">
        <v>10008</v>
      </c>
      <c r="C9171" s="341" t="s">
        <v>7278</v>
      </c>
      <c r="D9171" s="343">
        <v>35.200000000000003</v>
      </c>
    </row>
    <row r="9172" spans="1:4" ht="25.5">
      <c r="A9172" s="341">
        <v>20145</v>
      </c>
      <c r="B9172" s="342" t="s">
        <v>10009</v>
      </c>
      <c r="C9172" s="341" t="s">
        <v>7278</v>
      </c>
      <c r="D9172" s="343">
        <v>84.35</v>
      </c>
    </row>
    <row r="9173" spans="1:4" ht="25.5">
      <c r="A9173" s="341">
        <v>20146</v>
      </c>
      <c r="B9173" s="342" t="s">
        <v>10010</v>
      </c>
      <c r="C9173" s="341" t="s">
        <v>7278</v>
      </c>
      <c r="D9173" s="343">
        <v>102.58</v>
      </c>
    </row>
    <row r="9174" spans="1:4" ht="25.5">
      <c r="A9174" s="341">
        <v>20140</v>
      </c>
      <c r="B9174" s="342" t="s">
        <v>10011</v>
      </c>
      <c r="C9174" s="341" t="s">
        <v>7278</v>
      </c>
      <c r="D9174" s="343">
        <v>6.07</v>
      </c>
    </row>
    <row r="9175" spans="1:4" ht="25.5">
      <c r="A9175" s="341">
        <v>20141</v>
      </c>
      <c r="B9175" s="342" t="s">
        <v>10012</v>
      </c>
      <c r="C9175" s="341" t="s">
        <v>7278</v>
      </c>
      <c r="D9175" s="343">
        <v>9.1300000000000008</v>
      </c>
    </row>
    <row r="9176" spans="1:4" ht="25.5">
      <c r="A9176" s="341">
        <v>20142</v>
      </c>
      <c r="B9176" s="342" t="s">
        <v>10013</v>
      </c>
      <c r="C9176" s="341" t="s">
        <v>7278</v>
      </c>
      <c r="D9176" s="343">
        <v>23.2</v>
      </c>
    </row>
    <row r="9177" spans="1:4" ht="25.5">
      <c r="A9177" s="341">
        <v>3659</v>
      </c>
      <c r="B9177" s="342" t="s">
        <v>10014</v>
      </c>
      <c r="C9177" s="341" t="s">
        <v>7278</v>
      </c>
      <c r="D9177" s="343">
        <v>11.13</v>
      </c>
    </row>
    <row r="9178" spans="1:4" ht="25.5">
      <c r="A9178" s="341">
        <v>3660</v>
      </c>
      <c r="B9178" s="342" t="s">
        <v>10015</v>
      </c>
      <c r="C9178" s="341" t="s">
        <v>7278</v>
      </c>
      <c r="D9178" s="343">
        <v>15.2</v>
      </c>
    </row>
    <row r="9179" spans="1:4" ht="25.5">
      <c r="A9179" s="341">
        <v>3662</v>
      </c>
      <c r="B9179" s="342" t="s">
        <v>10016</v>
      </c>
      <c r="C9179" s="341" t="s">
        <v>7278</v>
      </c>
      <c r="D9179" s="343">
        <v>5.76</v>
      </c>
    </row>
    <row r="9180" spans="1:4" ht="25.5">
      <c r="A9180" s="341">
        <v>3661</v>
      </c>
      <c r="B9180" s="342" t="s">
        <v>10017</v>
      </c>
      <c r="C9180" s="341" t="s">
        <v>7278</v>
      </c>
      <c r="D9180" s="343">
        <v>8.5500000000000007</v>
      </c>
    </row>
    <row r="9181" spans="1:4" ht="25.5">
      <c r="A9181" s="341">
        <v>3658</v>
      </c>
      <c r="B9181" s="342" t="s">
        <v>10018</v>
      </c>
      <c r="C9181" s="341" t="s">
        <v>7278</v>
      </c>
      <c r="D9181" s="343">
        <v>10.9</v>
      </c>
    </row>
    <row r="9182" spans="1:4" ht="25.5">
      <c r="A9182" s="341">
        <v>3670</v>
      </c>
      <c r="B9182" s="342" t="s">
        <v>10019</v>
      </c>
      <c r="C9182" s="341" t="s">
        <v>7278</v>
      </c>
      <c r="D9182" s="343">
        <v>15.42</v>
      </c>
    </row>
    <row r="9183" spans="1:4" ht="25.5">
      <c r="A9183" s="341">
        <v>3666</v>
      </c>
      <c r="B9183" s="342" t="s">
        <v>10020</v>
      </c>
      <c r="C9183" s="341" t="s">
        <v>7278</v>
      </c>
      <c r="D9183" s="343">
        <v>2.41</v>
      </c>
    </row>
    <row r="9184" spans="1:4">
      <c r="A9184" s="341">
        <v>14157</v>
      </c>
      <c r="B9184" s="342" t="s">
        <v>10021</v>
      </c>
      <c r="C9184" s="341" t="s">
        <v>7278</v>
      </c>
      <c r="D9184" s="343">
        <v>1.25</v>
      </c>
    </row>
    <row r="9185" spans="1:4" ht="25.5">
      <c r="A9185" s="341">
        <v>10865</v>
      </c>
      <c r="B9185" s="342" t="s">
        <v>10022</v>
      </c>
      <c r="C9185" s="341" t="s">
        <v>7278</v>
      </c>
      <c r="D9185" s="343">
        <v>10.3</v>
      </c>
    </row>
    <row r="9186" spans="1:4" ht="25.5">
      <c r="A9186" s="341">
        <v>3653</v>
      </c>
      <c r="B9186" s="342" t="s">
        <v>10023</v>
      </c>
      <c r="C9186" s="341" t="s">
        <v>7278</v>
      </c>
      <c r="D9186" s="343">
        <v>20.81</v>
      </c>
    </row>
    <row r="9187" spans="1:4" ht="25.5">
      <c r="A9187" s="341">
        <v>3649</v>
      </c>
      <c r="B9187" s="342" t="s">
        <v>10024</v>
      </c>
      <c r="C9187" s="341" t="s">
        <v>7278</v>
      </c>
      <c r="D9187" s="343">
        <v>53.28</v>
      </c>
    </row>
    <row r="9188" spans="1:4" ht="25.5">
      <c r="A9188" s="341">
        <v>3651</v>
      </c>
      <c r="B9188" s="342" t="s">
        <v>10025</v>
      </c>
      <c r="C9188" s="341" t="s">
        <v>7278</v>
      </c>
      <c r="D9188" s="343">
        <v>80.239999999999995</v>
      </c>
    </row>
    <row r="9189" spans="1:4" ht="25.5">
      <c r="A9189" s="341">
        <v>3650</v>
      </c>
      <c r="B9189" s="342" t="s">
        <v>10026</v>
      </c>
      <c r="C9189" s="341" t="s">
        <v>7278</v>
      </c>
      <c r="D9189" s="343">
        <v>111.78</v>
      </c>
    </row>
    <row r="9190" spans="1:4" ht="25.5">
      <c r="A9190" s="341">
        <v>3645</v>
      </c>
      <c r="B9190" s="342" t="s">
        <v>10027</v>
      </c>
      <c r="C9190" s="341" t="s">
        <v>7278</v>
      </c>
      <c r="D9190" s="343">
        <v>243.85</v>
      </c>
    </row>
    <row r="9191" spans="1:4" ht="25.5">
      <c r="A9191" s="341">
        <v>3646</v>
      </c>
      <c r="B9191" s="342" t="s">
        <v>10028</v>
      </c>
      <c r="C9191" s="341" t="s">
        <v>7278</v>
      </c>
      <c r="D9191" s="343">
        <v>397.02</v>
      </c>
    </row>
    <row r="9192" spans="1:4" ht="25.5">
      <c r="A9192" s="341">
        <v>3647</v>
      </c>
      <c r="B9192" s="342" t="s">
        <v>10029</v>
      </c>
      <c r="C9192" s="341" t="s">
        <v>7278</v>
      </c>
      <c r="D9192" s="343">
        <v>455.89</v>
      </c>
    </row>
    <row r="9193" spans="1:4" ht="25.5">
      <c r="A9193" s="341">
        <v>39875</v>
      </c>
      <c r="B9193" s="342" t="s">
        <v>10030</v>
      </c>
      <c r="C9193" s="341" t="s">
        <v>7278</v>
      </c>
      <c r="D9193" s="343">
        <v>291.86</v>
      </c>
    </row>
    <row r="9194" spans="1:4" ht="25.5">
      <c r="A9194" s="341">
        <v>39876</v>
      </c>
      <c r="B9194" s="342" t="s">
        <v>10031</v>
      </c>
      <c r="C9194" s="341" t="s">
        <v>7278</v>
      </c>
      <c r="D9194" s="343">
        <v>365.41</v>
      </c>
    </row>
    <row r="9195" spans="1:4" ht="25.5">
      <c r="A9195" s="341">
        <v>39877</v>
      </c>
      <c r="B9195" s="342" t="s">
        <v>10032</v>
      </c>
      <c r="C9195" s="341" t="s">
        <v>7278</v>
      </c>
      <c r="D9195" s="343">
        <v>506.82</v>
      </c>
    </row>
    <row r="9196" spans="1:4" ht="25.5">
      <c r="A9196" s="341">
        <v>39878</v>
      </c>
      <c r="B9196" s="342" t="s">
        <v>10033</v>
      </c>
      <c r="C9196" s="341" t="s">
        <v>7278</v>
      </c>
      <c r="D9196" s="343">
        <v>669.42</v>
      </c>
    </row>
    <row r="9197" spans="1:4" ht="25.5">
      <c r="A9197" s="341">
        <v>39872</v>
      </c>
      <c r="B9197" s="342" t="s">
        <v>10034</v>
      </c>
      <c r="C9197" s="341" t="s">
        <v>7278</v>
      </c>
      <c r="D9197" s="343">
        <v>200.15</v>
      </c>
    </row>
    <row r="9198" spans="1:4" ht="25.5">
      <c r="A9198" s="341">
        <v>39873</v>
      </c>
      <c r="B9198" s="342" t="s">
        <v>10035</v>
      </c>
      <c r="C9198" s="341" t="s">
        <v>7278</v>
      </c>
      <c r="D9198" s="343">
        <v>232.16</v>
      </c>
    </row>
    <row r="9199" spans="1:4" ht="25.5">
      <c r="A9199" s="341">
        <v>39874</v>
      </c>
      <c r="B9199" s="342" t="s">
        <v>10036</v>
      </c>
      <c r="C9199" s="341" t="s">
        <v>7278</v>
      </c>
      <c r="D9199" s="343">
        <v>255</v>
      </c>
    </row>
    <row r="9200" spans="1:4" ht="25.5">
      <c r="A9200" s="341">
        <v>3674</v>
      </c>
      <c r="B9200" s="342" t="s">
        <v>10037</v>
      </c>
      <c r="C9200" s="341" t="s">
        <v>7287</v>
      </c>
      <c r="D9200" s="343">
        <v>58.37</v>
      </c>
    </row>
    <row r="9201" spans="1:4" ht="25.5">
      <c r="A9201" s="341">
        <v>3681</v>
      </c>
      <c r="B9201" s="342" t="s">
        <v>10038</v>
      </c>
      <c r="C9201" s="341" t="s">
        <v>7287</v>
      </c>
      <c r="D9201" s="343">
        <v>86.85</v>
      </c>
    </row>
    <row r="9202" spans="1:4" ht="25.5">
      <c r="A9202" s="341">
        <v>3676</v>
      </c>
      <c r="B9202" s="342" t="s">
        <v>10039</v>
      </c>
      <c r="C9202" s="341" t="s">
        <v>7287</v>
      </c>
      <c r="D9202" s="343">
        <v>326.87</v>
      </c>
    </row>
    <row r="9203" spans="1:4" ht="25.5">
      <c r="A9203" s="341">
        <v>3679</v>
      </c>
      <c r="B9203" s="342" t="s">
        <v>10040</v>
      </c>
      <c r="C9203" s="341" t="s">
        <v>7287</v>
      </c>
      <c r="D9203" s="343">
        <v>270.42</v>
      </c>
    </row>
    <row r="9204" spans="1:4" ht="25.5">
      <c r="A9204" s="341">
        <v>3672</v>
      </c>
      <c r="B9204" s="342" t="s">
        <v>10041</v>
      </c>
      <c r="C9204" s="341" t="s">
        <v>7287</v>
      </c>
      <c r="D9204" s="343">
        <v>0.92</v>
      </c>
    </row>
    <row r="9205" spans="1:4" ht="25.5">
      <c r="A9205" s="341">
        <v>3671</v>
      </c>
      <c r="B9205" s="342" t="s">
        <v>10042</v>
      </c>
      <c r="C9205" s="341" t="s">
        <v>7287</v>
      </c>
      <c r="D9205" s="343">
        <v>0.87</v>
      </c>
    </row>
    <row r="9206" spans="1:4" ht="25.5">
      <c r="A9206" s="341">
        <v>3673</v>
      </c>
      <c r="B9206" s="342" t="s">
        <v>10043</v>
      </c>
      <c r="C9206" s="341" t="s">
        <v>7287</v>
      </c>
      <c r="D9206" s="343">
        <v>1.36</v>
      </c>
    </row>
    <row r="9207" spans="1:4" ht="38.25">
      <c r="A9207" s="341">
        <v>38394</v>
      </c>
      <c r="B9207" s="342" t="s">
        <v>10044</v>
      </c>
      <c r="C9207" s="341" t="s">
        <v>7278</v>
      </c>
      <c r="D9207" s="343">
        <v>244.72</v>
      </c>
    </row>
    <row r="9208" spans="1:4" ht="25.5">
      <c r="A9208" s="341">
        <v>3729</v>
      </c>
      <c r="B9208" s="342" t="s">
        <v>10045</v>
      </c>
      <c r="C9208" s="341" t="s">
        <v>7278</v>
      </c>
      <c r="D9208" s="343">
        <v>52.43</v>
      </c>
    </row>
    <row r="9209" spans="1:4" ht="25.5">
      <c r="A9209" s="341">
        <v>63</v>
      </c>
      <c r="B9209" s="342" t="s">
        <v>10046</v>
      </c>
      <c r="C9209" s="341" t="s">
        <v>7278</v>
      </c>
      <c r="D9209" s="343">
        <v>49.66</v>
      </c>
    </row>
    <row r="9210" spans="1:4" ht="102">
      <c r="A9210" s="341">
        <v>39357</v>
      </c>
      <c r="B9210" s="342" t="s">
        <v>10047</v>
      </c>
      <c r="C9210" s="341" t="s">
        <v>7278</v>
      </c>
      <c r="D9210" s="343">
        <v>87.21</v>
      </c>
    </row>
    <row r="9211" spans="1:4" ht="102">
      <c r="A9211" s="341">
        <v>39358</v>
      </c>
      <c r="B9211" s="342" t="s">
        <v>10048</v>
      </c>
      <c r="C9211" s="341" t="s">
        <v>7278</v>
      </c>
      <c r="D9211" s="343">
        <v>95.63</v>
      </c>
    </row>
    <row r="9212" spans="1:4" ht="114.75">
      <c r="A9212" s="341">
        <v>39356</v>
      </c>
      <c r="B9212" s="342" t="s">
        <v>10049</v>
      </c>
      <c r="C9212" s="341" t="s">
        <v>7278</v>
      </c>
      <c r="D9212" s="343">
        <v>163.15</v>
      </c>
    </row>
    <row r="9213" spans="1:4" ht="114.75">
      <c r="A9213" s="341">
        <v>39355</v>
      </c>
      <c r="B9213" s="342" t="s">
        <v>10050</v>
      </c>
      <c r="C9213" s="341" t="s">
        <v>7278</v>
      </c>
      <c r="D9213" s="343">
        <v>140.38999999999999</v>
      </c>
    </row>
    <row r="9214" spans="1:4" ht="102">
      <c r="A9214" s="341">
        <v>39353</v>
      </c>
      <c r="B9214" s="342" t="s">
        <v>10051</v>
      </c>
      <c r="C9214" s="341" t="s">
        <v>7278</v>
      </c>
      <c r="D9214" s="343">
        <v>192.53</v>
      </c>
    </row>
    <row r="9215" spans="1:4" ht="102">
      <c r="A9215" s="341">
        <v>39354</v>
      </c>
      <c r="B9215" s="342" t="s">
        <v>10052</v>
      </c>
      <c r="C9215" s="341" t="s">
        <v>7278</v>
      </c>
      <c r="D9215" s="343">
        <v>191.88</v>
      </c>
    </row>
    <row r="9216" spans="1:4" ht="25.5">
      <c r="A9216" s="341">
        <v>39398</v>
      </c>
      <c r="B9216" s="342" t="s">
        <v>10053</v>
      </c>
      <c r="C9216" s="341" t="s">
        <v>7278</v>
      </c>
      <c r="D9216" s="343">
        <v>118.37</v>
      </c>
    </row>
    <row r="9217" spans="1:4" ht="51">
      <c r="A9217" s="341">
        <v>13343</v>
      </c>
      <c r="B9217" s="342" t="s">
        <v>10054</v>
      </c>
      <c r="C9217" s="341" t="s">
        <v>7278</v>
      </c>
      <c r="D9217" s="343">
        <v>23.7</v>
      </c>
    </row>
    <row r="9218" spans="1:4" ht="38.25">
      <c r="A9218" s="341">
        <v>12118</v>
      </c>
      <c r="B9218" s="342" t="s">
        <v>10055</v>
      </c>
      <c r="C9218" s="341" t="s">
        <v>7278</v>
      </c>
      <c r="D9218" s="343">
        <v>13.04</v>
      </c>
    </row>
    <row r="9219" spans="1:4" ht="76.5">
      <c r="A9219" s="341">
        <v>39482</v>
      </c>
      <c r="B9219" s="342" t="s">
        <v>10056</v>
      </c>
      <c r="C9219" s="341" t="s">
        <v>7278</v>
      </c>
      <c r="D9219" s="343">
        <v>405.88</v>
      </c>
    </row>
    <row r="9220" spans="1:4" ht="76.5">
      <c r="A9220" s="341">
        <v>39486</v>
      </c>
      <c r="B9220" s="342" t="s">
        <v>10057</v>
      </c>
      <c r="C9220" s="341" t="s">
        <v>7278</v>
      </c>
      <c r="D9220" s="343">
        <v>357.6</v>
      </c>
    </row>
    <row r="9221" spans="1:4" ht="76.5">
      <c r="A9221" s="341">
        <v>39483</v>
      </c>
      <c r="B9221" s="342" t="s">
        <v>10058</v>
      </c>
      <c r="C9221" s="341" t="s">
        <v>7278</v>
      </c>
      <c r="D9221" s="343">
        <v>387.12</v>
      </c>
    </row>
    <row r="9222" spans="1:4" ht="76.5">
      <c r="A9222" s="341">
        <v>39487</v>
      </c>
      <c r="B9222" s="342" t="s">
        <v>10059</v>
      </c>
      <c r="C9222" s="341" t="s">
        <v>7278</v>
      </c>
      <c r="D9222" s="343">
        <v>361.29</v>
      </c>
    </row>
    <row r="9223" spans="1:4" ht="76.5">
      <c r="A9223" s="341">
        <v>39484</v>
      </c>
      <c r="B9223" s="342" t="s">
        <v>10060</v>
      </c>
      <c r="C9223" s="341" t="s">
        <v>7278</v>
      </c>
      <c r="D9223" s="343">
        <v>390.81</v>
      </c>
    </row>
    <row r="9224" spans="1:4" ht="76.5">
      <c r="A9224" s="341">
        <v>39488</v>
      </c>
      <c r="B9224" s="342" t="s">
        <v>10061</v>
      </c>
      <c r="C9224" s="341" t="s">
        <v>7278</v>
      </c>
      <c r="D9224" s="343">
        <v>364.98</v>
      </c>
    </row>
    <row r="9225" spans="1:4" ht="76.5">
      <c r="A9225" s="341">
        <v>39485</v>
      </c>
      <c r="B9225" s="342" t="s">
        <v>10062</v>
      </c>
      <c r="C9225" s="341" t="s">
        <v>7278</v>
      </c>
      <c r="D9225" s="343">
        <v>409.28</v>
      </c>
    </row>
    <row r="9226" spans="1:4" ht="76.5">
      <c r="A9226" s="341">
        <v>39489</v>
      </c>
      <c r="B9226" s="342" t="s">
        <v>10063</v>
      </c>
      <c r="C9226" s="341" t="s">
        <v>7278</v>
      </c>
      <c r="D9226" s="343">
        <v>383.45</v>
      </c>
    </row>
    <row r="9227" spans="1:4" ht="76.5">
      <c r="A9227" s="341">
        <v>39494</v>
      </c>
      <c r="B9227" s="342" t="s">
        <v>10064</v>
      </c>
      <c r="C9227" s="341" t="s">
        <v>7278</v>
      </c>
      <c r="D9227" s="343">
        <v>391.12</v>
      </c>
    </row>
    <row r="9228" spans="1:4" ht="76.5">
      <c r="A9228" s="341">
        <v>39490</v>
      </c>
      <c r="B9228" s="342" t="s">
        <v>10065</v>
      </c>
      <c r="C9228" s="341" t="s">
        <v>7278</v>
      </c>
      <c r="D9228" s="343">
        <v>443.37</v>
      </c>
    </row>
    <row r="9229" spans="1:4" ht="76.5">
      <c r="A9229" s="341">
        <v>39495</v>
      </c>
      <c r="B9229" s="342" t="s">
        <v>10066</v>
      </c>
      <c r="C9229" s="341" t="s">
        <v>7278</v>
      </c>
      <c r="D9229" s="343">
        <v>405.88</v>
      </c>
    </row>
    <row r="9230" spans="1:4" ht="76.5">
      <c r="A9230" s="341">
        <v>39491</v>
      </c>
      <c r="B9230" s="342" t="s">
        <v>10067</v>
      </c>
      <c r="C9230" s="341" t="s">
        <v>7278</v>
      </c>
      <c r="D9230" s="343">
        <v>457.54</v>
      </c>
    </row>
    <row r="9231" spans="1:4" ht="76.5">
      <c r="A9231" s="341">
        <v>39496</v>
      </c>
      <c r="B9231" s="342" t="s">
        <v>10068</v>
      </c>
      <c r="C9231" s="341" t="s">
        <v>7278</v>
      </c>
      <c r="D9231" s="343">
        <v>420.5</v>
      </c>
    </row>
    <row r="9232" spans="1:4" ht="76.5">
      <c r="A9232" s="341">
        <v>39492</v>
      </c>
      <c r="B9232" s="342" t="s">
        <v>10069</v>
      </c>
      <c r="C9232" s="341" t="s">
        <v>7278</v>
      </c>
      <c r="D9232" s="343">
        <v>460.35</v>
      </c>
    </row>
    <row r="9233" spans="1:4" ht="76.5">
      <c r="A9233" s="341">
        <v>39497</v>
      </c>
      <c r="B9233" s="342" t="s">
        <v>10070</v>
      </c>
      <c r="C9233" s="341" t="s">
        <v>7278</v>
      </c>
      <c r="D9233" s="343">
        <v>435.26</v>
      </c>
    </row>
    <row r="9234" spans="1:4" ht="76.5">
      <c r="A9234" s="341">
        <v>39493</v>
      </c>
      <c r="B9234" s="342" t="s">
        <v>10071</v>
      </c>
      <c r="C9234" s="341" t="s">
        <v>7278</v>
      </c>
      <c r="D9234" s="343">
        <v>487.06</v>
      </c>
    </row>
    <row r="9235" spans="1:4" ht="63.75">
      <c r="A9235" s="341">
        <v>39500</v>
      </c>
      <c r="B9235" s="342" t="s">
        <v>10072</v>
      </c>
      <c r="C9235" s="341" t="s">
        <v>7278</v>
      </c>
      <c r="D9235" s="343">
        <v>488.66</v>
      </c>
    </row>
    <row r="9236" spans="1:4" ht="76.5">
      <c r="A9236" s="341">
        <v>39498</v>
      </c>
      <c r="B9236" s="342" t="s">
        <v>10073</v>
      </c>
      <c r="C9236" s="341" t="s">
        <v>7278</v>
      </c>
      <c r="D9236" s="343">
        <v>543.37</v>
      </c>
    </row>
    <row r="9237" spans="1:4" ht="63.75">
      <c r="A9237" s="341">
        <v>39501</v>
      </c>
      <c r="B9237" s="342" t="s">
        <v>10074</v>
      </c>
      <c r="C9237" s="341" t="s">
        <v>7278</v>
      </c>
      <c r="D9237" s="343">
        <v>501.38</v>
      </c>
    </row>
    <row r="9238" spans="1:4" ht="76.5">
      <c r="A9238" s="341">
        <v>39499</v>
      </c>
      <c r="B9238" s="342" t="s">
        <v>10075</v>
      </c>
      <c r="C9238" s="341" t="s">
        <v>7278</v>
      </c>
      <c r="D9238" s="343">
        <v>589.46</v>
      </c>
    </row>
    <row r="9239" spans="1:4" ht="38.25">
      <c r="A9239" s="341">
        <v>3733</v>
      </c>
      <c r="B9239" s="342" t="s">
        <v>10076</v>
      </c>
      <c r="C9239" s="341" t="s">
        <v>7273</v>
      </c>
      <c r="D9239" s="343">
        <v>48.75</v>
      </c>
    </row>
    <row r="9240" spans="1:4" ht="25.5">
      <c r="A9240" s="341">
        <v>3731</v>
      </c>
      <c r="B9240" s="342" t="s">
        <v>10077</v>
      </c>
      <c r="C9240" s="341" t="s">
        <v>7273</v>
      </c>
      <c r="D9240" s="343">
        <v>45.25</v>
      </c>
    </row>
    <row r="9241" spans="1:4" ht="25.5">
      <c r="A9241" s="341">
        <v>38137</v>
      </c>
      <c r="B9241" s="342" t="s">
        <v>10078</v>
      </c>
      <c r="C9241" s="341" t="s">
        <v>7273</v>
      </c>
      <c r="D9241" s="343">
        <v>45.51</v>
      </c>
    </row>
    <row r="9242" spans="1:4" ht="25.5">
      <c r="A9242" s="341">
        <v>38135</v>
      </c>
      <c r="B9242" s="342" t="s">
        <v>10079</v>
      </c>
      <c r="C9242" s="341" t="s">
        <v>7273</v>
      </c>
      <c r="D9242" s="343">
        <v>57.7</v>
      </c>
    </row>
    <row r="9243" spans="1:4" ht="25.5">
      <c r="A9243" s="341">
        <v>38138</v>
      </c>
      <c r="B9243" s="342" t="s">
        <v>10080</v>
      </c>
      <c r="C9243" s="341" t="s">
        <v>7273</v>
      </c>
      <c r="D9243" s="343">
        <v>44.69</v>
      </c>
    </row>
    <row r="9244" spans="1:4" ht="51">
      <c r="A9244" s="341">
        <v>3736</v>
      </c>
      <c r="B9244" s="342" t="s">
        <v>10081</v>
      </c>
      <c r="C9244" s="341" t="s">
        <v>7273</v>
      </c>
      <c r="D9244" s="343">
        <v>32.75</v>
      </c>
    </row>
    <row r="9245" spans="1:4" ht="51">
      <c r="A9245" s="341">
        <v>3741</v>
      </c>
      <c r="B9245" s="342" t="s">
        <v>10082</v>
      </c>
      <c r="C9245" s="341" t="s">
        <v>7273</v>
      </c>
      <c r="D9245" s="343">
        <v>34.130000000000003</v>
      </c>
    </row>
    <row r="9246" spans="1:4" ht="51">
      <c r="A9246" s="341">
        <v>3745</v>
      </c>
      <c r="B9246" s="342" t="s">
        <v>10083</v>
      </c>
      <c r="C9246" s="341" t="s">
        <v>7273</v>
      </c>
      <c r="D9246" s="343">
        <v>36.81</v>
      </c>
    </row>
    <row r="9247" spans="1:4" ht="51">
      <c r="A9247" s="341">
        <v>3743</v>
      </c>
      <c r="B9247" s="342" t="s">
        <v>10084</v>
      </c>
      <c r="C9247" s="341" t="s">
        <v>7273</v>
      </c>
      <c r="D9247" s="343">
        <v>34.01</v>
      </c>
    </row>
    <row r="9248" spans="1:4" ht="51">
      <c r="A9248" s="341">
        <v>3744</v>
      </c>
      <c r="B9248" s="342" t="s">
        <v>10085</v>
      </c>
      <c r="C9248" s="341" t="s">
        <v>7273</v>
      </c>
      <c r="D9248" s="343">
        <v>37.44</v>
      </c>
    </row>
    <row r="9249" spans="1:4" ht="51">
      <c r="A9249" s="341">
        <v>3739</v>
      </c>
      <c r="B9249" s="342" t="s">
        <v>10086</v>
      </c>
      <c r="C9249" s="341" t="s">
        <v>7273</v>
      </c>
      <c r="D9249" s="343">
        <v>39.35</v>
      </c>
    </row>
    <row r="9250" spans="1:4" ht="51">
      <c r="A9250" s="341">
        <v>3737</v>
      </c>
      <c r="B9250" s="342" t="s">
        <v>10087</v>
      </c>
      <c r="C9250" s="341" t="s">
        <v>7273</v>
      </c>
      <c r="D9250" s="343">
        <v>41.25</v>
      </c>
    </row>
    <row r="9251" spans="1:4" ht="51">
      <c r="A9251" s="341">
        <v>3738</v>
      </c>
      <c r="B9251" s="342" t="s">
        <v>10088</v>
      </c>
      <c r="C9251" s="341" t="s">
        <v>7273</v>
      </c>
      <c r="D9251" s="343">
        <v>47.6</v>
      </c>
    </row>
    <row r="9252" spans="1:4" ht="51">
      <c r="A9252" s="341">
        <v>3747</v>
      </c>
      <c r="B9252" s="342" t="s">
        <v>10089</v>
      </c>
      <c r="C9252" s="341" t="s">
        <v>7273</v>
      </c>
      <c r="D9252" s="343">
        <v>37.44</v>
      </c>
    </row>
    <row r="9253" spans="1:4" ht="38.25">
      <c r="A9253" s="341">
        <v>11649</v>
      </c>
      <c r="B9253" s="342" t="s">
        <v>10090</v>
      </c>
      <c r="C9253" s="341" t="s">
        <v>7278</v>
      </c>
      <c r="D9253" s="343">
        <v>271.64</v>
      </c>
    </row>
    <row r="9254" spans="1:4" ht="38.25">
      <c r="A9254" s="341">
        <v>11650</v>
      </c>
      <c r="B9254" s="342" t="s">
        <v>10091</v>
      </c>
      <c r="C9254" s="341" t="s">
        <v>7278</v>
      </c>
      <c r="D9254" s="343">
        <v>463</v>
      </c>
    </row>
    <row r="9255" spans="1:4" ht="51">
      <c r="A9255" s="341">
        <v>3742</v>
      </c>
      <c r="B9255" s="342" t="s">
        <v>10092</v>
      </c>
      <c r="C9255" s="341" t="s">
        <v>7273</v>
      </c>
      <c r="D9255" s="343">
        <v>49.37</v>
      </c>
    </row>
    <row r="9256" spans="1:4" ht="51">
      <c r="A9256" s="341">
        <v>3746</v>
      </c>
      <c r="B9256" s="342" t="s">
        <v>10093</v>
      </c>
      <c r="C9256" s="341" t="s">
        <v>7273</v>
      </c>
      <c r="D9256" s="343">
        <v>57.65</v>
      </c>
    </row>
    <row r="9257" spans="1:4" ht="25.5">
      <c r="A9257" s="341">
        <v>13250</v>
      </c>
      <c r="B9257" s="342" t="s">
        <v>10094</v>
      </c>
      <c r="C9257" s="341" t="s">
        <v>7278</v>
      </c>
      <c r="D9257" s="343">
        <v>0.62</v>
      </c>
    </row>
    <row r="9258" spans="1:4" ht="25.5">
      <c r="A9258" s="341">
        <v>11641</v>
      </c>
      <c r="B9258" s="342" t="s">
        <v>10095</v>
      </c>
      <c r="C9258" s="341" t="s">
        <v>7273</v>
      </c>
      <c r="D9258" s="343">
        <v>10.39</v>
      </c>
    </row>
    <row r="9259" spans="1:4">
      <c r="A9259" s="341">
        <v>21106</v>
      </c>
      <c r="B9259" s="342" t="s">
        <v>10096</v>
      </c>
      <c r="C9259" s="341" t="s">
        <v>7338</v>
      </c>
      <c r="D9259" s="343">
        <v>18.93</v>
      </c>
    </row>
    <row r="9260" spans="1:4">
      <c r="A9260" s="341">
        <v>3755</v>
      </c>
      <c r="B9260" s="342" t="s">
        <v>10097</v>
      </c>
      <c r="C9260" s="341" t="s">
        <v>7278</v>
      </c>
      <c r="D9260" s="343">
        <v>14.11</v>
      </c>
    </row>
    <row r="9261" spans="1:4">
      <c r="A9261" s="341">
        <v>3750</v>
      </c>
      <c r="B9261" s="342" t="s">
        <v>10098</v>
      </c>
      <c r="C9261" s="341" t="s">
        <v>7278</v>
      </c>
      <c r="D9261" s="343">
        <v>18.97</v>
      </c>
    </row>
    <row r="9262" spans="1:4">
      <c r="A9262" s="341">
        <v>3756</v>
      </c>
      <c r="B9262" s="342" t="s">
        <v>10099</v>
      </c>
      <c r="C9262" s="341" t="s">
        <v>7278</v>
      </c>
      <c r="D9262" s="343">
        <v>35.450000000000003</v>
      </c>
    </row>
    <row r="9263" spans="1:4" ht="25.5">
      <c r="A9263" s="341">
        <v>39377</v>
      </c>
      <c r="B9263" s="342" t="s">
        <v>10100</v>
      </c>
      <c r="C9263" s="341" t="s">
        <v>7278</v>
      </c>
      <c r="D9263" s="343">
        <v>105.03</v>
      </c>
    </row>
    <row r="9264" spans="1:4" ht="25.5">
      <c r="A9264" s="341">
        <v>38191</v>
      </c>
      <c r="B9264" s="342" t="s">
        <v>10101</v>
      </c>
      <c r="C9264" s="341" t="s">
        <v>7278</v>
      </c>
      <c r="D9264" s="343">
        <v>7.82</v>
      </c>
    </row>
    <row r="9265" spans="1:4" ht="25.5">
      <c r="A9265" s="341">
        <v>39381</v>
      </c>
      <c r="B9265" s="342" t="s">
        <v>10102</v>
      </c>
      <c r="C9265" s="341" t="s">
        <v>7278</v>
      </c>
      <c r="D9265" s="343">
        <v>7.29</v>
      </c>
    </row>
    <row r="9266" spans="1:4" ht="25.5">
      <c r="A9266" s="341">
        <v>38780</v>
      </c>
      <c r="B9266" s="342" t="s">
        <v>10103</v>
      </c>
      <c r="C9266" s="341" t="s">
        <v>7278</v>
      </c>
      <c r="D9266" s="343">
        <v>8.92</v>
      </c>
    </row>
    <row r="9267" spans="1:4" ht="25.5">
      <c r="A9267" s="341">
        <v>38781</v>
      </c>
      <c r="B9267" s="342" t="s">
        <v>10104</v>
      </c>
      <c r="C9267" s="341" t="s">
        <v>7278</v>
      </c>
      <c r="D9267" s="343">
        <v>30.12</v>
      </c>
    </row>
    <row r="9268" spans="1:4" ht="25.5">
      <c r="A9268" s="341">
        <v>38192</v>
      </c>
      <c r="B9268" s="342" t="s">
        <v>10105</v>
      </c>
      <c r="C9268" s="341" t="s">
        <v>7278</v>
      </c>
      <c r="D9268" s="343">
        <v>54.51</v>
      </c>
    </row>
    <row r="9269" spans="1:4" ht="25.5">
      <c r="A9269" s="341">
        <v>3753</v>
      </c>
      <c r="B9269" s="342" t="s">
        <v>10106</v>
      </c>
      <c r="C9269" s="341" t="s">
        <v>7278</v>
      </c>
      <c r="D9269" s="343">
        <v>4.7699999999999996</v>
      </c>
    </row>
    <row r="9270" spans="1:4" ht="25.5">
      <c r="A9270" s="341">
        <v>38782</v>
      </c>
      <c r="B9270" s="342" t="s">
        <v>10107</v>
      </c>
      <c r="C9270" s="341" t="s">
        <v>7278</v>
      </c>
      <c r="D9270" s="343">
        <v>6.21</v>
      </c>
    </row>
    <row r="9271" spans="1:4" ht="25.5">
      <c r="A9271" s="341">
        <v>38778</v>
      </c>
      <c r="B9271" s="342" t="s">
        <v>10108</v>
      </c>
      <c r="C9271" s="341" t="s">
        <v>7278</v>
      </c>
      <c r="D9271" s="343">
        <v>4.66</v>
      </c>
    </row>
    <row r="9272" spans="1:4" ht="25.5">
      <c r="A9272" s="341">
        <v>38779</v>
      </c>
      <c r="B9272" s="342" t="s">
        <v>10109</v>
      </c>
      <c r="C9272" s="341" t="s">
        <v>7278</v>
      </c>
      <c r="D9272" s="343">
        <v>4.9400000000000004</v>
      </c>
    </row>
    <row r="9273" spans="1:4" ht="25.5">
      <c r="A9273" s="341">
        <v>39388</v>
      </c>
      <c r="B9273" s="342" t="s">
        <v>10110</v>
      </c>
      <c r="C9273" s="341" t="s">
        <v>7278</v>
      </c>
      <c r="D9273" s="343">
        <v>24.08</v>
      </c>
    </row>
    <row r="9274" spans="1:4" ht="25.5">
      <c r="A9274" s="341">
        <v>39387</v>
      </c>
      <c r="B9274" s="342" t="s">
        <v>10111</v>
      </c>
      <c r="C9274" s="341" t="s">
        <v>7278</v>
      </c>
      <c r="D9274" s="343">
        <v>40.61</v>
      </c>
    </row>
    <row r="9275" spans="1:4" ht="25.5">
      <c r="A9275" s="341">
        <v>39386</v>
      </c>
      <c r="B9275" s="342" t="s">
        <v>10112</v>
      </c>
      <c r="C9275" s="341" t="s">
        <v>7278</v>
      </c>
      <c r="D9275" s="343">
        <v>26.86</v>
      </c>
    </row>
    <row r="9276" spans="1:4" ht="25.5">
      <c r="A9276" s="341">
        <v>38194</v>
      </c>
      <c r="B9276" s="342" t="s">
        <v>10113</v>
      </c>
      <c r="C9276" s="341" t="s">
        <v>7278</v>
      </c>
      <c r="D9276" s="343">
        <v>22.9</v>
      </c>
    </row>
    <row r="9277" spans="1:4" ht="25.5">
      <c r="A9277" s="341">
        <v>38193</v>
      </c>
      <c r="B9277" s="342" t="s">
        <v>10114</v>
      </c>
      <c r="C9277" s="341" t="s">
        <v>7278</v>
      </c>
      <c r="D9277" s="343">
        <v>16.940000000000001</v>
      </c>
    </row>
    <row r="9278" spans="1:4" ht="25.5">
      <c r="A9278" s="341">
        <v>12216</v>
      </c>
      <c r="B9278" s="342" t="s">
        <v>10115</v>
      </c>
      <c r="C9278" s="341" t="s">
        <v>7278</v>
      </c>
      <c r="D9278" s="343">
        <v>27.26</v>
      </c>
    </row>
    <row r="9279" spans="1:4" ht="25.5">
      <c r="A9279" s="341">
        <v>3757</v>
      </c>
      <c r="B9279" s="342" t="s">
        <v>10116</v>
      </c>
      <c r="C9279" s="341" t="s">
        <v>7278</v>
      </c>
      <c r="D9279" s="343">
        <v>31.52</v>
      </c>
    </row>
    <row r="9280" spans="1:4" ht="25.5">
      <c r="A9280" s="341">
        <v>3758</v>
      </c>
      <c r="B9280" s="342" t="s">
        <v>10117</v>
      </c>
      <c r="C9280" s="341" t="s">
        <v>7278</v>
      </c>
      <c r="D9280" s="343">
        <v>36.75</v>
      </c>
    </row>
    <row r="9281" spans="1:4">
      <c r="A9281" s="341">
        <v>12214</v>
      </c>
      <c r="B9281" s="342" t="s">
        <v>10118</v>
      </c>
      <c r="C9281" s="341" t="s">
        <v>7278</v>
      </c>
      <c r="D9281" s="343">
        <v>12.58</v>
      </c>
    </row>
    <row r="9282" spans="1:4">
      <c r="A9282" s="341">
        <v>3749</v>
      </c>
      <c r="B9282" s="342" t="s">
        <v>10119</v>
      </c>
      <c r="C9282" s="341" t="s">
        <v>7278</v>
      </c>
      <c r="D9282" s="343">
        <v>22.43</v>
      </c>
    </row>
    <row r="9283" spans="1:4">
      <c r="A9283" s="341">
        <v>3751</v>
      </c>
      <c r="B9283" s="342" t="s">
        <v>10120</v>
      </c>
      <c r="C9283" s="341" t="s">
        <v>7278</v>
      </c>
      <c r="D9283" s="343">
        <v>30.61</v>
      </c>
    </row>
    <row r="9284" spans="1:4" ht="25.5">
      <c r="A9284" s="341">
        <v>39376</v>
      </c>
      <c r="B9284" s="342" t="s">
        <v>10121</v>
      </c>
      <c r="C9284" s="341" t="s">
        <v>7278</v>
      </c>
      <c r="D9284" s="343">
        <v>25.8</v>
      </c>
    </row>
    <row r="9285" spans="1:4" ht="25.5">
      <c r="A9285" s="341">
        <v>3752</v>
      </c>
      <c r="B9285" s="342" t="s">
        <v>10122</v>
      </c>
      <c r="C9285" s="341" t="s">
        <v>7278</v>
      </c>
      <c r="D9285" s="343">
        <v>50.49</v>
      </c>
    </row>
    <row r="9286" spans="1:4" ht="51">
      <c r="A9286" s="341">
        <v>746</v>
      </c>
      <c r="B9286" s="342" t="s">
        <v>10123</v>
      </c>
      <c r="C9286" s="341" t="s">
        <v>7278</v>
      </c>
      <c r="D9286" s="344">
        <v>3446</v>
      </c>
    </row>
    <row r="9287" spans="1:4" ht="25.5">
      <c r="A9287" s="341">
        <v>36521</v>
      </c>
      <c r="B9287" s="342" t="s">
        <v>10124</v>
      </c>
      <c r="C9287" s="341" t="s">
        <v>7278</v>
      </c>
      <c r="D9287" s="343">
        <v>108.86</v>
      </c>
    </row>
    <row r="9288" spans="1:4" ht="25.5">
      <c r="A9288" s="341">
        <v>36794</v>
      </c>
      <c r="B9288" s="342" t="s">
        <v>10125</v>
      </c>
      <c r="C9288" s="341" t="s">
        <v>7278</v>
      </c>
      <c r="D9288" s="343">
        <v>110.97</v>
      </c>
    </row>
    <row r="9289" spans="1:4" ht="25.5">
      <c r="A9289" s="341">
        <v>10426</v>
      </c>
      <c r="B9289" s="342" t="s">
        <v>10126</v>
      </c>
      <c r="C9289" s="341" t="s">
        <v>7278</v>
      </c>
      <c r="D9289" s="343">
        <v>159.82</v>
      </c>
    </row>
    <row r="9290" spans="1:4" ht="25.5">
      <c r="A9290" s="341">
        <v>10425</v>
      </c>
      <c r="B9290" s="342" t="s">
        <v>10127</v>
      </c>
      <c r="C9290" s="341" t="s">
        <v>7278</v>
      </c>
      <c r="D9290" s="343">
        <v>70.48</v>
      </c>
    </row>
    <row r="9291" spans="1:4" ht="25.5">
      <c r="A9291" s="341">
        <v>10431</v>
      </c>
      <c r="B9291" s="342" t="s">
        <v>10128</v>
      </c>
      <c r="C9291" s="341" t="s">
        <v>7278</v>
      </c>
      <c r="D9291" s="343">
        <v>175.33</v>
      </c>
    </row>
    <row r="9292" spans="1:4">
      <c r="A9292" s="341">
        <v>10429</v>
      </c>
      <c r="B9292" s="342" t="s">
        <v>10129</v>
      </c>
      <c r="C9292" s="341" t="s">
        <v>7278</v>
      </c>
      <c r="D9292" s="343">
        <v>84.05</v>
      </c>
    </row>
    <row r="9293" spans="1:4" ht="25.5">
      <c r="A9293" s="341">
        <v>20269</v>
      </c>
      <c r="B9293" s="342" t="s">
        <v>10130</v>
      </c>
      <c r="C9293" s="341" t="s">
        <v>7278</v>
      </c>
      <c r="D9293" s="343">
        <v>69.28</v>
      </c>
    </row>
    <row r="9294" spans="1:4" ht="25.5">
      <c r="A9294" s="341">
        <v>20270</v>
      </c>
      <c r="B9294" s="342" t="s">
        <v>10131</v>
      </c>
      <c r="C9294" s="341" t="s">
        <v>7278</v>
      </c>
      <c r="D9294" s="343">
        <v>75.44</v>
      </c>
    </row>
    <row r="9295" spans="1:4" ht="25.5">
      <c r="A9295" s="341">
        <v>11696</v>
      </c>
      <c r="B9295" s="342" t="s">
        <v>10132</v>
      </c>
      <c r="C9295" s="341" t="s">
        <v>7278</v>
      </c>
      <c r="D9295" s="343">
        <v>110.21</v>
      </c>
    </row>
    <row r="9296" spans="1:4" ht="25.5">
      <c r="A9296" s="341">
        <v>10427</v>
      </c>
      <c r="B9296" s="342" t="s">
        <v>10133</v>
      </c>
      <c r="C9296" s="341" t="s">
        <v>7278</v>
      </c>
      <c r="D9296" s="343">
        <v>197.61</v>
      </c>
    </row>
    <row r="9297" spans="1:4" ht="25.5">
      <c r="A9297" s="341">
        <v>10428</v>
      </c>
      <c r="B9297" s="342" t="s">
        <v>10134</v>
      </c>
      <c r="C9297" s="341" t="s">
        <v>7278</v>
      </c>
      <c r="D9297" s="343">
        <v>200.56</v>
      </c>
    </row>
    <row r="9298" spans="1:4" ht="25.5">
      <c r="A9298" s="341">
        <v>2354</v>
      </c>
      <c r="B9298" s="342" t="s">
        <v>10135</v>
      </c>
      <c r="C9298" s="341" t="s">
        <v>7275</v>
      </c>
      <c r="D9298" s="343">
        <v>8.4</v>
      </c>
    </row>
    <row r="9299" spans="1:4" ht="25.5">
      <c r="A9299" s="341">
        <v>40932</v>
      </c>
      <c r="B9299" s="342" t="s">
        <v>10136</v>
      </c>
      <c r="C9299" s="341" t="s">
        <v>7466</v>
      </c>
      <c r="D9299" s="344">
        <v>1481.77</v>
      </c>
    </row>
    <row r="9300" spans="1:4" ht="25.5">
      <c r="A9300" s="341">
        <v>10853</v>
      </c>
      <c r="B9300" s="342" t="s">
        <v>10137</v>
      </c>
      <c r="C9300" s="341" t="s">
        <v>7278</v>
      </c>
      <c r="D9300" s="343">
        <v>60.63</v>
      </c>
    </row>
    <row r="9301" spans="1:4" ht="25.5">
      <c r="A9301" s="341">
        <v>5093</v>
      </c>
      <c r="B9301" s="342" t="s">
        <v>10138</v>
      </c>
      <c r="C9301" s="341" t="s">
        <v>7735</v>
      </c>
      <c r="D9301" s="343">
        <v>13.41</v>
      </c>
    </row>
    <row r="9302" spans="1:4" ht="51">
      <c r="A9302" s="341">
        <v>37768</v>
      </c>
      <c r="B9302" s="342" t="s">
        <v>10139</v>
      </c>
      <c r="C9302" s="341" t="s">
        <v>7278</v>
      </c>
      <c r="D9302" s="344">
        <v>70000</v>
      </c>
    </row>
    <row r="9303" spans="1:4" ht="38.25">
      <c r="A9303" s="341">
        <v>37773</v>
      </c>
      <c r="B9303" s="342" t="s">
        <v>10140</v>
      </c>
      <c r="C9303" s="341" t="s">
        <v>7278</v>
      </c>
      <c r="D9303" s="344">
        <v>59441.8</v>
      </c>
    </row>
    <row r="9304" spans="1:4" ht="38.25">
      <c r="A9304" s="341">
        <v>37769</v>
      </c>
      <c r="B9304" s="342" t="s">
        <v>10141</v>
      </c>
      <c r="C9304" s="341" t="s">
        <v>7278</v>
      </c>
      <c r="D9304" s="344">
        <v>99513.06</v>
      </c>
    </row>
    <row r="9305" spans="1:4" ht="38.25">
      <c r="A9305" s="341">
        <v>37770</v>
      </c>
      <c r="B9305" s="342" t="s">
        <v>10142</v>
      </c>
      <c r="C9305" s="341" t="s">
        <v>7278</v>
      </c>
      <c r="D9305" s="344">
        <v>168889.54</v>
      </c>
    </row>
    <row r="9306" spans="1:4">
      <c r="A9306" s="341">
        <v>38382</v>
      </c>
      <c r="B9306" s="342" t="s">
        <v>10143</v>
      </c>
      <c r="C9306" s="341" t="s">
        <v>7278</v>
      </c>
      <c r="D9306" s="343">
        <v>8.9</v>
      </c>
    </row>
    <row r="9307" spans="1:4">
      <c r="A9307" s="341">
        <v>6091</v>
      </c>
      <c r="B9307" s="342" t="s">
        <v>10144</v>
      </c>
      <c r="C9307" s="341" t="s">
        <v>7340</v>
      </c>
      <c r="D9307" s="343">
        <v>12.19</v>
      </c>
    </row>
    <row r="9308" spans="1:4">
      <c r="A9308" s="341">
        <v>38383</v>
      </c>
      <c r="B9308" s="342" t="s">
        <v>10145</v>
      </c>
      <c r="C9308" s="341" t="s">
        <v>7278</v>
      </c>
      <c r="D9308" s="343">
        <v>1.66</v>
      </c>
    </row>
    <row r="9309" spans="1:4">
      <c r="A9309" s="341">
        <v>3768</v>
      </c>
      <c r="B9309" s="342" t="s">
        <v>10146</v>
      </c>
      <c r="C9309" s="341" t="s">
        <v>7278</v>
      </c>
      <c r="D9309" s="343">
        <v>2.2000000000000002</v>
      </c>
    </row>
    <row r="9310" spans="1:4" ht="25.5">
      <c r="A9310" s="341">
        <v>3767</v>
      </c>
      <c r="B9310" s="342" t="s">
        <v>10147</v>
      </c>
      <c r="C9310" s="341" t="s">
        <v>7278</v>
      </c>
      <c r="D9310" s="343">
        <v>0.52</v>
      </c>
    </row>
    <row r="9311" spans="1:4" ht="25.5">
      <c r="A9311" s="341">
        <v>13192</v>
      </c>
      <c r="B9311" s="342" t="s">
        <v>10148</v>
      </c>
      <c r="C9311" s="341" t="s">
        <v>7278</v>
      </c>
      <c r="D9311" s="344">
        <v>5310.57</v>
      </c>
    </row>
    <row r="9312" spans="1:4" ht="38.25">
      <c r="A9312" s="341">
        <v>38413</v>
      </c>
      <c r="B9312" s="342" t="s">
        <v>10149</v>
      </c>
      <c r="C9312" s="341" t="s">
        <v>7278</v>
      </c>
      <c r="D9312" s="343">
        <v>878.29</v>
      </c>
    </row>
    <row r="9313" spans="1:4" ht="51">
      <c r="A9313" s="341">
        <v>20193</v>
      </c>
      <c r="B9313" s="342" t="s">
        <v>10150</v>
      </c>
      <c r="C9313" s="341" t="s">
        <v>10151</v>
      </c>
      <c r="D9313" s="343">
        <v>4.99</v>
      </c>
    </row>
    <row r="9314" spans="1:4" ht="38.25">
      <c r="A9314" s="341">
        <v>10527</v>
      </c>
      <c r="B9314" s="342" t="s">
        <v>10152</v>
      </c>
      <c r="C9314" s="341" t="s">
        <v>10153</v>
      </c>
      <c r="D9314" s="343">
        <v>15</v>
      </c>
    </row>
    <row r="9315" spans="1:4" ht="51">
      <c r="A9315" s="341">
        <v>41805</v>
      </c>
      <c r="B9315" s="342" t="s">
        <v>10154</v>
      </c>
      <c r="C9315" s="341" t="s">
        <v>7466</v>
      </c>
      <c r="D9315" s="343">
        <v>400</v>
      </c>
    </row>
    <row r="9316" spans="1:4" ht="38.25">
      <c r="A9316" s="341">
        <v>40271</v>
      </c>
      <c r="B9316" s="342" t="s">
        <v>10155</v>
      </c>
      <c r="C9316" s="341" t="s">
        <v>7466</v>
      </c>
      <c r="D9316" s="343">
        <v>9.75</v>
      </c>
    </row>
    <row r="9317" spans="1:4" ht="38.25">
      <c r="A9317" s="341">
        <v>40287</v>
      </c>
      <c r="B9317" s="342" t="s">
        <v>10156</v>
      </c>
      <c r="C9317" s="341" t="s">
        <v>7466</v>
      </c>
      <c r="D9317" s="343">
        <v>3.75</v>
      </c>
    </row>
    <row r="9318" spans="1:4" ht="25.5">
      <c r="A9318" s="341">
        <v>40295</v>
      </c>
      <c r="B9318" s="342" t="s">
        <v>10157</v>
      </c>
      <c r="C9318" s="341" t="s">
        <v>7275</v>
      </c>
      <c r="D9318" s="343">
        <v>2.4500000000000002</v>
      </c>
    </row>
    <row r="9319" spans="1:4" ht="25.5">
      <c r="A9319" s="341">
        <v>745</v>
      </c>
      <c r="B9319" s="342" t="s">
        <v>10158</v>
      </c>
      <c r="C9319" s="341" t="s">
        <v>7275</v>
      </c>
      <c r="D9319" s="343">
        <v>2.59</v>
      </c>
    </row>
    <row r="9320" spans="1:4" ht="76.5">
      <c r="A9320" s="341">
        <v>4084</v>
      </c>
      <c r="B9320" s="342" t="s">
        <v>10159</v>
      </c>
      <c r="C9320" s="341" t="s">
        <v>7275</v>
      </c>
      <c r="D9320" s="343">
        <v>1.53</v>
      </c>
    </row>
    <row r="9321" spans="1:4" ht="76.5">
      <c r="A9321" s="341">
        <v>743</v>
      </c>
      <c r="B9321" s="342" t="s">
        <v>10160</v>
      </c>
      <c r="C9321" s="341" t="s">
        <v>7275</v>
      </c>
      <c r="D9321" s="343">
        <v>1.53</v>
      </c>
    </row>
    <row r="9322" spans="1:4" ht="76.5">
      <c r="A9322" s="341">
        <v>40293</v>
      </c>
      <c r="B9322" s="342" t="s">
        <v>10161</v>
      </c>
      <c r="C9322" s="341" t="s">
        <v>7275</v>
      </c>
      <c r="D9322" s="343">
        <v>1.83</v>
      </c>
    </row>
    <row r="9323" spans="1:4" ht="76.5">
      <c r="A9323" s="341">
        <v>40294</v>
      </c>
      <c r="B9323" s="342" t="s">
        <v>10162</v>
      </c>
      <c r="C9323" s="341" t="s">
        <v>7275</v>
      </c>
      <c r="D9323" s="343">
        <v>1.53</v>
      </c>
    </row>
    <row r="9324" spans="1:4" ht="76.5">
      <c r="A9324" s="341">
        <v>4085</v>
      </c>
      <c r="B9324" s="342" t="s">
        <v>10163</v>
      </c>
      <c r="C9324" s="341" t="s">
        <v>7275</v>
      </c>
      <c r="D9324" s="343">
        <v>2.14</v>
      </c>
    </row>
    <row r="9325" spans="1:4" ht="102">
      <c r="A9325" s="341">
        <v>1383</v>
      </c>
      <c r="B9325" s="342" t="s">
        <v>10164</v>
      </c>
      <c r="C9325" s="341" t="s">
        <v>7275</v>
      </c>
      <c r="D9325" s="343">
        <v>2.79</v>
      </c>
    </row>
    <row r="9326" spans="1:4" ht="38.25">
      <c r="A9326" s="341">
        <v>10775</v>
      </c>
      <c r="B9326" s="342" t="s">
        <v>10165</v>
      </c>
      <c r="C9326" s="341" t="s">
        <v>7466</v>
      </c>
      <c r="D9326" s="343">
        <v>505</v>
      </c>
    </row>
    <row r="9327" spans="1:4" ht="38.25">
      <c r="A9327" s="341">
        <v>10776</v>
      </c>
      <c r="B9327" s="342" t="s">
        <v>10166</v>
      </c>
      <c r="C9327" s="341" t="s">
        <v>7466</v>
      </c>
      <c r="D9327" s="343">
        <v>394.53</v>
      </c>
    </row>
    <row r="9328" spans="1:4" ht="38.25">
      <c r="A9328" s="341">
        <v>10779</v>
      </c>
      <c r="B9328" s="342" t="s">
        <v>10167</v>
      </c>
      <c r="C9328" s="341" t="s">
        <v>7466</v>
      </c>
      <c r="D9328" s="343">
        <v>631.25</v>
      </c>
    </row>
    <row r="9329" spans="1:4" ht="38.25">
      <c r="A9329" s="341">
        <v>10777</v>
      </c>
      <c r="B9329" s="342" t="s">
        <v>10168</v>
      </c>
      <c r="C9329" s="341" t="s">
        <v>7466</v>
      </c>
      <c r="D9329" s="343">
        <v>573.38</v>
      </c>
    </row>
    <row r="9330" spans="1:4" ht="38.25">
      <c r="A9330" s="341">
        <v>10778</v>
      </c>
      <c r="B9330" s="342" t="s">
        <v>10169</v>
      </c>
      <c r="C9330" s="341" t="s">
        <v>7466</v>
      </c>
      <c r="D9330" s="343">
        <v>631.25</v>
      </c>
    </row>
    <row r="9331" spans="1:4">
      <c r="A9331" s="341">
        <v>40339</v>
      </c>
      <c r="B9331" s="342" t="s">
        <v>10170</v>
      </c>
      <c r="C9331" s="341" t="s">
        <v>7466</v>
      </c>
      <c r="D9331" s="343">
        <v>3.75</v>
      </c>
    </row>
    <row r="9332" spans="1:4" ht="76.5">
      <c r="A9332" s="341">
        <v>3355</v>
      </c>
      <c r="B9332" s="342" t="s">
        <v>10171</v>
      </c>
      <c r="C9332" s="341" t="s">
        <v>7275</v>
      </c>
      <c r="D9332" s="343">
        <v>26.55</v>
      </c>
    </row>
    <row r="9333" spans="1:4" ht="76.5">
      <c r="A9333" s="341">
        <v>39814</v>
      </c>
      <c r="B9333" s="342" t="s">
        <v>10172</v>
      </c>
      <c r="C9333" s="341" t="s">
        <v>7275</v>
      </c>
      <c r="D9333" s="343">
        <v>49.78</v>
      </c>
    </row>
    <row r="9334" spans="1:4" ht="51">
      <c r="A9334" s="341">
        <v>10749</v>
      </c>
      <c r="B9334" s="342" t="s">
        <v>10173</v>
      </c>
      <c r="C9334" s="341" t="s">
        <v>7466</v>
      </c>
      <c r="D9334" s="343">
        <v>6.87</v>
      </c>
    </row>
    <row r="9335" spans="1:4" ht="25.5">
      <c r="A9335" s="341">
        <v>40290</v>
      </c>
      <c r="B9335" s="342" t="s">
        <v>10174</v>
      </c>
      <c r="C9335" s="341" t="s">
        <v>7466</v>
      </c>
      <c r="D9335" s="343">
        <v>9.9</v>
      </c>
    </row>
    <row r="9336" spans="1:4" ht="38.25">
      <c r="A9336" s="341">
        <v>3346</v>
      </c>
      <c r="B9336" s="342" t="s">
        <v>10175</v>
      </c>
      <c r="C9336" s="341" t="s">
        <v>7275</v>
      </c>
      <c r="D9336" s="343">
        <v>12.6</v>
      </c>
    </row>
    <row r="9337" spans="1:4" ht="38.25">
      <c r="A9337" s="341">
        <v>3348</v>
      </c>
      <c r="B9337" s="342" t="s">
        <v>10176</v>
      </c>
      <c r="C9337" s="341" t="s">
        <v>7275</v>
      </c>
      <c r="D9337" s="343">
        <v>15.07</v>
      </c>
    </row>
    <row r="9338" spans="1:4" ht="38.25">
      <c r="A9338" s="341">
        <v>3345</v>
      </c>
      <c r="B9338" s="342" t="s">
        <v>10177</v>
      </c>
      <c r="C9338" s="341" t="s">
        <v>7275</v>
      </c>
      <c r="D9338" s="343">
        <v>9.74</v>
      </c>
    </row>
    <row r="9339" spans="1:4" ht="25.5">
      <c r="A9339" s="341">
        <v>39833</v>
      </c>
      <c r="B9339" s="342" t="s">
        <v>10178</v>
      </c>
      <c r="C9339" s="341" t="s">
        <v>7275</v>
      </c>
      <c r="D9339" s="343">
        <v>20.64</v>
      </c>
    </row>
    <row r="9340" spans="1:4" ht="25.5">
      <c r="A9340" s="341">
        <v>39834</v>
      </c>
      <c r="B9340" s="342" t="s">
        <v>10179</v>
      </c>
      <c r="C9340" s="341" t="s">
        <v>7275</v>
      </c>
      <c r="D9340" s="343">
        <v>35.43</v>
      </c>
    </row>
    <row r="9341" spans="1:4" ht="25.5">
      <c r="A9341" s="341">
        <v>39835</v>
      </c>
      <c r="B9341" s="342" t="s">
        <v>10180</v>
      </c>
      <c r="C9341" s="341" t="s">
        <v>7275</v>
      </c>
      <c r="D9341" s="343">
        <v>43.19</v>
      </c>
    </row>
    <row r="9342" spans="1:4" ht="25.5">
      <c r="A9342" s="341">
        <v>7252</v>
      </c>
      <c r="B9342" s="342" t="s">
        <v>10181</v>
      </c>
      <c r="C9342" s="341" t="s">
        <v>7275</v>
      </c>
      <c r="D9342" s="343">
        <v>2.27</v>
      </c>
    </row>
    <row r="9343" spans="1:4" ht="25.5">
      <c r="A9343" s="341">
        <v>4778</v>
      </c>
      <c r="B9343" s="342" t="s">
        <v>10182</v>
      </c>
      <c r="C9343" s="341" t="s">
        <v>7275</v>
      </c>
      <c r="D9343" s="343">
        <v>2.52</v>
      </c>
    </row>
    <row r="9344" spans="1:4" ht="25.5">
      <c r="A9344" s="341">
        <v>4780</v>
      </c>
      <c r="B9344" s="342" t="s">
        <v>10183</v>
      </c>
      <c r="C9344" s="341" t="s">
        <v>7275</v>
      </c>
      <c r="D9344" s="343">
        <v>2.73</v>
      </c>
    </row>
    <row r="9345" spans="1:4" ht="25.5">
      <c r="A9345" s="341">
        <v>10809</v>
      </c>
      <c r="B9345" s="342" t="s">
        <v>10184</v>
      </c>
      <c r="C9345" s="341" t="s">
        <v>7275</v>
      </c>
      <c r="D9345" s="343">
        <v>1.27</v>
      </c>
    </row>
    <row r="9346" spans="1:4" ht="25.5">
      <c r="A9346" s="341">
        <v>10811</v>
      </c>
      <c r="B9346" s="342" t="s">
        <v>10185</v>
      </c>
      <c r="C9346" s="341" t="s">
        <v>7275</v>
      </c>
      <c r="D9346" s="343">
        <v>1.0900000000000001</v>
      </c>
    </row>
    <row r="9347" spans="1:4" ht="38.25">
      <c r="A9347" s="341">
        <v>7247</v>
      </c>
      <c r="B9347" s="342" t="s">
        <v>10186</v>
      </c>
      <c r="C9347" s="341" t="s">
        <v>7275</v>
      </c>
      <c r="D9347" s="343">
        <v>2.27</v>
      </c>
    </row>
    <row r="9348" spans="1:4" ht="51">
      <c r="A9348" s="341">
        <v>40291</v>
      </c>
      <c r="B9348" s="342" t="s">
        <v>10187</v>
      </c>
      <c r="C9348" s="341" t="s">
        <v>7466</v>
      </c>
      <c r="D9348" s="343">
        <v>523.26</v>
      </c>
    </row>
    <row r="9349" spans="1:4" ht="51">
      <c r="A9349" s="341">
        <v>40275</v>
      </c>
      <c r="B9349" s="342" t="s">
        <v>10188</v>
      </c>
      <c r="C9349" s="341" t="s">
        <v>7466</v>
      </c>
      <c r="D9349" s="343">
        <v>15</v>
      </c>
    </row>
    <row r="9350" spans="1:4">
      <c r="A9350" s="341">
        <v>3777</v>
      </c>
      <c r="B9350" s="342" t="s">
        <v>10189</v>
      </c>
      <c r="C9350" s="341" t="s">
        <v>7273</v>
      </c>
      <c r="D9350" s="343">
        <v>0.77</v>
      </c>
    </row>
    <row r="9351" spans="1:4" ht="25.5">
      <c r="A9351" s="341">
        <v>3779</v>
      </c>
      <c r="B9351" s="342" t="s">
        <v>10190</v>
      </c>
      <c r="C9351" s="341" t="s">
        <v>7287</v>
      </c>
      <c r="D9351" s="343">
        <v>6.41</v>
      </c>
    </row>
    <row r="9352" spans="1:4" ht="25.5">
      <c r="A9352" s="341">
        <v>3798</v>
      </c>
      <c r="B9352" s="342" t="s">
        <v>10191</v>
      </c>
      <c r="C9352" s="341" t="s">
        <v>7278</v>
      </c>
      <c r="D9352" s="343">
        <v>34.79</v>
      </c>
    </row>
    <row r="9353" spans="1:4" ht="51">
      <c r="A9353" s="341">
        <v>38769</v>
      </c>
      <c r="B9353" s="342" t="s">
        <v>10192</v>
      </c>
      <c r="C9353" s="341" t="s">
        <v>7278</v>
      </c>
      <c r="D9353" s="343">
        <v>27.17</v>
      </c>
    </row>
    <row r="9354" spans="1:4" ht="51">
      <c r="A9354" s="341">
        <v>39510</v>
      </c>
      <c r="B9354" s="342" t="s">
        <v>10193</v>
      </c>
      <c r="C9354" s="341" t="s">
        <v>7278</v>
      </c>
      <c r="D9354" s="343">
        <v>109.97</v>
      </c>
    </row>
    <row r="9355" spans="1:4" ht="38.25">
      <c r="A9355" s="341">
        <v>38776</v>
      </c>
      <c r="B9355" s="342" t="s">
        <v>10194</v>
      </c>
      <c r="C9355" s="341" t="s">
        <v>7278</v>
      </c>
      <c r="D9355" s="343">
        <v>116.71</v>
      </c>
    </row>
    <row r="9356" spans="1:4" ht="25.5">
      <c r="A9356" s="341">
        <v>38774</v>
      </c>
      <c r="B9356" s="342" t="s">
        <v>10195</v>
      </c>
      <c r="C9356" s="341" t="s">
        <v>7278</v>
      </c>
      <c r="D9356" s="343">
        <v>27.54</v>
      </c>
    </row>
    <row r="9357" spans="1:4" ht="51">
      <c r="A9357" s="341">
        <v>38889</v>
      </c>
      <c r="B9357" s="342" t="s">
        <v>10196</v>
      </c>
      <c r="C9357" s="341" t="s">
        <v>7278</v>
      </c>
      <c r="D9357" s="343">
        <v>20.82</v>
      </c>
    </row>
    <row r="9358" spans="1:4" ht="51">
      <c r="A9358" s="341">
        <v>38784</v>
      </c>
      <c r="B9358" s="342" t="s">
        <v>10197</v>
      </c>
      <c r="C9358" s="341" t="s">
        <v>7278</v>
      </c>
      <c r="D9358" s="343">
        <v>27.86</v>
      </c>
    </row>
    <row r="9359" spans="1:4" ht="51">
      <c r="A9359" s="341">
        <v>3788</v>
      </c>
      <c r="B9359" s="342" t="s">
        <v>10198</v>
      </c>
      <c r="C9359" s="341" t="s">
        <v>7278</v>
      </c>
      <c r="D9359" s="343">
        <v>29.03</v>
      </c>
    </row>
    <row r="9360" spans="1:4" ht="51">
      <c r="A9360" s="341">
        <v>12230</v>
      </c>
      <c r="B9360" s="342" t="s">
        <v>10199</v>
      </c>
      <c r="C9360" s="341" t="s">
        <v>7278</v>
      </c>
      <c r="D9360" s="343">
        <v>7.47</v>
      </c>
    </row>
    <row r="9361" spans="1:4" ht="51">
      <c r="A9361" s="341">
        <v>3780</v>
      </c>
      <c r="B9361" s="342" t="s">
        <v>10200</v>
      </c>
      <c r="C9361" s="341" t="s">
        <v>7278</v>
      </c>
      <c r="D9361" s="343">
        <v>42.84</v>
      </c>
    </row>
    <row r="9362" spans="1:4" ht="51">
      <c r="A9362" s="341">
        <v>12231</v>
      </c>
      <c r="B9362" s="342" t="s">
        <v>10201</v>
      </c>
      <c r="C9362" s="341" t="s">
        <v>7278</v>
      </c>
      <c r="D9362" s="343">
        <v>12.42</v>
      </c>
    </row>
    <row r="9363" spans="1:4" ht="51">
      <c r="A9363" s="341">
        <v>3811</v>
      </c>
      <c r="B9363" s="342" t="s">
        <v>10202</v>
      </c>
      <c r="C9363" s="341" t="s">
        <v>7278</v>
      </c>
      <c r="D9363" s="343">
        <v>40.24</v>
      </c>
    </row>
    <row r="9364" spans="1:4" ht="51">
      <c r="A9364" s="341">
        <v>12232</v>
      </c>
      <c r="B9364" s="342" t="s">
        <v>10203</v>
      </c>
      <c r="C9364" s="341" t="s">
        <v>7278</v>
      </c>
      <c r="D9364" s="343">
        <v>13.01</v>
      </c>
    </row>
    <row r="9365" spans="1:4" ht="51">
      <c r="A9365" s="341">
        <v>3799</v>
      </c>
      <c r="B9365" s="342" t="s">
        <v>10204</v>
      </c>
      <c r="C9365" s="341" t="s">
        <v>7278</v>
      </c>
      <c r="D9365" s="343">
        <v>56.91</v>
      </c>
    </row>
    <row r="9366" spans="1:4" ht="51">
      <c r="A9366" s="341">
        <v>12239</v>
      </c>
      <c r="B9366" s="342" t="s">
        <v>10205</v>
      </c>
      <c r="C9366" s="341" t="s">
        <v>7278</v>
      </c>
      <c r="D9366" s="343">
        <v>17.03</v>
      </c>
    </row>
    <row r="9367" spans="1:4" ht="38.25">
      <c r="A9367" s="341">
        <v>38773</v>
      </c>
      <c r="B9367" s="342" t="s">
        <v>10206</v>
      </c>
      <c r="C9367" s="341" t="s">
        <v>7278</v>
      </c>
      <c r="D9367" s="343">
        <v>2.73</v>
      </c>
    </row>
    <row r="9368" spans="1:4" ht="25.5">
      <c r="A9368" s="341">
        <v>12271</v>
      </c>
      <c r="B9368" s="342" t="s">
        <v>10207</v>
      </c>
      <c r="C9368" s="341" t="s">
        <v>7278</v>
      </c>
      <c r="D9368" s="343">
        <v>152.37</v>
      </c>
    </row>
    <row r="9369" spans="1:4" ht="25.5">
      <c r="A9369" s="341">
        <v>12245</v>
      </c>
      <c r="B9369" s="342" t="s">
        <v>10208</v>
      </c>
      <c r="C9369" s="341" t="s">
        <v>7278</v>
      </c>
      <c r="D9369" s="343">
        <v>66.09</v>
      </c>
    </row>
    <row r="9370" spans="1:4" ht="38.25">
      <c r="A9370" s="341">
        <v>38785</v>
      </c>
      <c r="B9370" s="342" t="s">
        <v>10209</v>
      </c>
      <c r="C9370" s="341" t="s">
        <v>7278</v>
      </c>
      <c r="D9370" s="343">
        <v>72.14</v>
      </c>
    </row>
    <row r="9371" spans="1:4" ht="38.25">
      <c r="A9371" s="341">
        <v>38786</v>
      </c>
      <c r="B9371" s="342" t="s">
        <v>10210</v>
      </c>
      <c r="C9371" s="341" t="s">
        <v>7278</v>
      </c>
      <c r="D9371" s="343">
        <v>88.86</v>
      </c>
    </row>
    <row r="9372" spans="1:4" ht="25.5">
      <c r="A9372" s="341">
        <v>39385</v>
      </c>
      <c r="B9372" s="342" t="s">
        <v>10211</v>
      </c>
      <c r="C9372" s="341" t="s">
        <v>7278</v>
      </c>
      <c r="D9372" s="343">
        <v>67.209999999999994</v>
      </c>
    </row>
    <row r="9373" spans="1:4" ht="25.5">
      <c r="A9373" s="341">
        <v>39389</v>
      </c>
      <c r="B9373" s="342" t="s">
        <v>10212</v>
      </c>
      <c r="C9373" s="341" t="s">
        <v>7278</v>
      </c>
      <c r="D9373" s="343">
        <v>55.75</v>
      </c>
    </row>
    <row r="9374" spans="1:4" ht="25.5">
      <c r="A9374" s="341">
        <v>39390</v>
      </c>
      <c r="B9374" s="342" t="s">
        <v>10213</v>
      </c>
      <c r="C9374" s="341" t="s">
        <v>7278</v>
      </c>
      <c r="D9374" s="343">
        <v>107.98</v>
      </c>
    </row>
    <row r="9375" spans="1:4" ht="25.5">
      <c r="A9375" s="341">
        <v>39391</v>
      </c>
      <c r="B9375" s="342" t="s">
        <v>10214</v>
      </c>
      <c r="C9375" s="341" t="s">
        <v>7278</v>
      </c>
      <c r="D9375" s="343">
        <v>199.85</v>
      </c>
    </row>
    <row r="9376" spans="1:4" ht="51">
      <c r="A9376" s="341">
        <v>3803</v>
      </c>
      <c r="B9376" s="342" t="s">
        <v>10215</v>
      </c>
      <c r="C9376" s="341" t="s">
        <v>7278</v>
      </c>
      <c r="D9376" s="343">
        <v>25.76</v>
      </c>
    </row>
    <row r="9377" spans="1:4" ht="51">
      <c r="A9377" s="341">
        <v>38770</v>
      </c>
      <c r="B9377" s="342" t="s">
        <v>10216</v>
      </c>
      <c r="C9377" s="341" t="s">
        <v>7278</v>
      </c>
      <c r="D9377" s="343">
        <v>29.83</v>
      </c>
    </row>
    <row r="9378" spans="1:4">
      <c r="A9378" s="341">
        <v>12267</v>
      </c>
      <c r="B9378" s="342" t="s">
        <v>10217</v>
      </c>
      <c r="C9378" s="341" t="s">
        <v>7278</v>
      </c>
      <c r="D9378" s="343">
        <v>87.42</v>
      </c>
    </row>
    <row r="9379" spans="1:4" ht="51">
      <c r="A9379" s="341">
        <v>12266</v>
      </c>
      <c r="B9379" s="342" t="s">
        <v>10218</v>
      </c>
      <c r="C9379" s="341" t="s">
        <v>7278</v>
      </c>
      <c r="D9379" s="343">
        <v>44.74</v>
      </c>
    </row>
    <row r="9380" spans="1:4" ht="51">
      <c r="A9380" s="341">
        <v>39378</v>
      </c>
      <c r="B9380" s="342" t="s">
        <v>10219</v>
      </c>
      <c r="C9380" s="341" t="s">
        <v>7278</v>
      </c>
      <c r="D9380" s="343">
        <v>31.72</v>
      </c>
    </row>
    <row r="9381" spans="1:4" ht="51">
      <c r="A9381" s="341">
        <v>38775</v>
      </c>
      <c r="B9381" s="342" t="s">
        <v>10220</v>
      </c>
      <c r="C9381" s="341" t="s">
        <v>7278</v>
      </c>
      <c r="D9381" s="343">
        <v>33.630000000000003</v>
      </c>
    </row>
    <row r="9382" spans="1:4" ht="25.5">
      <c r="A9382" s="341">
        <v>21119</v>
      </c>
      <c r="B9382" s="342" t="s">
        <v>10221</v>
      </c>
      <c r="C9382" s="341" t="s">
        <v>7278</v>
      </c>
      <c r="D9382" s="343">
        <v>1.49</v>
      </c>
    </row>
    <row r="9383" spans="1:4" ht="25.5">
      <c r="A9383" s="341">
        <v>37974</v>
      </c>
      <c r="B9383" s="342" t="s">
        <v>10222</v>
      </c>
      <c r="C9383" s="341" t="s">
        <v>7278</v>
      </c>
      <c r="D9383" s="343">
        <v>2.21</v>
      </c>
    </row>
    <row r="9384" spans="1:4" ht="25.5">
      <c r="A9384" s="341">
        <v>37975</v>
      </c>
      <c r="B9384" s="342" t="s">
        <v>10223</v>
      </c>
      <c r="C9384" s="341" t="s">
        <v>7278</v>
      </c>
      <c r="D9384" s="343">
        <v>4.49</v>
      </c>
    </row>
    <row r="9385" spans="1:4" ht="25.5">
      <c r="A9385" s="341">
        <v>37976</v>
      </c>
      <c r="B9385" s="342" t="s">
        <v>10224</v>
      </c>
      <c r="C9385" s="341" t="s">
        <v>7278</v>
      </c>
      <c r="D9385" s="343">
        <v>9.2200000000000006</v>
      </c>
    </row>
    <row r="9386" spans="1:4" ht="25.5">
      <c r="A9386" s="341">
        <v>37977</v>
      </c>
      <c r="B9386" s="342" t="s">
        <v>10225</v>
      </c>
      <c r="C9386" s="341" t="s">
        <v>7278</v>
      </c>
      <c r="D9386" s="343">
        <v>12.68</v>
      </c>
    </row>
    <row r="9387" spans="1:4" ht="25.5">
      <c r="A9387" s="341">
        <v>37978</v>
      </c>
      <c r="B9387" s="342" t="s">
        <v>10226</v>
      </c>
      <c r="C9387" s="341" t="s">
        <v>7278</v>
      </c>
      <c r="D9387" s="343">
        <v>25.71</v>
      </c>
    </row>
    <row r="9388" spans="1:4" ht="25.5">
      <c r="A9388" s="341">
        <v>37979</v>
      </c>
      <c r="B9388" s="342" t="s">
        <v>10227</v>
      </c>
      <c r="C9388" s="341" t="s">
        <v>7278</v>
      </c>
      <c r="D9388" s="343">
        <v>110.44</v>
      </c>
    </row>
    <row r="9389" spans="1:4" ht="25.5">
      <c r="A9389" s="341">
        <v>37980</v>
      </c>
      <c r="B9389" s="342" t="s">
        <v>10228</v>
      </c>
      <c r="C9389" s="341" t="s">
        <v>7278</v>
      </c>
      <c r="D9389" s="343">
        <v>124.12</v>
      </c>
    </row>
    <row r="9390" spans="1:4" ht="38.25">
      <c r="A9390" s="341">
        <v>36147</v>
      </c>
      <c r="B9390" s="342" t="s">
        <v>10229</v>
      </c>
      <c r="C9390" s="341" t="s">
        <v>7735</v>
      </c>
      <c r="D9390" s="343">
        <v>357.61</v>
      </c>
    </row>
    <row r="9391" spans="1:4" ht="25.5">
      <c r="A9391" s="341">
        <v>12731</v>
      </c>
      <c r="B9391" s="342" t="s">
        <v>10230</v>
      </c>
      <c r="C9391" s="341" t="s">
        <v>7278</v>
      </c>
      <c r="D9391" s="343">
        <v>166.56</v>
      </c>
    </row>
    <row r="9392" spans="1:4" ht="25.5">
      <c r="A9392" s="341">
        <v>12723</v>
      </c>
      <c r="B9392" s="342" t="s">
        <v>10231</v>
      </c>
      <c r="C9392" s="341" t="s">
        <v>7278</v>
      </c>
      <c r="D9392" s="343">
        <v>1.29</v>
      </c>
    </row>
    <row r="9393" spans="1:4" ht="25.5">
      <c r="A9393" s="341">
        <v>12724</v>
      </c>
      <c r="B9393" s="342" t="s">
        <v>10232</v>
      </c>
      <c r="C9393" s="341" t="s">
        <v>7278</v>
      </c>
      <c r="D9393" s="343">
        <v>2.48</v>
      </c>
    </row>
    <row r="9394" spans="1:4" ht="25.5">
      <c r="A9394" s="341">
        <v>12725</v>
      </c>
      <c r="B9394" s="342" t="s">
        <v>10233</v>
      </c>
      <c r="C9394" s="341" t="s">
        <v>7278</v>
      </c>
      <c r="D9394" s="343">
        <v>4.97</v>
      </c>
    </row>
    <row r="9395" spans="1:4" ht="25.5">
      <c r="A9395" s="341">
        <v>12726</v>
      </c>
      <c r="B9395" s="342" t="s">
        <v>10234</v>
      </c>
      <c r="C9395" s="341" t="s">
        <v>7278</v>
      </c>
      <c r="D9395" s="343">
        <v>10.99</v>
      </c>
    </row>
    <row r="9396" spans="1:4" ht="25.5">
      <c r="A9396" s="341">
        <v>12727</v>
      </c>
      <c r="B9396" s="342" t="s">
        <v>10235</v>
      </c>
      <c r="C9396" s="341" t="s">
        <v>7278</v>
      </c>
      <c r="D9396" s="343">
        <v>13.93</v>
      </c>
    </row>
    <row r="9397" spans="1:4" ht="25.5">
      <c r="A9397" s="341">
        <v>12728</v>
      </c>
      <c r="B9397" s="342" t="s">
        <v>10236</v>
      </c>
      <c r="C9397" s="341" t="s">
        <v>7278</v>
      </c>
      <c r="D9397" s="343">
        <v>22.76</v>
      </c>
    </row>
    <row r="9398" spans="1:4" ht="25.5">
      <c r="A9398" s="341">
        <v>12729</v>
      </c>
      <c r="B9398" s="342" t="s">
        <v>10237</v>
      </c>
      <c r="C9398" s="341" t="s">
        <v>7278</v>
      </c>
      <c r="D9398" s="343">
        <v>74.599999999999994</v>
      </c>
    </row>
    <row r="9399" spans="1:4" ht="25.5">
      <c r="A9399" s="341">
        <v>12730</v>
      </c>
      <c r="B9399" s="342" t="s">
        <v>10238</v>
      </c>
      <c r="C9399" s="341" t="s">
        <v>7278</v>
      </c>
      <c r="D9399" s="343">
        <v>114.23</v>
      </c>
    </row>
    <row r="9400" spans="1:4">
      <c r="A9400" s="341">
        <v>3840</v>
      </c>
      <c r="B9400" s="342" t="s">
        <v>10239</v>
      </c>
      <c r="C9400" s="341" t="s">
        <v>7278</v>
      </c>
      <c r="D9400" s="343">
        <v>18.71</v>
      </c>
    </row>
    <row r="9401" spans="1:4">
      <c r="A9401" s="341">
        <v>3838</v>
      </c>
      <c r="B9401" s="342" t="s">
        <v>10240</v>
      </c>
      <c r="C9401" s="341" t="s">
        <v>7278</v>
      </c>
      <c r="D9401" s="343">
        <v>44.6</v>
      </c>
    </row>
    <row r="9402" spans="1:4">
      <c r="A9402" s="341">
        <v>3844</v>
      </c>
      <c r="B9402" s="342" t="s">
        <v>10241</v>
      </c>
      <c r="C9402" s="341" t="s">
        <v>7278</v>
      </c>
      <c r="D9402" s="343">
        <v>126.12</v>
      </c>
    </row>
    <row r="9403" spans="1:4">
      <c r="A9403" s="341">
        <v>3839</v>
      </c>
      <c r="B9403" s="342" t="s">
        <v>10242</v>
      </c>
      <c r="C9403" s="341" t="s">
        <v>7278</v>
      </c>
      <c r="D9403" s="343">
        <v>154.86000000000001</v>
      </c>
    </row>
    <row r="9404" spans="1:4">
      <c r="A9404" s="341">
        <v>3843</v>
      </c>
      <c r="B9404" s="342" t="s">
        <v>10243</v>
      </c>
      <c r="C9404" s="341" t="s">
        <v>7278</v>
      </c>
      <c r="D9404" s="343">
        <v>264.11</v>
      </c>
    </row>
    <row r="9405" spans="1:4" ht="25.5">
      <c r="A9405" s="341">
        <v>3900</v>
      </c>
      <c r="B9405" s="342" t="s">
        <v>10244</v>
      </c>
      <c r="C9405" s="341" t="s">
        <v>7278</v>
      </c>
      <c r="D9405" s="343">
        <v>23.79</v>
      </c>
    </row>
    <row r="9406" spans="1:4" ht="25.5">
      <c r="A9406" s="341">
        <v>3846</v>
      </c>
      <c r="B9406" s="342" t="s">
        <v>10245</v>
      </c>
      <c r="C9406" s="341" t="s">
        <v>7278</v>
      </c>
      <c r="D9406" s="343">
        <v>7.41</v>
      </c>
    </row>
    <row r="9407" spans="1:4" ht="25.5">
      <c r="A9407" s="341">
        <v>3886</v>
      </c>
      <c r="B9407" s="342" t="s">
        <v>10246</v>
      </c>
      <c r="C9407" s="341" t="s">
        <v>7278</v>
      </c>
      <c r="D9407" s="343">
        <v>10.42</v>
      </c>
    </row>
    <row r="9408" spans="1:4" ht="25.5">
      <c r="A9408" s="341">
        <v>3854</v>
      </c>
      <c r="B9408" s="342" t="s">
        <v>10247</v>
      </c>
      <c r="C9408" s="341" t="s">
        <v>7278</v>
      </c>
      <c r="D9408" s="343">
        <v>6.36</v>
      </c>
    </row>
    <row r="9409" spans="1:4" ht="25.5">
      <c r="A9409" s="341">
        <v>3873</v>
      </c>
      <c r="B9409" s="342" t="s">
        <v>10248</v>
      </c>
      <c r="C9409" s="341" t="s">
        <v>7278</v>
      </c>
      <c r="D9409" s="343">
        <v>8.9700000000000006</v>
      </c>
    </row>
    <row r="9410" spans="1:4" ht="25.5">
      <c r="A9410" s="341">
        <v>38021</v>
      </c>
      <c r="B9410" s="342" t="s">
        <v>10249</v>
      </c>
      <c r="C9410" s="341" t="s">
        <v>7278</v>
      </c>
      <c r="D9410" s="343">
        <v>15.22</v>
      </c>
    </row>
    <row r="9411" spans="1:4" ht="25.5">
      <c r="A9411" s="341">
        <v>3847</v>
      </c>
      <c r="B9411" s="342" t="s">
        <v>10250</v>
      </c>
      <c r="C9411" s="341" t="s">
        <v>7278</v>
      </c>
      <c r="D9411" s="343">
        <v>20.46</v>
      </c>
    </row>
    <row r="9412" spans="1:4" ht="25.5">
      <c r="A9412" s="341">
        <v>38022</v>
      </c>
      <c r="B9412" s="342" t="s">
        <v>10251</v>
      </c>
      <c r="C9412" s="341" t="s">
        <v>7278</v>
      </c>
      <c r="D9412" s="343">
        <v>27.27</v>
      </c>
    </row>
    <row r="9413" spans="1:4" ht="25.5">
      <c r="A9413" s="341">
        <v>3833</v>
      </c>
      <c r="B9413" s="342" t="s">
        <v>10252</v>
      </c>
      <c r="C9413" s="341" t="s">
        <v>7278</v>
      </c>
      <c r="D9413" s="343">
        <v>8.4600000000000009</v>
      </c>
    </row>
    <row r="9414" spans="1:4" ht="25.5">
      <c r="A9414" s="341">
        <v>3835</v>
      </c>
      <c r="B9414" s="342" t="s">
        <v>10253</v>
      </c>
      <c r="C9414" s="341" t="s">
        <v>7278</v>
      </c>
      <c r="D9414" s="343">
        <v>18.989999999999998</v>
      </c>
    </row>
    <row r="9415" spans="1:4" ht="25.5">
      <c r="A9415" s="341">
        <v>3836</v>
      </c>
      <c r="B9415" s="342" t="s">
        <v>10254</v>
      </c>
      <c r="C9415" s="341" t="s">
        <v>7278</v>
      </c>
      <c r="D9415" s="343">
        <v>49.1</v>
      </c>
    </row>
    <row r="9416" spans="1:4" ht="25.5">
      <c r="A9416" s="341">
        <v>3830</v>
      </c>
      <c r="B9416" s="342" t="s">
        <v>10255</v>
      </c>
      <c r="C9416" s="341" t="s">
        <v>7278</v>
      </c>
      <c r="D9416" s="343">
        <v>80.83</v>
      </c>
    </row>
    <row r="9417" spans="1:4" ht="25.5">
      <c r="A9417" s="341">
        <v>3831</v>
      </c>
      <c r="B9417" s="342" t="s">
        <v>10256</v>
      </c>
      <c r="C9417" s="341" t="s">
        <v>7278</v>
      </c>
      <c r="D9417" s="343">
        <v>125.22</v>
      </c>
    </row>
    <row r="9418" spans="1:4" ht="25.5">
      <c r="A9418" s="341">
        <v>3841</v>
      </c>
      <c r="B9418" s="342" t="s">
        <v>10257</v>
      </c>
      <c r="C9418" s="341" t="s">
        <v>7278</v>
      </c>
      <c r="D9418" s="343">
        <v>244.69</v>
      </c>
    </row>
    <row r="9419" spans="1:4" ht="25.5">
      <c r="A9419" s="341">
        <v>3842</v>
      </c>
      <c r="B9419" s="342" t="s">
        <v>10258</v>
      </c>
      <c r="C9419" s="341" t="s">
        <v>7278</v>
      </c>
      <c r="D9419" s="343">
        <v>330.9</v>
      </c>
    </row>
    <row r="9420" spans="1:4" ht="25.5">
      <c r="A9420" s="341">
        <v>37981</v>
      </c>
      <c r="B9420" s="342" t="s">
        <v>10259</v>
      </c>
      <c r="C9420" s="341" t="s">
        <v>7278</v>
      </c>
      <c r="D9420" s="343">
        <v>5.0599999999999996</v>
      </c>
    </row>
    <row r="9421" spans="1:4" ht="25.5">
      <c r="A9421" s="341">
        <v>37982</v>
      </c>
      <c r="B9421" s="342" t="s">
        <v>10260</v>
      </c>
      <c r="C9421" s="341" t="s">
        <v>7278</v>
      </c>
      <c r="D9421" s="343">
        <v>7.68</v>
      </c>
    </row>
    <row r="9422" spans="1:4" ht="25.5">
      <c r="A9422" s="341">
        <v>37983</v>
      </c>
      <c r="B9422" s="342" t="s">
        <v>10261</v>
      </c>
      <c r="C9422" s="341" t="s">
        <v>7278</v>
      </c>
      <c r="D9422" s="343">
        <v>10.76</v>
      </c>
    </row>
    <row r="9423" spans="1:4" ht="25.5">
      <c r="A9423" s="341">
        <v>37984</v>
      </c>
      <c r="B9423" s="342" t="s">
        <v>10262</v>
      </c>
      <c r="C9423" s="341" t="s">
        <v>7278</v>
      </c>
      <c r="D9423" s="343">
        <v>18.579999999999998</v>
      </c>
    </row>
    <row r="9424" spans="1:4" ht="25.5">
      <c r="A9424" s="341">
        <v>37985</v>
      </c>
      <c r="B9424" s="342" t="s">
        <v>10263</v>
      </c>
      <c r="C9424" s="341" t="s">
        <v>7278</v>
      </c>
      <c r="D9424" s="343">
        <v>26.02</v>
      </c>
    </row>
    <row r="9425" spans="1:4" ht="25.5">
      <c r="A9425" s="341">
        <v>3826</v>
      </c>
      <c r="B9425" s="342" t="s">
        <v>10264</v>
      </c>
      <c r="C9425" s="341" t="s">
        <v>7278</v>
      </c>
      <c r="D9425" s="343">
        <v>27.98</v>
      </c>
    </row>
    <row r="9426" spans="1:4" ht="25.5">
      <c r="A9426" s="341">
        <v>3825</v>
      </c>
      <c r="B9426" s="342" t="s">
        <v>10265</v>
      </c>
      <c r="C9426" s="341" t="s">
        <v>7278</v>
      </c>
      <c r="D9426" s="343">
        <v>7.29</v>
      </c>
    </row>
    <row r="9427" spans="1:4" ht="25.5">
      <c r="A9427" s="341">
        <v>3827</v>
      </c>
      <c r="B9427" s="342" t="s">
        <v>10266</v>
      </c>
      <c r="C9427" s="341" t="s">
        <v>7278</v>
      </c>
      <c r="D9427" s="343">
        <v>15.43</v>
      </c>
    </row>
    <row r="9428" spans="1:4" ht="25.5">
      <c r="A9428" s="341">
        <v>20165</v>
      </c>
      <c r="B9428" s="342" t="s">
        <v>10267</v>
      </c>
      <c r="C9428" s="341" t="s">
        <v>7278</v>
      </c>
      <c r="D9428" s="343">
        <v>14.98</v>
      </c>
    </row>
    <row r="9429" spans="1:4" ht="25.5">
      <c r="A9429" s="341">
        <v>20166</v>
      </c>
      <c r="B9429" s="342" t="s">
        <v>10268</v>
      </c>
      <c r="C9429" s="341" t="s">
        <v>7278</v>
      </c>
      <c r="D9429" s="343">
        <v>52.26</v>
      </c>
    </row>
    <row r="9430" spans="1:4" ht="25.5">
      <c r="A9430" s="341">
        <v>20164</v>
      </c>
      <c r="B9430" s="342" t="s">
        <v>10269</v>
      </c>
      <c r="C9430" s="341" t="s">
        <v>7278</v>
      </c>
      <c r="D9430" s="343">
        <v>8.4600000000000009</v>
      </c>
    </row>
    <row r="9431" spans="1:4" ht="25.5">
      <c r="A9431" s="341">
        <v>3893</v>
      </c>
      <c r="B9431" s="342" t="s">
        <v>10270</v>
      </c>
      <c r="C9431" s="341" t="s">
        <v>7278</v>
      </c>
      <c r="D9431" s="343">
        <v>11.44</v>
      </c>
    </row>
    <row r="9432" spans="1:4" ht="25.5">
      <c r="A9432" s="341">
        <v>3848</v>
      </c>
      <c r="B9432" s="342" t="s">
        <v>10271</v>
      </c>
      <c r="C9432" s="341" t="s">
        <v>7278</v>
      </c>
      <c r="D9432" s="343">
        <v>6.95</v>
      </c>
    </row>
    <row r="9433" spans="1:4" ht="25.5">
      <c r="A9433" s="341">
        <v>3895</v>
      </c>
      <c r="B9433" s="342" t="s">
        <v>10272</v>
      </c>
      <c r="C9433" s="341" t="s">
        <v>7278</v>
      </c>
      <c r="D9433" s="343">
        <v>7.44</v>
      </c>
    </row>
    <row r="9434" spans="1:4" ht="25.5">
      <c r="A9434" s="341">
        <v>12404</v>
      </c>
      <c r="B9434" s="342" t="s">
        <v>10273</v>
      </c>
      <c r="C9434" s="341" t="s">
        <v>7278</v>
      </c>
      <c r="D9434" s="343">
        <v>5.63</v>
      </c>
    </row>
    <row r="9435" spans="1:4" ht="25.5">
      <c r="A9435" s="341">
        <v>3939</v>
      </c>
      <c r="B9435" s="342" t="s">
        <v>10274</v>
      </c>
      <c r="C9435" s="341" t="s">
        <v>7278</v>
      </c>
      <c r="D9435" s="343">
        <v>11.6</v>
      </c>
    </row>
    <row r="9436" spans="1:4" ht="25.5">
      <c r="A9436" s="341">
        <v>3911</v>
      </c>
      <c r="B9436" s="342" t="s">
        <v>10275</v>
      </c>
      <c r="C9436" s="341" t="s">
        <v>7278</v>
      </c>
      <c r="D9436" s="343">
        <v>9.4700000000000006</v>
      </c>
    </row>
    <row r="9437" spans="1:4" ht="25.5">
      <c r="A9437" s="341">
        <v>3908</v>
      </c>
      <c r="B9437" s="342" t="s">
        <v>10276</v>
      </c>
      <c r="C9437" s="341" t="s">
        <v>7278</v>
      </c>
      <c r="D9437" s="343">
        <v>3.06</v>
      </c>
    </row>
    <row r="9438" spans="1:4" ht="25.5">
      <c r="A9438" s="341">
        <v>3910</v>
      </c>
      <c r="B9438" s="342" t="s">
        <v>10277</v>
      </c>
      <c r="C9438" s="341" t="s">
        <v>7278</v>
      </c>
      <c r="D9438" s="343">
        <v>6.78</v>
      </c>
    </row>
    <row r="9439" spans="1:4" ht="25.5">
      <c r="A9439" s="341">
        <v>3913</v>
      </c>
      <c r="B9439" s="342" t="s">
        <v>10278</v>
      </c>
      <c r="C9439" s="341" t="s">
        <v>7278</v>
      </c>
      <c r="D9439" s="343">
        <v>32.4</v>
      </c>
    </row>
    <row r="9440" spans="1:4" ht="25.5">
      <c r="A9440" s="341">
        <v>3912</v>
      </c>
      <c r="B9440" s="342" t="s">
        <v>10279</v>
      </c>
      <c r="C9440" s="341" t="s">
        <v>7278</v>
      </c>
      <c r="D9440" s="343">
        <v>17.760000000000002</v>
      </c>
    </row>
    <row r="9441" spans="1:4" ht="25.5">
      <c r="A9441" s="341">
        <v>3909</v>
      </c>
      <c r="B9441" s="342" t="s">
        <v>10280</v>
      </c>
      <c r="C9441" s="341" t="s">
        <v>7278</v>
      </c>
      <c r="D9441" s="343">
        <v>4.17</v>
      </c>
    </row>
    <row r="9442" spans="1:4" ht="25.5">
      <c r="A9442" s="341">
        <v>3914</v>
      </c>
      <c r="B9442" s="342" t="s">
        <v>10281</v>
      </c>
      <c r="C9442" s="341" t="s">
        <v>7278</v>
      </c>
      <c r="D9442" s="343">
        <v>48.88</v>
      </c>
    </row>
    <row r="9443" spans="1:4" ht="25.5">
      <c r="A9443" s="341">
        <v>3915</v>
      </c>
      <c r="B9443" s="342" t="s">
        <v>10282</v>
      </c>
      <c r="C9443" s="341" t="s">
        <v>7278</v>
      </c>
      <c r="D9443" s="343">
        <v>77.08</v>
      </c>
    </row>
    <row r="9444" spans="1:4" ht="25.5">
      <c r="A9444" s="341">
        <v>3916</v>
      </c>
      <c r="B9444" s="342" t="s">
        <v>10283</v>
      </c>
      <c r="C9444" s="341" t="s">
        <v>7278</v>
      </c>
      <c r="D9444" s="343">
        <v>140.43</v>
      </c>
    </row>
    <row r="9445" spans="1:4" ht="25.5">
      <c r="A9445" s="341">
        <v>3917</v>
      </c>
      <c r="B9445" s="342" t="s">
        <v>10284</v>
      </c>
      <c r="C9445" s="341" t="s">
        <v>7278</v>
      </c>
      <c r="D9445" s="343">
        <v>231.63</v>
      </c>
    </row>
    <row r="9446" spans="1:4" ht="25.5">
      <c r="A9446" s="341">
        <v>1904</v>
      </c>
      <c r="B9446" s="342" t="s">
        <v>10285</v>
      </c>
      <c r="C9446" s="341" t="s">
        <v>7278</v>
      </c>
      <c r="D9446" s="343">
        <v>0.66</v>
      </c>
    </row>
    <row r="9447" spans="1:4" ht="25.5">
      <c r="A9447" s="341">
        <v>1899</v>
      </c>
      <c r="B9447" s="342" t="s">
        <v>10286</v>
      </c>
      <c r="C9447" s="341" t="s">
        <v>7278</v>
      </c>
      <c r="D9447" s="343">
        <v>0.74</v>
      </c>
    </row>
    <row r="9448" spans="1:4" ht="25.5">
      <c r="A9448" s="341">
        <v>1900</v>
      </c>
      <c r="B9448" s="342" t="s">
        <v>10287</v>
      </c>
      <c r="C9448" s="341" t="s">
        <v>7278</v>
      </c>
      <c r="D9448" s="343">
        <v>1.21</v>
      </c>
    </row>
    <row r="9449" spans="1:4" ht="25.5">
      <c r="A9449" s="341">
        <v>12407</v>
      </c>
      <c r="B9449" s="342" t="s">
        <v>10288</v>
      </c>
      <c r="C9449" s="341" t="s">
        <v>7278</v>
      </c>
      <c r="D9449" s="343">
        <v>17.53</v>
      </c>
    </row>
    <row r="9450" spans="1:4" ht="25.5">
      <c r="A9450" s="341">
        <v>12408</v>
      </c>
      <c r="B9450" s="342" t="s">
        <v>10289</v>
      </c>
      <c r="C9450" s="341" t="s">
        <v>7278</v>
      </c>
      <c r="D9450" s="343">
        <v>9.89</v>
      </c>
    </row>
    <row r="9451" spans="1:4" ht="25.5">
      <c r="A9451" s="341">
        <v>12409</v>
      </c>
      <c r="B9451" s="342" t="s">
        <v>10290</v>
      </c>
      <c r="C9451" s="341" t="s">
        <v>7278</v>
      </c>
      <c r="D9451" s="343">
        <v>9.89</v>
      </c>
    </row>
    <row r="9452" spans="1:4" ht="25.5">
      <c r="A9452" s="341">
        <v>12410</v>
      </c>
      <c r="B9452" s="342" t="s">
        <v>10291</v>
      </c>
      <c r="C9452" s="341" t="s">
        <v>7278</v>
      </c>
      <c r="D9452" s="343">
        <v>6.82</v>
      </c>
    </row>
    <row r="9453" spans="1:4" ht="25.5">
      <c r="A9453" s="341">
        <v>3936</v>
      </c>
      <c r="B9453" s="342" t="s">
        <v>10292</v>
      </c>
      <c r="C9453" s="341" t="s">
        <v>7278</v>
      </c>
      <c r="D9453" s="343">
        <v>12.32</v>
      </c>
    </row>
    <row r="9454" spans="1:4" ht="25.5">
      <c r="A9454" s="341">
        <v>3922</v>
      </c>
      <c r="B9454" s="342" t="s">
        <v>10293</v>
      </c>
      <c r="C9454" s="341" t="s">
        <v>7278</v>
      </c>
      <c r="D9454" s="343">
        <v>11.33</v>
      </c>
    </row>
    <row r="9455" spans="1:4" ht="25.5">
      <c r="A9455" s="341">
        <v>3924</v>
      </c>
      <c r="B9455" s="342" t="s">
        <v>10294</v>
      </c>
      <c r="C9455" s="341" t="s">
        <v>7278</v>
      </c>
      <c r="D9455" s="343">
        <v>12.32</v>
      </c>
    </row>
    <row r="9456" spans="1:4" ht="25.5">
      <c r="A9456" s="341">
        <v>3923</v>
      </c>
      <c r="B9456" s="342" t="s">
        <v>10295</v>
      </c>
      <c r="C9456" s="341" t="s">
        <v>7278</v>
      </c>
      <c r="D9456" s="343">
        <v>12.32</v>
      </c>
    </row>
    <row r="9457" spans="1:4" ht="25.5">
      <c r="A9457" s="341">
        <v>3937</v>
      </c>
      <c r="B9457" s="342" t="s">
        <v>10296</v>
      </c>
      <c r="C9457" s="341" t="s">
        <v>7278</v>
      </c>
      <c r="D9457" s="343">
        <v>10.16</v>
      </c>
    </row>
    <row r="9458" spans="1:4" ht="25.5">
      <c r="A9458" s="341">
        <v>3921</v>
      </c>
      <c r="B9458" s="342" t="s">
        <v>10297</v>
      </c>
      <c r="C9458" s="341" t="s">
        <v>7278</v>
      </c>
      <c r="D9458" s="343">
        <v>10.17</v>
      </c>
    </row>
    <row r="9459" spans="1:4" ht="25.5">
      <c r="A9459" s="341">
        <v>3920</v>
      </c>
      <c r="B9459" s="342" t="s">
        <v>10298</v>
      </c>
      <c r="C9459" s="341" t="s">
        <v>7278</v>
      </c>
      <c r="D9459" s="343">
        <v>10.16</v>
      </c>
    </row>
    <row r="9460" spans="1:4" ht="25.5">
      <c r="A9460" s="341">
        <v>3938</v>
      </c>
      <c r="B9460" s="342" t="s">
        <v>10299</v>
      </c>
      <c r="C9460" s="341" t="s">
        <v>7278</v>
      </c>
      <c r="D9460" s="343">
        <v>6.7</v>
      </c>
    </row>
    <row r="9461" spans="1:4" ht="25.5">
      <c r="A9461" s="341">
        <v>3919</v>
      </c>
      <c r="B9461" s="342" t="s">
        <v>10300</v>
      </c>
      <c r="C9461" s="341" t="s">
        <v>7278</v>
      </c>
      <c r="D9461" s="343">
        <v>6.83</v>
      </c>
    </row>
    <row r="9462" spans="1:4" ht="25.5">
      <c r="A9462" s="341">
        <v>3927</v>
      </c>
      <c r="B9462" s="342" t="s">
        <v>10301</v>
      </c>
      <c r="C9462" s="341" t="s">
        <v>7278</v>
      </c>
      <c r="D9462" s="343">
        <v>34.6</v>
      </c>
    </row>
    <row r="9463" spans="1:4" ht="25.5">
      <c r="A9463" s="341">
        <v>3928</v>
      </c>
      <c r="B9463" s="342" t="s">
        <v>10302</v>
      </c>
      <c r="C9463" s="341" t="s">
        <v>7278</v>
      </c>
      <c r="D9463" s="343">
        <v>34.6</v>
      </c>
    </row>
    <row r="9464" spans="1:4" ht="25.5">
      <c r="A9464" s="341">
        <v>3926</v>
      </c>
      <c r="B9464" s="342" t="s">
        <v>10303</v>
      </c>
      <c r="C9464" s="341" t="s">
        <v>7278</v>
      </c>
      <c r="D9464" s="343">
        <v>19.72</v>
      </c>
    </row>
    <row r="9465" spans="1:4" ht="25.5">
      <c r="A9465" s="341">
        <v>3935</v>
      </c>
      <c r="B9465" s="342" t="s">
        <v>10304</v>
      </c>
      <c r="C9465" s="341" t="s">
        <v>7278</v>
      </c>
      <c r="D9465" s="343">
        <v>19.72</v>
      </c>
    </row>
    <row r="9466" spans="1:4" ht="25.5">
      <c r="A9466" s="341">
        <v>3925</v>
      </c>
      <c r="B9466" s="342" t="s">
        <v>10305</v>
      </c>
      <c r="C9466" s="341" t="s">
        <v>7278</v>
      </c>
      <c r="D9466" s="343">
        <v>19.72</v>
      </c>
    </row>
    <row r="9467" spans="1:4" ht="25.5">
      <c r="A9467" s="341">
        <v>12406</v>
      </c>
      <c r="B9467" s="342" t="s">
        <v>10306</v>
      </c>
      <c r="C9467" s="341" t="s">
        <v>7278</v>
      </c>
      <c r="D9467" s="343">
        <v>4.84</v>
      </c>
    </row>
    <row r="9468" spans="1:4" ht="25.5">
      <c r="A9468" s="341">
        <v>3929</v>
      </c>
      <c r="B9468" s="342" t="s">
        <v>10307</v>
      </c>
      <c r="C9468" s="341" t="s">
        <v>7278</v>
      </c>
      <c r="D9468" s="343">
        <v>52.71</v>
      </c>
    </row>
    <row r="9469" spans="1:4" ht="25.5">
      <c r="A9469" s="341">
        <v>3931</v>
      </c>
      <c r="B9469" s="342" t="s">
        <v>10308</v>
      </c>
      <c r="C9469" s="341" t="s">
        <v>7278</v>
      </c>
      <c r="D9469" s="343">
        <v>52.71</v>
      </c>
    </row>
    <row r="9470" spans="1:4" ht="25.5">
      <c r="A9470" s="341">
        <v>3930</v>
      </c>
      <c r="B9470" s="342" t="s">
        <v>10309</v>
      </c>
      <c r="C9470" s="341" t="s">
        <v>7278</v>
      </c>
      <c r="D9470" s="343">
        <v>52.71</v>
      </c>
    </row>
    <row r="9471" spans="1:4" ht="25.5">
      <c r="A9471" s="341">
        <v>3932</v>
      </c>
      <c r="B9471" s="342" t="s">
        <v>10310</v>
      </c>
      <c r="C9471" s="341" t="s">
        <v>7278</v>
      </c>
      <c r="D9471" s="343">
        <v>91.02</v>
      </c>
    </row>
    <row r="9472" spans="1:4" ht="25.5">
      <c r="A9472" s="341">
        <v>3933</v>
      </c>
      <c r="B9472" s="342" t="s">
        <v>10311</v>
      </c>
      <c r="C9472" s="341" t="s">
        <v>7278</v>
      </c>
      <c r="D9472" s="343">
        <v>91.02</v>
      </c>
    </row>
    <row r="9473" spans="1:4" ht="25.5">
      <c r="A9473" s="341">
        <v>3934</v>
      </c>
      <c r="B9473" s="342" t="s">
        <v>10312</v>
      </c>
      <c r="C9473" s="341" t="s">
        <v>7278</v>
      </c>
      <c r="D9473" s="343">
        <v>91.02</v>
      </c>
    </row>
    <row r="9474" spans="1:4" ht="38.25">
      <c r="A9474" s="341">
        <v>40355</v>
      </c>
      <c r="B9474" s="342" t="s">
        <v>10313</v>
      </c>
      <c r="C9474" s="341" t="s">
        <v>7278</v>
      </c>
      <c r="D9474" s="343">
        <v>5.66</v>
      </c>
    </row>
    <row r="9475" spans="1:4" ht="38.25">
      <c r="A9475" s="341">
        <v>40364</v>
      </c>
      <c r="B9475" s="342" t="s">
        <v>10314</v>
      </c>
      <c r="C9475" s="341" t="s">
        <v>7278</v>
      </c>
      <c r="D9475" s="343">
        <v>26.54</v>
      </c>
    </row>
    <row r="9476" spans="1:4" ht="38.25">
      <c r="A9476" s="341">
        <v>40361</v>
      </c>
      <c r="B9476" s="342" t="s">
        <v>10315</v>
      </c>
      <c r="C9476" s="341" t="s">
        <v>7278</v>
      </c>
      <c r="D9476" s="343">
        <v>20.75</v>
      </c>
    </row>
    <row r="9477" spans="1:4" ht="38.25">
      <c r="A9477" s="341">
        <v>40358</v>
      </c>
      <c r="B9477" s="342" t="s">
        <v>10316</v>
      </c>
      <c r="C9477" s="341" t="s">
        <v>7278</v>
      </c>
      <c r="D9477" s="343">
        <v>7.91</v>
      </c>
    </row>
    <row r="9478" spans="1:4" ht="38.25">
      <c r="A9478" s="341">
        <v>40370</v>
      </c>
      <c r="B9478" s="342" t="s">
        <v>10317</v>
      </c>
      <c r="C9478" s="341" t="s">
        <v>7278</v>
      </c>
      <c r="D9478" s="343">
        <v>84.22</v>
      </c>
    </row>
    <row r="9479" spans="1:4" ht="38.25">
      <c r="A9479" s="341">
        <v>40367</v>
      </c>
      <c r="B9479" s="342" t="s">
        <v>10318</v>
      </c>
      <c r="C9479" s="341" t="s">
        <v>7278</v>
      </c>
      <c r="D9479" s="343">
        <v>41.86</v>
      </c>
    </row>
    <row r="9480" spans="1:4" ht="38.25">
      <c r="A9480" s="341">
        <v>40373</v>
      </c>
      <c r="B9480" s="342" t="s">
        <v>10319</v>
      </c>
      <c r="C9480" s="341" t="s">
        <v>7278</v>
      </c>
      <c r="D9480" s="343">
        <v>113.88</v>
      </c>
    </row>
    <row r="9481" spans="1:4" ht="38.25">
      <c r="A9481" s="341">
        <v>38947</v>
      </c>
      <c r="B9481" s="342" t="s">
        <v>10320</v>
      </c>
      <c r="C9481" s="341" t="s">
        <v>7278</v>
      </c>
      <c r="D9481" s="343">
        <v>5.65</v>
      </c>
    </row>
    <row r="9482" spans="1:4" ht="38.25">
      <c r="A9482" s="341">
        <v>38948</v>
      </c>
      <c r="B9482" s="342" t="s">
        <v>10321</v>
      </c>
      <c r="C9482" s="341" t="s">
        <v>7278</v>
      </c>
      <c r="D9482" s="343">
        <v>9.01</v>
      </c>
    </row>
    <row r="9483" spans="1:4" ht="38.25">
      <c r="A9483" s="341">
        <v>38949</v>
      </c>
      <c r="B9483" s="342" t="s">
        <v>10322</v>
      </c>
      <c r="C9483" s="341" t="s">
        <v>7278</v>
      </c>
      <c r="D9483" s="343">
        <v>9.99</v>
      </c>
    </row>
    <row r="9484" spans="1:4" ht="38.25">
      <c r="A9484" s="341">
        <v>38951</v>
      </c>
      <c r="B9484" s="342" t="s">
        <v>10323</v>
      </c>
      <c r="C9484" s="341" t="s">
        <v>7278</v>
      </c>
      <c r="D9484" s="343">
        <v>15.81</v>
      </c>
    </row>
    <row r="9485" spans="1:4" ht="38.25">
      <c r="A9485" s="341">
        <v>39312</v>
      </c>
      <c r="B9485" s="342" t="s">
        <v>10324</v>
      </c>
      <c r="C9485" s="341" t="s">
        <v>7278</v>
      </c>
      <c r="D9485" s="343">
        <v>12.26</v>
      </c>
    </row>
    <row r="9486" spans="1:4" ht="38.25">
      <c r="A9486" s="341">
        <v>39313</v>
      </c>
      <c r="B9486" s="342" t="s">
        <v>10325</v>
      </c>
      <c r="C9486" s="341" t="s">
        <v>7278</v>
      </c>
      <c r="D9486" s="343">
        <v>16.010000000000002</v>
      </c>
    </row>
    <row r="9487" spans="1:4" ht="38.25">
      <c r="A9487" s="341">
        <v>38950</v>
      </c>
      <c r="B9487" s="342" t="s">
        <v>10326</v>
      </c>
      <c r="C9487" s="341" t="s">
        <v>7278</v>
      </c>
      <c r="D9487" s="343">
        <v>24.09</v>
      </c>
    </row>
    <row r="9488" spans="1:4" ht="38.25">
      <c r="A9488" s="341">
        <v>39314</v>
      </c>
      <c r="B9488" s="342" t="s">
        <v>10327</v>
      </c>
      <c r="C9488" s="341" t="s">
        <v>7278</v>
      </c>
      <c r="D9488" s="343">
        <v>25.42</v>
      </c>
    </row>
    <row r="9489" spans="1:4" ht="25.5">
      <c r="A9489" s="341">
        <v>3907</v>
      </c>
      <c r="B9489" s="342" t="s">
        <v>10328</v>
      </c>
      <c r="C9489" s="341" t="s">
        <v>7278</v>
      </c>
      <c r="D9489" s="343">
        <v>2.67</v>
      </c>
    </row>
    <row r="9490" spans="1:4" ht="25.5">
      <c r="A9490" s="341">
        <v>3889</v>
      </c>
      <c r="B9490" s="342" t="s">
        <v>10329</v>
      </c>
      <c r="C9490" s="341" t="s">
        <v>7278</v>
      </c>
      <c r="D9490" s="343">
        <v>1.92</v>
      </c>
    </row>
    <row r="9491" spans="1:4" ht="25.5">
      <c r="A9491" s="341">
        <v>3868</v>
      </c>
      <c r="B9491" s="342" t="s">
        <v>10330</v>
      </c>
      <c r="C9491" s="341" t="s">
        <v>7278</v>
      </c>
      <c r="D9491" s="343">
        <v>0.94</v>
      </c>
    </row>
    <row r="9492" spans="1:4" ht="25.5">
      <c r="A9492" s="341">
        <v>3869</v>
      </c>
      <c r="B9492" s="342" t="s">
        <v>10331</v>
      </c>
      <c r="C9492" s="341" t="s">
        <v>7278</v>
      </c>
      <c r="D9492" s="343">
        <v>2.2799999999999998</v>
      </c>
    </row>
    <row r="9493" spans="1:4" ht="25.5">
      <c r="A9493" s="341">
        <v>3872</v>
      </c>
      <c r="B9493" s="342" t="s">
        <v>10332</v>
      </c>
      <c r="C9493" s="341" t="s">
        <v>7278</v>
      </c>
      <c r="D9493" s="343">
        <v>2.8</v>
      </c>
    </row>
    <row r="9494" spans="1:4" ht="25.5">
      <c r="A9494" s="341">
        <v>3850</v>
      </c>
      <c r="B9494" s="342" t="s">
        <v>10333</v>
      </c>
      <c r="C9494" s="341" t="s">
        <v>7278</v>
      </c>
      <c r="D9494" s="343">
        <v>7.65</v>
      </c>
    </row>
    <row r="9495" spans="1:4" ht="25.5">
      <c r="A9495" s="341">
        <v>38023</v>
      </c>
      <c r="B9495" s="342" t="s">
        <v>10334</v>
      </c>
      <c r="C9495" s="341" t="s">
        <v>7278</v>
      </c>
      <c r="D9495" s="343">
        <v>3.21</v>
      </c>
    </row>
    <row r="9496" spans="1:4" ht="25.5">
      <c r="A9496" s="341">
        <v>37986</v>
      </c>
      <c r="B9496" s="342" t="s">
        <v>10335</v>
      </c>
      <c r="C9496" s="341" t="s">
        <v>7278</v>
      </c>
      <c r="D9496" s="343">
        <v>1.74</v>
      </c>
    </row>
    <row r="9497" spans="1:4" ht="25.5">
      <c r="A9497" s="341">
        <v>37987</v>
      </c>
      <c r="B9497" s="342" t="s">
        <v>10336</v>
      </c>
      <c r="C9497" s="341" t="s">
        <v>7278</v>
      </c>
      <c r="D9497" s="343">
        <v>129.88</v>
      </c>
    </row>
    <row r="9498" spans="1:4" ht="25.5">
      <c r="A9498" s="341">
        <v>37988</v>
      </c>
      <c r="B9498" s="342" t="s">
        <v>10337</v>
      </c>
      <c r="C9498" s="341" t="s">
        <v>7278</v>
      </c>
      <c r="D9498" s="343">
        <v>211.85</v>
      </c>
    </row>
    <row r="9499" spans="1:4" ht="25.5">
      <c r="A9499" s="341">
        <v>21120</v>
      </c>
      <c r="B9499" s="342" t="s">
        <v>10338</v>
      </c>
      <c r="C9499" s="341" t="s">
        <v>7278</v>
      </c>
      <c r="D9499" s="343">
        <v>10.56</v>
      </c>
    </row>
    <row r="9500" spans="1:4" ht="25.5">
      <c r="A9500" s="341">
        <v>39318</v>
      </c>
      <c r="B9500" s="342" t="s">
        <v>10339</v>
      </c>
      <c r="C9500" s="341" t="s">
        <v>7278</v>
      </c>
      <c r="D9500" s="343">
        <v>8.7100000000000009</v>
      </c>
    </row>
    <row r="9501" spans="1:4">
      <c r="A9501" s="341">
        <v>20162</v>
      </c>
      <c r="B9501" s="342" t="s">
        <v>10340</v>
      </c>
      <c r="C9501" s="341" t="s">
        <v>7278</v>
      </c>
      <c r="D9501" s="343">
        <v>13.23</v>
      </c>
    </row>
    <row r="9502" spans="1:4" ht="25.5">
      <c r="A9502" s="341">
        <v>40366</v>
      </c>
      <c r="B9502" s="342" t="s">
        <v>10341</v>
      </c>
      <c r="C9502" s="341" t="s">
        <v>7278</v>
      </c>
      <c r="D9502" s="343">
        <v>20.7</v>
      </c>
    </row>
    <row r="9503" spans="1:4" ht="25.5">
      <c r="A9503" s="341">
        <v>40363</v>
      </c>
      <c r="B9503" s="342" t="s">
        <v>10342</v>
      </c>
      <c r="C9503" s="341" t="s">
        <v>7278</v>
      </c>
      <c r="D9503" s="343">
        <v>16.190000000000001</v>
      </c>
    </row>
    <row r="9504" spans="1:4" ht="25.5">
      <c r="A9504" s="341">
        <v>40354</v>
      </c>
      <c r="B9504" s="342" t="s">
        <v>10343</v>
      </c>
      <c r="C9504" s="341" t="s">
        <v>7278</v>
      </c>
      <c r="D9504" s="343">
        <v>7.05</v>
      </c>
    </row>
    <row r="9505" spans="1:4" ht="25.5">
      <c r="A9505" s="341">
        <v>40360</v>
      </c>
      <c r="B9505" s="342" t="s">
        <v>10344</v>
      </c>
      <c r="C9505" s="341" t="s">
        <v>7278</v>
      </c>
      <c r="D9505" s="343">
        <v>10.61</v>
      </c>
    </row>
    <row r="9506" spans="1:4" ht="25.5">
      <c r="A9506" s="341">
        <v>40372</v>
      </c>
      <c r="B9506" s="342" t="s">
        <v>10345</v>
      </c>
      <c r="C9506" s="341" t="s">
        <v>7278</v>
      </c>
      <c r="D9506" s="343">
        <v>65.56</v>
      </c>
    </row>
    <row r="9507" spans="1:4" ht="25.5">
      <c r="A9507" s="341">
        <v>40369</v>
      </c>
      <c r="B9507" s="342" t="s">
        <v>10346</v>
      </c>
      <c r="C9507" s="341" t="s">
        <v>7278</v>
      </c>
      <c r="D9507" s="343">
        <v>32.630000000000003</v>
      </c>
    </row>
    <row r="9508" spans="1:4" ht="25.5">
      <c r="A9508" s="341">
        <v>40357</v>
      </c>
      <c r="B9508" s="342" t="s">
        <v>10347</v>
      </c>
      <c r="C9508" s="341" t="s">
        <v>7278</v>
      </c>
      <c r="D9508" s="343">
        <v>7.91</v>
      </c>
    </row>
    <row r="9509" spans="1:4" ht="25.5">
      <c r="A9509" s="341">
        <v>40375</v>
      </c>
      <c r="B9509" s="342" t="s">
        <v>10348</v>
      </c>
      <c r="C9509" s="341" t="s">
        <v>7278</v>
      </c>
      <c r="D9509" s="343">
        <v>88.75</v>
      </c>
    </row>
    <row r="9510" spans="1:4" ht="25.5">
      <c r="A9510" s="341">
        <v>1893</v>
      </c>
      <c r="B9510" s="342" t="s">
        <v>10349</v>
      </c>
      <c r="C9510" s="341" t="s">
        <v>7278</v>
      </c>
      <c r="D9510" s="343">
        <v>2.48</v>
      </c>
    </row>
    <row r="9511" spans="1:4" ht="25.5">
      <c r="A9511" s="341">
        <v>1902</v>
      </c>
      <c r="B9511" s="342" t="s">
        <v>10350</v>
      </c>
      <c r="C9511" s="341" t="s">
        <v>7278</v>
      </c>
      <c r="D9511" s="343">
        <v>1.81</v>
      </c>
    </row>
    <row r="9512" spans="1:4" ht="25.5">
      <c r="A9512" s="341">
        <v>1901</v>
      </c>
      <c r="B9512" s="342" t="s">
        <v>10351</v>
      </c>
      <c r="C9512" s="341" t="s">
        <v>7278</v>
      </c>
      <c r="D9512" s="343">
        <v>0.56000000000000005</v>
      </c>
    </row>
    <row r="9513" spans="1:4" ht="25.5">
      <c r="A9513" s="341">
        <v>1892</v>
      </c>
      <c r="B9513" s="342" t="s">
        <v>10352</v>
      </c>
      <c r="C9513" s="341" t="s">
        <v>7278</v>
      </c>
      <c r="D9513" s="343">
        <v>1.1599999999999999</v>
      </c>
    </row>
    <row r="9514" spans="1:4" ht="25.5">
      <c r="A9514" s="341">
        <v>1907</v>
      </c>
      <c r="B9514" s="342" t="s">
        <v>10353</v>
      </c>
      <c r="C9514" s="341" t="s">
        <v>7278</v>
      </c>
      <c r="D9514" s="343">
        <v>8</v>
      </c>
    </row>
    <row r="9515" spans="1:4" ht="25.5">
      <c r="A9515" s="341">
        <v>1894</v>
      </c>
      <c r="B9515" s="342" t="s">
        <v>10354</v>
      </c>
      <c r="C9515" s="341" t="s">
        <v>7278</v>
      </c>
      <c r="D9515" s="343">
        <v>3.6</v>
      </c>
    </row>
    <row r="9516" spans="1:4" ht="25.5">
      <c r="A9516" s="341">
        <v>1891</v>
      </c>
      <c r="B9516" s="342" t="s">
        <v>10355</v>
      </c>
      <c r="C9516" s="341" t="s">
        <v>7278</v>
      </c>
      <c r="D9516" s="343">
        <v>0.83</v>
      </c>
    </row>
    <row r="9517" spans="1:4" ht="25.5">
      <c r="A9517" s="341">
        <v>1896</v>
      </c>
      <c r="B9517" s="342" t="s">
        <v>10356</v>
      </c>
      <c r="C9517" s="341" t="s">
        <v>7278</v>
      </c>
      <c r="D9517" s="343">
        <v>10.75</v>
      </c>
    </row>
    <row r="9518" spans="1:4" ht="25.5">
      <c r="A9518" s="341">
        <v>1895</v>
      </c>
      <c r="B9518" s="342" t="s">
        <v>10357</v>
      </c>
      <c r="C9518" s="341" t="s">
        <v>7278</v>
      </c>
      <c r="D9518" s="343">
        <v>18.88</v>
      </c>
    </row>
    <row r="9519" spans="1:4" ht="25.5">
      <c r="A9519" s="341">
        <v>2641</v>
      </c>
      <c r="B9519" s="342" t="s">
        <v>10358</v>
      </c>
      <c r="C9519" s="341" t="s">
        <v>7278</v>
      </c>
      <c r="D9519" s="343">
        <v>29.43</v>
      </c>
    </row>
    <row r="9520" spans="1:4" ht="25.5">
      <c r="A9520" s="341">
        <v>2636</v>
      </c>
      <c r="B9520" s="342" t="s">
        <v>10359</v>
      </c>
      <c r="C9520" s="341" t="s">
        <v>7278</v>
      </c>
      <c r="D9520" s="343">
        <v>1.89</v>
      </c>
    </row>
    <row r="9521" spans="1:4" ht="25.5">
      <c r="A9521" s="341">
        <v>2637</v>
      </c>
      <c r="B9521" s="342" t="s">
        <v>10360</v>
      </c>
      <c r="C9521" s="341" t="s">
        <v>7278</v>
      </c>
      <c r="D9521" s="343">
        <v>2.0099999999999998</v>
      </c>
    </row>
    <row r="9522" spans="1:4" ht="25.5">
      <c r="A9522" s="341">
        <v>2638</v>
      </c>
      <c r="B9522" s="342" t="s">
        <v>10361</v>
      </c>
      <c r="C9522" s="341" t="s">
        <v>7278</v>
      </c>
      <c r="D9522" s="343">
        <v>2.34</v>
      </c>
    </row>
    <row r="9523" spans="1:4" ht="25.5">
      <c r="A9523" s="341">
        <v>2639</v>
      </c>
      <c r="B9523" s="342" t="s">
        <v>10362</v>
      </c>
      <c r="C9523" s="341" t="s">
        <v>7278</v>
      </c>
      <c r="D9523" s="343">
        <v>4.16</v>
      </c>
    </row>
    <row r="9524" spans="1:4" ht="25.5">
      <c r="A9524" s="341">
        <v>2644</v>
      </c>
      <c r="B9524" s="342" t="s">
        <v>10363</v>
      </c>
      <c r="C9524" s="341" t="s">
        <v>7278</v>
      </c>
      <c r="D9524" s="343">
        <v>6.02</v>
      </c>
    </row>
    <row r="9525" spans="1:4" ht="25.5">
      <c r="A9525" s="341">
        <v>2643</v>
      </c>
      <c r="B9525" s="342" t="s">
        <v>10364</v>
      </c>
      <c r="C9525" s="341" t="s">
        <v>7278</v>
      </c>
      <c r="D9525" s="343">
        <v>8.39</v>
      </c>
    </row>
    <row r="9526" spans="1:4" ht="25.5">
      <c r="A9526" s="341">
        <v>2640</v>
      </c>
      <c r="B9526" s="342" t="s">
        <v>10365</v>
      </c>
      <c r="C9526" s="341" t="s">
        <v>7278</v>
      </c>
      <c r="D9526" s="343">
        <v>12.25</v>
      </c>
    </row>
    <row r="9527" spans="1:4" ht="25.5">
      <c r="A9527" s="341">
        <v>2642</v>
      </c>
      <c r="B9527" s="342" t="s">
        <v>10366</v>
      </c>
      <c r="C9527" s="341" t="s">
        <v>7278</v>
      </c>
      <c r="D9527" s="343">
        <v>18.649999999999999</v>
      </c>
    </row>
    <row r="9528" spans="1:4" ht="25.5">
      <c r="A9528" s="341">
        <v>38943</v>
      </c>
      <c r="B9528" s="342" t="s">
        <v>10367</v>
      </c>
      <c r="C9528" s="341" t="s">
        <v>7278</v>
      </c>
      <c r="D9528" s="343">
        <v>4.17</v>
      </c>
    </row>
    <row r="9529" spans="1:4" ht="25.5">
      <c r="A9529" s="341">
        <v>38944</v>
      </c>
      <c r="B9529" s="342" t="s">
        <v>10368</v>
      </c>
      <c r="C9529" s="341" t="s">
        <v>7278</v>
      </c>
      <c r="D9529" s="343">
        <v>6.44</v>
      </c>
    </row>
    <row r="9530" spans="1:4" ht="25.5">
      <c r="A9530" s="341">
        <v>38945</v>
      </c>
      <c r="B9530" s="342" t="s">
        <v>10369</v>
      </c>
      <c r="C9530" s="341" t="s">
        <v>7278</v>
      </c>
      <c r="D9530" s="343">
        <v>13.07</v>
      </c>
    </row>
    <row r="9531" spans="1:4" ht="25.5">
      <c r="A9531" s="341">
        <v>38946</v>
      </c>
      <c r="B9531" s="342" t="s">
        <v>10370</v>
      </c>
      <c r="C9531" s="341" t="s">
        <v>7278</v>
      </c>
      <c r="D9531" s="343">
        <v>19.489999999999998</v>
      </c>
    </row>
    <row r="9532" spans="1:4" ht="25.5">
      <c r="A9532" s="341">
        <v>39308</v>
      </c>
      <c r="B9532" s="342" t="s">
        <v>10371</v>
      </c>
      <c r="C9532" s="341" t="s">
        <v>7278</v>
      </c>
      <c r="D9532" s="343">
        <v>8.5</v>
      </c>
    </row>
    <row r="9533" spans="1:4" ht="25.5">
      <c r="A9533" s="341">
        <v>39309</v>
      </c>
      <c r="B9533" s="342" t="s">
        <v>10372</v>
      </c>
      <c r="C9533" s="341" t="s">
        <v>7278</v>
      </c>
      <c r="D9533" s="343">
        <v>12.29</v>
      </c>
    </row>
    <row r="9534" spans="1:4" ht="25.5">
      <c r="A9534" s="341">
        <v>39310</v>
      </c>
      <c r="B9534" s="342" t="s">
        <v>10373</v>
      </c>
      <c r="C9534" s="341" t="s">
        <v>7278</v>
      </c>
      <c r="D9534" s="343">
        <v>18.62</v>
      </c>
    </row>
    <row r="9535" spans="1:4" ht="25.5">
      <c r="A9535" s="341">
        <v>39311</v>
      </c>
      <c r="B9535" s="342" t="s">
        <v>10374</v>
      </c>
      <c r="C9535" s="341" t="s">
        <v>7278</v>
      </c>
      <c r="D9535" s="343">
        <v>27.99</v>
      </c>
    </row>
    <row r="9536" spans="1:4" ht="25.5">
      <c r="A9536" s="341">
        <v>39855</v>
      </c>
      <c r="B9536" s="342" t="s">
        <v>10375</v>
      </c>
      <c r="C9536" s="341" t="s">
        <v>7278</v>
      </c>
      <c r="D9536" s="343">
        <v>1.3</v>
      </c>
    </row>
    <row r="9537" spans="1:4" ht="25.5">
      <c r="A9537" s="341">
        <v>39856</v>
      </c>
      <c r="B9537" s="342" t="s">
        <v>10376</v>
      </c>
      <c r="C9537" s="341" t="s">
        <v>7278</v>
      </c>
      <c r="D9537" s="343">
        <v>3.07</v>
      </c>
    </row>
    <row r="9538" spans="1:4" ht="25.5">
      <c r="A9538" s="341">
        <v>39857</v>
      </c>
      <c r="B9538" s="342" t="s">
        <v>10377</v>
      </c>
      <c r="C9538" s="341" t="s">
        <v>7278</v>
      </c>
      <c r="D9538" s="343">
        <v>4.97</v>
      </c>
    </row>
    <row r="9539" spans="1:4" ht="25.5">
      <c r="A9539" s="341">
        <v>39858</v>
      </c>
      <c r="B9539" s="342" t="s">
        <v>10378</v>
      </c>
      <c r="C9539" s="341" t="s">
        <v>7278</v>
      </c>
      <c r="D9539" s="343">
        <v>11.04</v>
      </c>
    </row>
    <row r="9540" spans="1:4" ht="25.5">
      <c r="A9540" s="341">
        <v>39859</v>
      </c>
      <c r="B9540" s="342" t="s">
        <v>10379</v>
      </c>
      <c r="C9540" s="341" t="s">
        <v>7278</v>
      </c>
      <c r="D9540" s="343">
        <v>17.03</v>
      </c>
    </row>
    <row r="9541" spans="1:4" ht="25.5">
      <c r="A9541" s="341">
        <v>39860</v>
      </c>
      <c r="B9541" s="342" t="s">
        <v>10380</v>
      </c>
      <c r="C9541" s="341" t="s">
        <v>7278</v>
      </c>
      <c r="D9541" s="343">
        <v>26.13</v>
      </c>
    </row>
    <row r="9542" spans="1:4" ht="25.5">
      <c r="A9542" s="341">
        <v>39861</v>
      </c>
      <c r="B9542" s="342" t="s">
        <v>10381</v>
      </c>
      <c r="C9542" s="341" t="s">
        <v>7278</v>
      </c>
      <c r="D9542" s="343">
        <v>74.599999999999994</v>
      </c>
    </row>
    <row r="9543" spans="1:4" ht="25.5">
      <c r="A9543" s="341">
        <v>38447</v>
      </c>
      <c r="B9543" s="342" t="s">
        <v>10382</v>
      </c>
      <c r="C9543" s="341" t="s">
        <v>7278</v>
      </c>
      <c r="D9543" s="343">
        <v>61.91</v>
      </c>
    </row>
    <row r="9544" spans="1:4" ht="25.5">
      <c r="A9544" s="341">
        <v>36320</v>
      </c>
      <c r="B9544" s="342" t="s">
        <v>10383</v>
      </c>
      <c r="C9544" s="341" t="s">
        <v>7278</v>
      </c>
      <c r="D9544" s="343">
        <v>0.89</v>
      </c>
    </row>
    <row r="9545" spans="1:4" ht="25.5">
      <c r="A9545" s="341">
        <v>36324</v>
      </c>
      <c r="B9545" s="342" t="s">
        <v>10384</v>
      </c>
      <c r="C9545" s="341" t="s">
        <v>7278</v>
      </c>
      <c r="D9545" s="343">
        <v>1.36</v>
      </c>
    </row>
    <row r="9546" spans="1:4" ht="25.5">
      <c r="A9546" s="341">
        <v>38441</v>
      </c>
      <c r="B9546" s="342" t="s">
        <v>10385</v>
      </c>
      <c r="C9546" s="341" t="s">
        <v>7278</v>
      </c>
      <c r="D9546" s="343">
        <v>1.78</v>
      </c>
    </row>
    <row r="9547" spans="1:4" ht="25.5">
      <c r="A9547" s="341">
        <v>38442</v>
      </c>
      <c r="B9547" s="342" t="s">
        <v>10386</v>
      </c>
      <c r="C9547" s="341" t="s">
        <v>7278</v>
      </c>
      <c r="D9547" s="343">
        <v>4.54</v>
      </c>
    </row>
    <row r="9548" spans="1:4" ht="25.5">
      <c r="A9548" s="341">
        <v>38443</v>
      </c>
      <c r="B9548" s="342" t="s">
        <v>10387</v>
      </c>
      <c r="C9548" s="341" t="s">
        <v>7278</v>
      </c>
      <c r="D9548" s="343">
        <v>6.85</v>
      </c>
    </row>
    <row r="9549" spans="1:4" ht="25.5">
      <c r="A9549" s="341">
        <v>38444</v>
      </c>
      <c r="B9549" s="342" t="s">
        <v>10388</v>
      </c>
      <c r="C9549" s="341" t="s">
        <v>7278</v>
      </c>
      <c r="D9549" s="343">
        <v>10.199999999999999</v>
      </c>
    </row>
    <row r="9550" spans="1:4" ht="25.5">
      <c r="A9550" s="341">
        <v>38445</v>
      </c>
      <c r="B9550" s="342" t="s">
        <v>10389</v>
      </c>
      <c r="C9550" s="341" t="s">
        <v>7278</v>
      </c>
      <c r="D9550" s="343">
        <v>23.97</v>
      </c>
    </row>
    <row r="9551" spans="1:4" ht="25.5">
      <c r="A9551" s="341">
        <v>38446</v>
      </c>
      <c r="B9551" s="342" t="s">
        <v>10390</v>
      </c>
      <c r="C9551" s="341" t="s">
        <v>7278</v>
      </c>
      <c r="D9551" s="343">
        <v>38.69</v>
      </c>
    </row>
    <row r="9552" spans="1:4" ht="25.5">
      <c r="A9552" s="341">
        <v>3867</v>
      </c>
      <c r="B9552" s="342" t="s">
        <v>10391</v>
      </c>
      <c r="C9552" s="341" t="s">
        <v>7278</v>
      </c>
      <c r="D9552" s="343">
        <v>52.52</v>
      </c>
    </row>
    <row r="9553" spans="1:4" ht="25.5">
      <c r="A9553" s="341">
        <v>3861</v>
      </c>
      <c r="B9553" s="342" t="s">
        <v>10392</v>
      </c>
      <c r="C9553" s="341" t="s">
        <v>7278</v>
      </c>
      <c r="D9553" s="343">
        <v>0.53</v>
      </c>
    </row>
    <row r="9554" spans="1:4" ht="25.5">
      <c r="A9554" s="341">
        <v>3904</v>
      </c>
      <c r="B9554" s="342" t="s">
        <v>10393</v>
      </c>
      <c r="C9554" s="341" t="s">
        <v>7278</v>
      </c>
      <c r="D9554" s="343">
        <v>0.6</v>
      </c>
    </row>
    <row r="9555" spans="1:4" ht="25.5">
      <c r="A9555" s="341">
        <v>3903</v>
      </c>
      <c r="B9555" s="342" t="s">
        <v>10394</v>
      </c>
      <c r="C9555" s="341" t="s">
        <v>7278</v>
      </c>
      <c r="D9555" s="343">
        <v>1.27</v>
      </c>
    </row>
    <row r="9556" spans="1:4" ht="25.5">
      <c r="A9556" s="341">
        <v>3862</v>
      </c>
      <c r="B9556" s="342" t="s">
        <v>10395</v>
      </c>
      <c r="C9556" s="341" t="s">
        <v>7278</v>
      </c>
      <c r="D9556" s="343">
        <v>2.82</v>
      </c>
    </row>
    <row r="9557" spans="1:4" ht="25.5">
      <c r="A9557" s="341">
        <v>3863</v>
      </c>
      <c r="B9557" s="342" t="s">
        <v>10396</v>
      </c>
      <c r="C9557" s="341" t="s">
        <v>7278</v>
      </c>
      <c r="D9557" s="343">
        <v>3.31</v>
      </c>
    </row>
    <row r="9558" spans="1:4" ht="25.5">
      <c r="A9558" s="341">
        <v>3864</v>
      </c>
      <c r="B9558" s="342" t="s">
        <v>10397</v>
      </c>
      <c r="C9558" s="341" t="s">
        <v>7278</v>
      </c>
      <c r="D9558" s="343">
        <v>9.0500000000000007</v>
      </c>
    </row>
    <row r="9559" spans="1:4" ht="25.5">
      <c r="A9559" s="341">
        <v>3865</v>
      </c>
      <c r="B9559" s="342" t="s">
        <v>10398</v>
      </c>
      <c r="C9559" s="341" t="s">
        <v>7278</v>
      </c>
      <c r="D9559" s="343">
        <v>13.54</v>
      </c>
    </row>
    <row r="9560" spans="1:4" ht="25.5">
      <c r="A9560" s="341">
        <v>3866</v>
      </c>
      <c r="B9560" s="342" t="s">
        <v>10399</v>
      </c>
      <c r="C9560" s="341" t="s">
        <v>7278</v>
      </c>
      <c r="D9560" s="343">
        <v>30.86</v>
      </c>
    </row>
    <row r="9561" spans="1:4" ht="25.5">
      <c r="A9561" s="341">
        <v>3902</v>
      </c>
      <c r="B9561" s="342" t="s">
        <v>10400</v>
      </c>
      <c r="C9561" s="341" t="s">
        <v>7278</v>
      </c>
      <c r="D9561" s="343">
        <v>17.41</v>
      </c>
    </row>
    <row r="9562" spans="1:4" ht="25.5">
      <c r="A9562" s="341">
        <v>3878</v>
      </c>
      <c r="B9562" s="342" t="s">
        <v>10401</v>
      </c>
      <c r="C9562" s="341" t="s">
        <v>7278</v>
      </c>
      <c r="D9562" s="343">
        <v>5.5</v>
      </c>
    </row>
    <row r="9563" spans="1:4" ht="25.5">
      <c r="A9563" s="341">
        <v>3877</v>
      </c>
      <c r="B9563" s="342" t="s">
        <v>10402</v>
      </c>
      <c r="C9563" s="341" t="s">
        <v>7278</v>
      </c>
      <c r="D9563" s="343">
        <v>5.01</v>
      </c>
    </row>
    <row r="9564" spans="1:4">
      <c r="A9564" s="341">
        <v>3879</v>
      </c>
      <c r="B9564" s="342" t="s">
        <v>10403</v>
      </c>
      <c r="C9564" s="341" t="s">
        <v>7278</v>
      </c>
      <c r="D9564" s="343">
        <v>11.08</v>
      </c>
    </row>
    <row r="9565" spans="1:4">
      <c r="A9565" s="341">
        <v>3880</v>
      </c>
      <c r="B9565" s="342" t="s">
        <v>10404</v>
      </c>
      <c r="C9565" s="341" t="s">
        <v>7278</v>
      </c>
      <c r="D9565" s="343">
        <v>25.03</v>
      </c>
    </row>
    <row r="9566" spans="1:4" ht="25.5">
      <c r="A9566" s="341">
        <v>12892</v>
      </c>
      <c r="B9566" s="342" t="s">
        <v>10405</v>
      </c>
      <c r="C9566" s="341" t="s">
        <v>7735</v>
      </c>
      <c r="D9566" s="343">
        <v>12.43</v>
      </c>
    </row>
    <row r="9567" spans="1:4">
      <c r="A9567" s="341">
        <v>3883</v>
      </c>
      <c r="B9567" s="342" t="s">
        <v>10406</v>
      </c>
      <c r="C9567" s="341" t="s">
        <v>7278</v>
      </c>
      <c r="D9567" s="343">
        <v>0.96</v>
      </c>
    </row>
    <row r="9568" spans="1:4">
      <c r="A9568" s="341">
        <v>3876</v>
      </c>
      <c r="B9568" s="342" t="s">
        <v>10407</v>
      </c>
      <c r="C9568" s="341" t="s">
        <v>7278</v>
      </c>
      <c r="D9568" s="343">
        <v>2.4900000000000002</v>
      </c>
    </row>
    <row r="9569" spans="1:4">
      <c r="A9569" s="341">
        <v>3884</v>
      </c>
      <c r="B9569" s="342" t="s">
        <v>10408</v>
      </c>
      <c r="C9569" s="341" t="s">
        <v>7278</v>
      </c>
      <c r="D9569" s="343">
        <v>1.43</v>
      </c>
    </row>
    <row r="9570" spans="1:4" ht="25.5">
      <c r="A9570" s="341">
        <v>3837</v>
      </c>
      <c r="B9570" s="342" t="s">
        <v>10409</v>
      </c>
      <c r="C9570" s="341" t="s">
        <v>7278</v>
      </c>
      <c r="D9570" s="343">
        <v>30.14</v>
      </c>
    </row>
    <row r="9571" spans="1:4" ht="25.5">
      <c r="A9571" s="341">
        <v>3845</v>
      </c>
      <c r="B9571" s="342" t="s">
        <v>10410</v>
      </c>
      <c r="C9571" s="341" t="s">
        <v>7278</v>
      </c>
      <c r="D9571" s="343">
        <v>8.77</v>
      </c>
    </row>
    <row r="9572" spans="1:4" ht="25.5">
      <c r="A9572" s="341">
        <v>11045</v>
      </c>
      <c r="B9572" s="342" t="s">
        <v>10411</v>
      </c>
      <c r="C9572" s="341" t="s">
        <v>7278</v>
      </c>
      <c r="D9572" s="343">
        <v>18.28</v>
      </c>
    </row>
    <row r="9573" spans="1:4" ht="25.5">
      <c r="A9573" s="341">
        <v>20170</v>
      </c>
      <c r="B9573" s="342" t="s">
        <v>10412</v>
      </c>
      <c r="C9573" s="341" t="s">
        <v>7278</v>
      </c>
      <c r="D9573" s="343">
        <v>8.69</v>
      </c>
    </row>
    <row r="9574" spans="1:4" ht="25.5">
      <c r="A9574" s="341">
        <v>20171</v>
      </c>
      <c r="B9574" s="342" t="s">
        <v>10413</v>
      </c>
      <c r="C9574" s="341" t="s">
        <v>7278</v>
      </c>
      <c r="D9574" s="343">
        <v>27.23</v>
      </c>
    </row>
    <row r="9575" spans="1:4" ht="25.5">
      <c r="A9575" s="341">
        <v>20167</v>
      </c>
      <c r="B9575" s="342" t="s">
        <v>10414</v>
      </c>
      <c r="C9575" s="341" t="s">
        <v>7278</v>
      </c>
      <c r="D9575" s="343">
        <v>3.42</v>
      </c>
    </row>
    <row r="9576" spans="1:4" ht="25.5">
      <c r="A9576" s="341">
        <v>20168</v>
      </c>
      <c r="B9576" s="342" t="s">
        <v>10415</v>
      </c>
      <c r="C9576" s="341" t="s">
        <v>7278</v>
      </c>
      <c r="D9576" s="343">
        <v>5.0999999999999996</v>
      </c>
    </row>
    <row r="9577" spans="1:4" ht="25.5">
      <c r="A9577" s="341">
        <v>20169</v>
      </c>
      <c r="B9577" s="342" t="s">
        <v>10416</v>
      </c>
      <c r="C9577" s="341" t="s">
        <v>7278</v>
      </c>
      <c r="D9577" s="343">
        <v>7.16</v>
      </c>
    </row>
    <row r="9578" spans="1:4" ht="25.5">
      <c r="A9578" s="341">
        <v>3899</v>
      </c>
      <c r="B9578" s="342" t="s">
        <v>10417</v>
      </c>
      <c r="C9578" s="341" t="s">
        <v>7278</v>
      </c>
      <c r="D9578" s="343">
        <v>4.78</v>
      </c>
    </row>
    <row r="9579" spans="1:4" ht="25.5">
      <c r="A9579" s="341">
        <v>38676</v>
      </c>
      <c r="B9579" s="342" t="s">
        <v>10418</v>
      </c>
      <c r="C9579" s="341" t="s">
        <v>7278</v>
      </c>
      <c r="D9579" s="343">
        <v>20.95</v>
      </c>
    </row>
    <row r="9580" spans="1:4" ht="25.5">
      <c r="A9580" s="341">
        <v>3897</v>
      </c>
      <c r="B9580" s="342" t="s">
        <v>10419</v>
      </c>
      <c r="C9580" s="341" t="s">
        <v>7278</v>
      </c>
      <c r="D9580" s="343">
        <v>0.97</v>
      </c>
    </row>
    <row r="9581" spans="1:4" ht="25.5">
      <c r="A9581" s="341">
        <v>3875</v>
      </c>
      <c r="B9581" s="342" t="s">
        <v>10420</v>
      </c>
      <c r="C9581" s="341" t="s">
        <v>7278</v>
      </c>
      <c r="D9581" s="343">
        <v>2.21</v>
      </c>
    </row>
    <row r="9582" spans="1:4" ht="25.5">
      <c r="A9582" s="341">
        <v>3898</v>
      </c>
      <c r="B9582" s="342" t="s">
        <v>10421</v>
      </c>
      <c r="C9582" s="341" t="s">
        <v>7278</v>
      </c>
      <c r="D9582" s="343">
        <v>4.1100000000000003</v>
      </c>
    </row>
    <row r="9583" spans="1:4" ht="25.5">
      <c r="A9583" s="341">
        <v>3855</v>
      </c>
      <c r="B9583" s="342" t="s">
        <v>10422</v>
      </c>
      <c r="C9583" s="341" t="s">
        <v>7278</v>
      </c>
      <c r="D9583" s="343">
        <v>3.88</v>
      </c>
    </row>
    <row r="9584" spans="1:4" ht="25.5">
      <c r="A9584" s="341">
        <v>3874</v>
      </c>
      <c r="B9584" s="342" t="s">
        <v>10423</v>
      </c>
      <c r="C9584" s="341" t="s">
        <v>7278</v>
      </c>
      <c r="D9584" s="343">
        <v>4.1399999999999997</v>
      </c>
    </row>
    <row r="9585" spans="1:4" ht="25.5">
      <c r="A9585" s="341">
        <v>3870</v>
      </c>
      <c r="B9585" s="342" t="s">
        <v>10424</v>
      </c>
      <c r="C9585" s="341" t="s">
        <v>7278</v>
      </c>
      <c r="D9585" s="343">
        <v>5.19</v>
      </c>
    </row>
    <row r="9586" spans="1:4" ht="25.5">
      <c r="A9586" s="341">
        <v>38678</v>
      </c>
      <c r="B9586" s="342" t="s">
        <v>10425</v>
      </c>
      <c r="C9586" s="341" t="s">
        <v>7278</v>
      </c>
      <c r="D9586" s="343">
        <v>11.96</v>
      </c>
    </row>
    <row r="9587" spans="1:4" ht="25.5">
      <c r="A9587" s="341">
        <v>3859</v>
      </c>
      <c r="B9587" s="342" t="s">
        <v>10426</v>
      </c>
      <c r="C9587" s="341" t="s">
        <v>7278</v>
      </c>
      <c r="D9587" s="343">
        <v>0.94</v>
      </c>
    </row>
    <row r="9588" spans="1:4" ht="25.5">
      <c r="A9588" s="341">
        <v>3856</v>
      </c>
      <c r="B9588" s="342" t="s">
        <v>10427</v>
      </c>
      <c r="C9588" s="341" t="s">
        <v>7278</v>
      </c>
      <c r="D9588" s="343">
        <v>1.43</v>
      </c>
    </row>
    <row r="9589" spans="1:4" ht="25.5">
      <c r="A9589" s="341">
        <v>3906</v>
      </c>
      <c r="B9589" s="342" t="s">
        <v>10428</v>
      </c>
      <c r="C9589" s="341" t="s">
        <v>7278</v>
      </c>
      <c r="D9589" s="343">
        <v>1.0900000000000001</v>
      </c>
    </row>
    <row r="9590" spans="1:4" ht="25.5">
      <c r="A9590" s="341">
        <v>3860</v>
      </c>
      <c r="B9590" s="342" t="s">
        <v>10429</v>
      </c>
      <c r="C9590" s="341" t="s">
        <v>7278</v>
      </c>
      <c r="D9590" s="343">
        <v>3.47</v>
      </c>
    </row>
    <row r="9591" spans="1:4" ht="25.5">
      <c r="A9591" s="341">
        <v>3905</v>
      </c>
      <c r="B9591" s="342" t="s">
        <v>10430</v>
      </c>
      <c r="C9591" s="341" t="s">
        <v>7278</v>
      </c>
      <c r="D9591" s="343">
        <v>7.47</v>
      </c>
    </row>
    <row r="9592" spans="1:4" ht="25.5">
      <c r="A9592" s="341">
        <v>3871</v>
      </c>
      <c r="B9592" s="342" t="s">
        <v>10431</v>
      </c>
      <c r="C9592" s="341" t="s">
        <v>7278</v>
      </c>
      <c r="D9592" s="343">
        <v>13.17</v>
      </c>
    </row>
    <row r="9593" spans="1:4" ht="25.5">
      <c r="A9593" s="341">
        <v>37429</v>
      </c>
      <c r="B9593" s="342" t="s">
        <v>10432</v>
      </c>
      <c r="C9593" s="341" t="s">
        <v>7278</v>
      </c>
      <c r="D9593" s="344">
        <v>1763.63</v>
      </c>
    </row>
    <row r="9594" spans="1:4" ht="25.5">
      <c r="A9594" s="341">
        <v>37426</v>
      </c>
      <c r="B9594" s="342" t="s">
        <v>10433</v>
      </c>
      <c r="C9594" s="341" t="s">
        <v>7278</v>
      </c>
      <c r="D9594" s="343">
        <v>16.96</v>
      </c>
    </row>
    <row r="9595" spans="1:4" ht="25.5">
      <c r="A9595" s="341">
        <v>37427</v>
      </c>
      <c r="B9595" s="342" t="s">
        <v>10434</v>
      </c>
      <c r="C9595" s="341" t="s">
        <v>7278</v>
      </c>
      <c r="D9595" s="343">
        <v>40.47</v>
      </c>
    </row>
    <row r="9596" spans="1:4" ht="25.5">
      <c r="A9596" s="341">
        <v>37424</v>
      </c>
      <c r="B9596" s="342" t="s">
        <v>10435</v>
      </c>
      <c r="C9596" s="341" t="s">
        <v>7278</v>
      </c>
      <c r="D9596" s="343">
        <v>7.79</v>
      </c>
    </row>
    <row r="9597" spans="1:4" ht="25.5">
      <c r="A9597" s="341">
        <v>37428</v>
      </c>
      <c r="B9597" s="342" t="s">
        <v>10436</v>
      </c>
      <c r="C9597" s="341" t="s">
        <v>7278</v>
      </c>
      <c r="D9597" s="343">
        <v>139.46</v>
      </c>
    </row>
    <row r="9598" spans="1:4" ht="25.5">
      <c r="A9598" s="341">
        <v>37425</v>
      </c>
      <c r="B9598" s="342" t="s">
        <v>10437</v>
      </c>
      <c r="C9598" s="341" t="s">
        <v>7278</v>
      </c>
      <c r="D9598" s="343">
        <v>8.4</v>
      </c>
    </row>
    <row r="9599" spans="1:4" ht="51">
      <c r="A9599" s="341">
        <v>11519</v>
      </c>
      <c r="B9599" s="342" t="s">
        <v>10438</v>
      </c>
      <c r="C9599" s="341" t="s">
        <v>7735</v>
      </c>
      <c r="D9599" s="343">
        <v>26.32</v>
      </c>
    </row>
    <row r="9600" spans="1:4" ht="51">
      <c r="A9600" s="341">
        <v>11520</v>
      </c>
      <c r="B9600" s="342" t="s">
        <v>10439</v>
      </c>
      <c r="C9600" s="341" t="s">
        <v>7735</v>
      </c>
      <c r="D9600" s="343">
        <v>10.43</v>
      </c>
    </row>
    <row r="9601" spans="1:4" ht="38.25">
      <c r="A9601" s="341">
        <v>11518</v>
      </c>
      <c r="B9601" s="342" t="s">
        <v>10440</v>
      </c>
      <c r="C9601" s="341" t="s">
        <v>7735</v>
      </c>
      <c r="D9601" s="343">
        <v>30.37</v>
      </c>
    </row>
    <row r="9602" spans="1:4" ht="25.5">
      <c r="A9602" s="341">
        <v>38473</v>
      </c>
      <c r="B9602" s="342" t="s">
        <v>10441</v>
      </c>
      <c r="C9602" s="341" t="s">
        <v>7278</v>
      </c>
      <c r="D9602" s="343">
        <v>101.01</v>
      </c>
    </row>
    <row r="9603" spans="1:4">
      <c r="A9603" s="341">
        <v>4244</v>
      </c>
      <c r="B9603" s="342" t="s">
        <v>10442</v>
      </c>
      <c r="C9603" s="341" t="s">
        <v>7275</v>
      </c>
      <c r="D9603" s="343">
        <v>12.83</v>
      </c>
    </row>
    <row r="9604" spans="1:4">
      <c r="A9604" s="341">
        <v>40977</v>
      </c>
      <c r="B9604" s="342" t="s">
        <v>10443</v>
      </c>
      <c r="C9604" s="341" t="s">
        <v>7466</v>
      </c>
      <c r="D9604" s="344">
        <v>2263.36</v>
      </c>
    </row>
    <row r="9605" spans="1:4" ht="25.5">
      <c r="A9605" s="341">
        <v>4006</v>
      </c>
      <c r="B9605" s="342" t="s">
        <v>10444</v>
      </c>
      <c r="C9605" s="341" t="s">
        <v>7283</v>
      </c>
      <c r="D9605" s="343">
        <v>672.61</v>
      </c>
    </row>
    <row r="9606" spans="1:4" ht="38.25">
      <c r="A9606" s="341">
        <v>2742</v>
      </c>
      <c r="B9606" s="342" t="s">
        <v>10445</v>
      </c>
      <c r="C9606" s="341" t="s">
        <v>7287</v>
      </c>
      <c r="D9606" s="343">
        <v>2.0299999999999998</v>
      </c>
    </row>
    <row r="9607" spans="1:4" ht="38.25">
      <c r="A9607" s="341">
        <v>2748</v>
      </c>
      <c r="B9607" s="342" t="s">
        <v>10446</v>
      </c>
      <c r="C9607" s="341" t="s">
        <v>7287</v>
      </c>
      <c r="D9607" s="343">
        <v>5.96</v>
      </c>
    </row>
    <row r="9608" spans="1:4" ht="38.25">
      <c r="A9608" s="341">
        <v>2736</v>
      </c>
      <c r="B9608" s="342" t="s">
        <v>10447</v>
      </c>
      <c r="C9608" s="341" t="s">
        <v>7287</v>
      </c>
      <c r="D9608" s="343">
        <v>8.32</v>
      </c>
    </row>
    <row r="9609" spans="1:4" ht="38.25">
      <c r="A9609" s="341">
        <v>2745</v>
      </c>
      <c r="B9609" s="342" t="s">
        <v>10448</v>
      </c>
      <c r="C9609" s="341" t="s">
        <v>7287</v>
      </c>
      <c r="D9609" s="343">
        <v>1.68</v>
      </c>
    </row>
    <row r="9610" spans="1:4" ht="38.25">
      <c r="A9610" s="341">
        <v>2751</v>
      </c>
      <c r="B9610" s="342" t="s">
        <v>10449</v>
      </c>
      <c r="C9610" s="341" t="s">
        <v>7287</v>
      </c>
      <c r="D9610" s="343">
        <v>2.15</v>
      </c>
    </row>
    <row r="9611" spans="1:4" ht="38.25">
      <c r="A9611" s="341">
        <v>14439</v>
      </c>
      <c r="B9611" s="342" t="s">
        <v>10450</v>
      </c>
      <c r="C9611" s="341" t="s">
        <v>7287</v>
      </c>
      <c r="D9611" s="343">
        <v>1.9</v>
      </c>
    </row>
    <row r="9612" spans="1:4" ht="38.25">
      <c r="A9612" s="341">
        <v>2731</v>
      </c>
      <c r="B9612" s="342" t="s">
        <v>10451</v>
      </c>
      <c r="C9612" s="341" t="s">
        <v>7287</v>
      </c>
      <c r="D9612" s="343">
        <v>50.23</v>
      </c>
    </row>
    <row r="9613" spans="1:4" ht="38.25">
      <c r="A9613" s="341">
        <v>21138</v>
      </c>
      <c r="B9613" s="342" t="s">
        <v>10452</v>
      </c>
      <c r="C9613" s="341" t="s">
        <v>7287</v>
      </c>
      <c r="D9613" s="343">
        <v>5.45</v>
      </c>
    </row>
    <row r="9614" spans="1:4" ht="38.25">
      <c r="A9614" s="341">
        <v>2747</v>
      </c>
      <c r="B9614" s="342" t="s">
        <v>10453</v>
      </c>
      <c r="C9614" s="341" t="s">
        <v>7287</v>
      </c>
      <c r="D9614" s="343">
        <v>13.47</v>
      </c>
    </row>
    <row r="9615" spans="1:4" ht="38.25">
      <c r="A9615" s="341">
        <v>4115</v>
      </c>
      <c r="B9615" s="342" t="s">
        <v>10454</v>
      </c>
      <c r="C9615" s="341" t="s">
        <v>7287</v>
      </c>
      <c r="D9615" s="343">
        <v>10.54</v>
      </c>
    </row>
    <row r="9616" spans="1:4" ht="38.25">
      <c r="A9616" s="341">
        <v>2729</v>
      </c>
      <c r="B9616" s="342" t="s">
        <v>10455</v>
      </c>
      <c r="C9616" s="341" t="s">
        <v>7278</v>
      </c>
      <c r="D9616" s="343">
        <v>12.7</v>
      </c>
    </row>
    <row r="9617" spans="1:4" ht="38.25">
      <c r="A9617" s="341">
        <v>4119</v>
      </c>
      <c r="B9617" s="342" t="s">
        <v>10456</v>
      </c>
      <c r="C9617" s="341" t="s">
        <v>7287</v>
      </c>
      <c r="D9617" s="343">
        <v>21.21</v>
      </c>
    </row>
    <row r="9618" spans="1:4" ht="38.25">
      <c r="A9618" s="341">
        <v>2794</v>
      </c>
      <c r="B9618" s="342" t="s">
        <v>10457</v>
      </c>
      <c r="C9618" s="341" t="s">
        <v>7287</v>
      </c>
      <c r="D9618" s="343">
        <v>52.38</v>
      </c>
    </row>
    <row r="9619" spans="1:4" ht="38.25">
      <c r="A9619" s="341">
        <v>2788</v>
      </c>
      <c r="B9619" s="342" t="s">
        <v>10458</v>
      </c>
      <c r="C9619" s="341" t="s">
        <v>7287</v>
      </c>
      <c r="D9619" s="343">
        <v>105.9</v>
      </c>
    </row>
    <row r="9620" spans="1:4" ht="38.25">
      <c r="A9620" s="341">
        <v>3989</v>
      </c>
      <c r="B9620" s="342" t="s">
        <v>10459</v>
      </c>
      <c r="C9620" s="341" t="s">
        <v>7283</v>
      </c>
      <c r="D9620" s="344">
        <v>1840.4</v>
      </c>
    </row>
    <row r="9621" spans="1:4" ht="38.25">
      <c r="A9621" s="341">
        <v>3997</v>
      </c>
      <c r="B9621" s="342" t="s">
        <v>10460</v>
      </c>
      <c r="C9621" s="341" t="s">
        <v>7283</v>
      </c>
      <c r="D9621" s="344">
        <v>1531.01</v>
      </c>
    </row>
    <row r="9622" spans="1:4" ht="25.5">
      <c r="A9622" s="341">
        <v>4004</v>
      </c>
      <c r="B9622" s="342" t="s">
        <v>10461</v>
      </c>
      <c r="C9622" s="341" t="s">
        <v>7283</v>
      </c>
      <c r="D9622" s="344">
        <v>1041</v>
      </c>
    </row>
    <row r="9623" spans="1:4" ht="25.5">
      <c r="A9623" s="341">
        <v>11836</v>
      </c>
      <c r="B9623" s="342" t="s">
        <v>10462</v>
      </c>
      <c r="C9623" s="341" t="s">
        <v>7283</v>
      </c>
      <c r="D9623" s="344">
        <v>1232.76</v>
      </c>
    </row>
    <row r="9624" spans="1:4">
      <c r="A9624" s="341">
        <v>36151</v>
      </c>
      <c r="B9624" s="342" t="s">
        <v>10463</v>
      </c>
      <c r="C9624" s="341" t="s">
        <v>7278</v>
      </c>
      <c r="D9624" s="343">
        <v>27.64</v>
      </c>
    </row>
    <row r="9625" spans="1:4" ht="25.5">
      <c r="A9625" s="341">
        <v>37457</v>
      </c>
      <c r="B9625" s="342" t="s">
        <v>10464</v>
      </c>
      <c r="C9625" s="341" t="s">
        <v>7287</v>
      </c>
      <c r="D9625" s="343">
        <v>1.88</v>
      </c>
    </row>
    <row r="9626" spans="1:4" ht="25.5">
      <c r="A9626" s="341">
        <v>37456</v>
      </c>
      <c r="B9626" s="342" t="s">
        <v>10465</v>
      </c>
      <c r="C9626" s="341" t="s">
        <v>7287</v>
      </c>
      <c r="D9626" s="343">
        <v>0.99</v>
      </c>
    </row>
    <row r="9627" spans="1:4" ht="38.25">
      <c r="A9627" s="341">
        <v>37461</v>
      </c>
      <c r="B9627" s="342" t="s">
        <v>10466</v>
      </c>
      <c r="C9627" s="341" t="s">
        <v>7287</v>
      </c>
      <c r="D9627" s="343">
        <v>7.01</v>
      </c>
    </row>
    <row r="9628" spans="1:4" ht="38.25">
      <c r="A9628" s="341">
        <v>37460</v>
      </c>
      <c r="B9628" s="342" t="s">
        <v>10467</v>
      </c>
      <c r="C9628" s="341" t="s">
        <v>7287</v>
      </c>
      <c r="D9628" s="343">
        <v>9.57</v>
      </c>
    </row>
    <row r="9629" spans="1:4" ht="25.5">
      <c r="A9629" s="341">
        <v>37458</v>
      </c>
      <c r="B9629" s="342" t="s">
        <v>10468</v>
      </c>
      <c r="C9629" s="341" t="s">
        <v>7287</v>
      </c>
      <c r="D9629" s="343">
        <v>2.8</v>
      </c>
    </row>
    <row r="9630" spans="1:4" ht="25.5">
      <c r="A9630" s="341">
        <v>37454</v>
      </c>
      <c r="B9630" s="342" t="s">
        <v>10469</v>
      </c>
      <c r="C9630" s="341" t="s">
        <v>7287</v>
      </c>
      <c r="D9630" s="343">
        <v>0.73</v>
      </c>
    </row>
    <row r="9631" spans="1:4" ht="25.5">
      <c r="A9631" s="341">
        <v>37455</v>
      </c>
      <c r="B9631" s="342" t="s">
        <v>10470</v>
      </c>
      <c r="C9631" s="341" t="s">
        <v>7287</v>
      </c>
      <c r="D9631" s="343">
        <v>1.24</v>
      </c>
    </row>
    <row r="9632" spans="1:4" ht="25.5">
      <c r="A9632" s="341">
        <v>37459</v>
      </c>
      <c r="B9632" s="342" t="s">
        <v>10471</v>
      </c>
      <c r="C9632" s="341" t="s">
        <v>7287</v>
      </c>
      <c r="D9632" s="343">
        <v>3.94</v>
      </c>
    </row>
    <row r="9633" spans="1:4" ht="51">
      <c r="A9633" s="341">
        <v>21029</v>
      </c>
      <c r="B9633" s="342" t="s">
        <v>10472</v>
      </c>
      <c r="C9633" s="341" t="s">
        <v>7278</v>
      </c>
      <c r="D9633" s="343">
        <v>275.82</v>
      </c>
    </row>
    <row r="9634" spans="1:4" ht="51">
      <c r="A9634" s="341">
        <v>21030</v>
      </c>
      <c r="B9634" s="342" t="s">
        <v>10473</v>
      </c>
      <c r="C9634" s="341" t="s">
        <v>7278</v>
      </c>
      <c r="D9634" s="343">
        <v>339.99</v>
      </c>
    </row>
    <row r="9635" spans="1:4" ht="51">
      <c r="A9635" s="341">
        <v>21031</v>
      </c>
      <c r="B9635" s="342" t="s">
        <v>10474</v>
      </c>
      <c r="C9635" s="341" t="s">
        <v>7278</v>
      </c>
      <c r="D9635" s="343">
        <v>423.28</v>
      </c>
    </row>
    <row r="9636" spans="1:4" ht="51">
      <c r="A9636" s="341">
        <v>21032</v>
      </c>
      <c r="B9636" s="342" t="s">
        <v>10475</v>
      </c>
      <c r="C9636" s="341" t="s">
        <v>7278</v>
      </c>
      <c r="D9636" s="343">
        <v>451.96</v>
      </c>
    </row>
    <row r="9637" spans="1:4" ht="51">
      <c r="A9637" s="341">
        <v>37527</v>
      </c>
      <c r="B9637" s="342" t="s">
        <v>10476</v>
      </c>
      <c r="C9637" s="341" t="s">
        <v>7278</v>
      </c>
      <c r="D9637" s="343">
        <v>408.26</v>
      </c>
    </row>
    <row r="9638" spans="1:4" ht="51">
      <c r="A9638" s="341">
        <v>37528</v>
      </c>
      <c r="B9638" s="342" t="s">
        <v>10477</v>
      </c>
      <c r="C9638" s="341" t="s">
        <v>7278</v>
      </c>
      <c r="D9638" s="343">
        <v>486.78</v>
      </c>
    </row>
    <row r="9639" spans="1:4" ht="51">
      <c r="A9639" s="341">
        <v>37529</v>
      </c>
      <c r="B9639" s="342" t="s">
        <v>10478</v>
      </c>
      <c r="C9639" s="341" t="s">
        <v>7278</v>
      </c>
      <c r="D9639" s="343">
        <v>491.56</v>
      </c>
    </row>
    <row r="9640" spans="1:4" ht="51">
      <c r="A9640" s="341">
        <v>37530</v>
      </c>
      <c r="B9640" s="342" t="s">
        <v>10479</v>
      </c>
      <c r="C9640" s="341" t="s">
        <v>7278</v>
      </c>
      <c r="D9640" s="343">
        <v>641.75</v>
      </c>
    </row>
    <row r="9641" spans="1:4" ht="51">
      <c r="A9641" s="341">
        <v>21034</v>
      </c>
      <c r="B9641" s="342" t="s">
        <v>10480</v>
      </c>
      <c r="C9641" s="341" t="s">
        <v>7278</v>
      </c>
      <c r="D9641" s="343">
        <v>547.54</v>
      </c>
    </row>
    <row r="9642" spans="1:4" ht="51">
      <c r="A9642" s="341">
        <v>37531</v>
      </c>
      <c r="B9642" s="342" t="s">
        <v>10481</v>
      </c>
      <c r="C9642" s="341" t="s">
        <v>7278</v>
      </c>
      <c r="D9642" s="343">
        <v>689.55</v>
      </c>
    </row>
    <row r="9643" spans="1:4" ht="51">
      <c r="A9643" s="341">
        <v>21036</v>
      </c>
      <c r="B9643" s="342" t="s">
        <v>10482</v>
      </c>
      <c r="C9643" s="341" t="s">
        <v>7278</v>
      </c>
      <c r="D9643" s="343">
        <v>838.38</v>
      </c>
    </row>
    <row r="9644" spans="1:4" ht="51">
      <c r="A9644" s="341">
        <v>21037</v>
      </c>
      <c r="B9644" s="342" t="s">
        <v>10483</v>
      </c>
      <c r="C9644" s="341" t="s">
        <v>7278</v>
      </c>
      <c r="D9644" s="343">
        <v>955.81</v>
      </c>
    </row>
    <row r="9645" spans="1:4" ht="51">
      <c r="A9645" s="341">
        <v>20185</v>
      </c>
      <c r="B9645" s="342" t="s">
        <v>10484</v>
      </c>
      <c r="C9645" s="341" t="s">
        <v>7287</v>
      </c>
      <c r="D9645" s="343">
        <v>11.4</v>
      </c>
    </row>
    <row r="9646" spans="1:4" ht="25.5">
      <c r="A9646" s="341">
        <v>20260</v>
      </c>
      <c r="B9646" s="342" t="s">
        <v>10485</v>
      </c>
      <c r="C9646" s="341" t="s">
        <v>7278</v>
      </c>
      <c r="D9646" s="343">
        <v>5.71</v>
      </c>
    </row>
    <row r="9647" spans="1:4" ht="38.25">
      <c r="A9647" s="341">
        <v>37523</v>
      </c>
      <c r="B9647" s="342" t="s">
        <v>10486</v>
      </c>
      <c r="C9647" s="341" t="s">
        <v>7278</v>
      </c>
      <c r="D9647" s="344">
        <v>410312.17</v>
      </c>
    </row>
    <row r="9648" spans="1:4" ht="38.25">
      <c r="A9648" s="341">
        <v>37515</v>
      </c>
      <c r="B9648" s="342" t="s">
        <v>10487</v>
      </c>
      <c r="C9648" s="341" t="s">
        <v>7278</v>
      </c>
      <c r="D9648" s="344">
        <v>364788.5</v>
      </c>
    </row>
    <row r="9649" spans="1:4" ht="38.25">
      <c r="A9649" s="341">
        <v>12899</v>
      </c>
      <c r="B9649" s="342" t="s">
        <v>10488</v>
      </c>
      <c r="C9649" s="341" t="s">
        <v>7278</v>
      </c>
      <c r="D9649" s="343">
        <v>90.97</v>
      </c>
    </row>
    <row r="9650" spans="1:4" ht="38.25">
      <c r="A9650" s="341">
        <v>12898</v>
      </c>
      <c r="B9650" s="342" t="s">
        <v>10489</v>
      </c>
      <c r="C9650" s="341" t="s">
        <v>7278</v>
      </c>
      <c r="D9650" s="343">
        <v>144.31</v>
      </c>
    </row>
    <row r="9651" spans="1:4" ht="25.5">
      <c r="A9651" s="341">
        <v>42528</v>
      </c>
      <c r="B9651" s="342" t="s">
        <v>10490</v>
      </c>
      <c r="C9651" s="341" t="s">
        <v>7273</v>
      </c>
      <c r="D9651" s="343">
        <v>5.69</v>
      </c>
    </row>
    <row r="9652" spans="1:4" ht="25.5">
      <c r="A9652" s="341">
        <v>39696</v>
      </c>
      <c r="B9652" s="342" t="s">
        <v>10491</v>
      </c>
      <c r="C9652" s="341" t="s">
        <v>7273</v>
      </c>
      <c r="D9652" s="343">
        <v>4</v>
      </c>
    </row>
    <row r="9653" spans="1:4" ht="25.5">
      <c r="A9653" s="341">
        <v>39700</v>
      </c>
      <c r="B9653" s="342" t="s">
        <v>10492</v>
      </c>
      <c r="C9653" s="341" t="s">
        <v>7273</v>
      </c>
      <c r="D9653" s="343">
        <v>18.14</v>
      </c>
    </row>
    <row r="9654" spans="1:4" ht="38.25">
      <c r="A9654" s="341">
        <v>11621</v>
      </c>
      <c r="B9654" s="342" t="s">
        <v>10493</v>
      </c>
      <c r="C9654" s="341" t="s">
        <v>7273</v>
      </c>
      <c r="D9654" s="343">
        <v>36.1</v>
      </c>
    </row>
    <row r="9655" spans="1:4" ht="38.25">
      <c r="A9655" s="341">
        <v>4014</v>
      </c>
      <c r="B9655" s="342" t="s">
        <v>10494</v>
      </c>
      <c r="C9655" s="341" t="s">
        <v>7273</v>
      </c>
      <c r="D9655" s="343">
        <v>37.35</v>
      </c>
    </row>
    <row r="9656" spans="1:4" ht="38.25">
      <c r="A9656" s="341">
        <v>4015</v>
      </c>
      <c r="B9656" s="342" t="s">
        <v>10495</v>
      </c>
      <c r="C9656" s="341" t="s">
        <v>7273</v>
      </c>
      <c r="D9656" s="343">
        <v>45.86</v>
      </c>
    </row>
    <row r="9657" spans="1:4" ht="38.25">
      <c r="A9657" s="341">
        <v>4017</v>
      </c>
      <c r="B9657" s="342" t="s">
        <v>10496</v>
      </c>
      <c r="C9657" s="341" t="s">
        <v>7273</v>
      </c>
      <c r="D9657" s="343">
        <v>66.739999999999995</v>
      </c>
    </row>
    <row r="9658" spans="1:4" ht="38.25">
      <c r="A9658" s="341">
        <v>4016</v>
      </c>
      <c r="B9658" s="342" t="s">
        <v>10497</v>
      </c>
      <c r="C9658" s="341" t="s">
        <v>7273</v>
      </c>
      <c r="D9658" s="343">
        <v>26.36</v>
      </c>
    </row>
    <row r="9659" spans="1:4">
      <c r="A9659" s="341">
        <v>39699</v>
      </c>
      <c r="B9659" s="342" t="s">
        <v>10498</v>
      </c>
      <c r="C9659" s="341" t="s">
        <v>7273</v>
      </c>
      <c r="D9659" s="343">
        <v>10.61</v>
      </c>
    </row>
    <row r="9660" spans="1:4" ht="25.5">
      <c r="A9660" s="341">
        <v>38544</v>
      </c>
      <c r="B9660" s="342" t="s">
        <v>10499</v>
      </c>
      <c r="C9660" s="341" t="s">
        <v>7273</v>
      </c>
      <c r="D9660" s="343">
        <v>6.76</v>
      </c>
    </row>
    <row r="9661" spans="1:4" ht="25.5">
      <c r="A9661" s="341">
        <v>38545</v>
      </c>
      <c r="B9661" s="342" t="s">
        <v>10500</v>
      </c>
      <c r="C9661" s="341" t="s">
        <v>7273</v>
      </c>
      <c r="D9661" s="343">
        <v>4.34</v>
      </c>
    </row>
    <row r="9662" spans="1:4" ht="38.25">
      <c r="A9662" s="341">
        <v>42527</v>
      </c>
      <c r="B9662" s="342" t="s">
        <v>10501</v>
      </c>
      <c r="C9662" s="341" t="s">
        <v>7273</v>
      </c>
      <c r="D9662" s="343">
        <v>15.03</v>
      </c>
    </row>
    <row r="9663" spans="1:4" ht="38.25">
      <c r="A9663" s="341">
        <v>39323</v>
      </c>
      <c r="B9663" s="342" t="s">
        <v>10502</v>
      </c>
      <c r="C9663" s="341" t="s">
        <v>7273</v>
      </c>
      <c r="D9663" s="343">
        <v>16.579999999999998</v>
      </c>
    </row>
    <row r="9664" spans="1:4" ht="51">
      <c r="A9664" s="341">
        <v>626</v>
      </c>
      <c r="B9664" s="342" t="s">
        <v>10503</v>
      </c>
      <c r="C9664" s="341" t="s">
        <v>7338</v>
      </c>
      <c r="D9664" s="343">
        <v>15</v>
      </c>
    </row>
    <row r="9665" spans="1:4" ht="25.5">
      <c r="A9665" s="341">
        <v>25860</v>
      </c>
      <c r="B9665" s="342" t="s">
        <v>10504</v>
      </c>
      <c r="C9665" s="341" t="s">
        <v>7273</v>
      </c>
      <c r="D9665" s="343">
        <v>8.9</v>
      </c>
    </row>
    <row r="9666" spans="1:4" ht="25.5">
      <c r="A9666" s="341">
        <v>25861</v>
      </c>
      <c r="B9666" s="342" t="s">
        <v>10505</v>
      </c>
      <c r="C9666" s="341" t="s">
        <v>7273</v>
      </c>
      <c r="D9666" s="343">
        <v>13.43</v>
      </c>
    </row>
    <row r="9667" spans="1:4" ht="25.5">
      <c r="A9667" s="341">
        <v>25862</v>
      </c>
      <c r="B9667" s="342" t="s">
        <v>10506</v>
      </c>
      <c r="C9667" s="341" t="s">
        <v>7273</v>
      </c>
      <c r="D9667" s="343">
        <v>14.25</v>
      </c>
    </row>
    <row r="9668" spans="1:4" ht="25.5">
      <c r="A9668" s="341">
        <v>25863</v>
      </c>
      <c r="B9668" s="342" t="s">
        <v>10507</v>
      </c>
      <c r="C9668" s="341" t="s">
        <v>7273</v>
      </c>
      <c r="D9668" s="343">
        <v>17.82</v>
      </c>
    </row>
    <row r="9669" spans="1:4" ht="25.5">
      <c r="A9669" s="341">
        <v>25864</v>
      </c>
      <c r="B9669" s="342" t="s">
        <v>10508</v>
      </c>
      <c r="C9669" s="341" t="s">
        <v>7273</v>
      </c>
      <c r="D9669" s="343">
        <v>26.72</v>
      </c>
    </row>
    <row r="9670" spans="1:4" ht="25.5">
      <c r="A9670" s="341">
        <v>25865</v>
      </c>
      <c r="B9670" s="342" t="s">
        <v>10509</v>
      </c>
      <c r="C9670" s="341" t="s">
        <v>7273</v>
      </c>
      <c r="D9670" s="343">
        <v>35.799999999999997</v>
      </c>
    </row>
    <row r="9671" spans="1:4" ht="25.5">
      <c r="A9671" s="341">
        <v>25866</v>
      </c>
      <c r="B9671" s="342" t="s">
        <v>10510</v>
      </c>
      <c r="C9671" s="341" t="s">
        <v>7273</v>
      </c>
      <c r="D9671" s="343">
        <v>44.45</v>
      </c>
    </row>
    <row r="9672" spans="1:4" ht="38.25">
      <c r="A9672" s="341">
        <v>25868</v>
      </c>
      <c r="B9672" s="342" t="s">
        <v>10511</v>
      </c>
      <c r="C9672" s="341" t="s">
        <v>7273</v>
      </c>
      <c r="D9672" s="343">
        <v>9.92</v>
      </c>
    </row>
    <row r="9673" spans="1:4" ht="38.25">
      <c r="A9673" s="341">
        <v>25869</v>
      </c>
      <c r="B9673" s="342" t="s">
        <v>10512</v>
      </c>
      <c r="C9673" s="341" t="s">
        <v>7273</v>
      </c>
      <c r="D9673" s="343">
        <v>14</v>
      </c>
    </row>
    <row r="9674" spans="1:4" ht="38.25">
      <c r="A9674" s="341">
        <v>25870</v>
      </c>
      <c r="B9674" s="342" t="s">
        <v>10513</v>
      </c>
      <c r="C9674" s="341" t="s">
        <v>7273</v>
      </c>
      <c r="D9674" s="343">
        <v>15.87</v>
      </c>
    </row>
    <row r="9675" spans="1:4" ht="38.25">
      <c r="A9675" s="341">
        <v>25871</v>
      </c>
      <c r="B9675" s="342" t="s">
        <v>10514</v>
      </c>
      <c r="C9675" s="341" t="s">
        <v>7273</v>
      </c>
      <c r="D9675" s="343">
        <v>19.489999999999998</v>
      </c>
    </row>
    <row r="9676" spans="1:4" ht="38.25">
      <c r="A9676" s="341">
        <v>25867</v>
      </c>
      <c r="B9676" s="342" t="s">
        <v>10515</v>
      </c>
      <c r="C9676" s="341" t="s">
        <v>7273</v>
      </c>
      <c r="D9676" s="343">
        <v>28.85</v>
      </c>
    </row>
    <row r="9677" spans="1:4" ht="38.25">
      <c r="A9677" s="341">
        <v>25872</v>
      </c>
      <c r="B9677" s="342" t="s">
        <v>10516</v>
      </c>
      <c r="C9677" s="341" t="s">
        <v>7273</v>
      </c>
      <c r="D9677" s="343">
        <v>38.99</v>
      </c>
    </row>
    <row r="9678" spans="1:4" ht="38.25">
      <c r="A9678" s="341">
        <v>25873</v>
      </c>
      <c r="B9678" s="342" t="s">
        <v>10517</v>
      </c>
      <c r="C9678" s="341" t="s">
        <v>7273</v>
      </c>
      <c r="D9678" s="343">
        <v>48.64</v>
      </c>
    </row>
    <row r="9679" spans="1:4" ht="25.5">
      <c r="A9679" s="341">
        <v>40637</v>
      </c>
      <c r="B9679" s="342" t="s">
        <v>10518</v>
      </c>
      <c r="C9679" s="341" t="s">
        <v>7278</v>
      </c>
      <c r="D9679" s="344">
        <v>468322.69</v>
      </c>
    </row>
    <row r="9680" spans="1:4" ht="38.25">
      <c r="A9680" s="341">
        <v>13836</v>
      </c>
      <c r="B9680" s="342" t="s">
        <v>10519</v>
      </c>
      <c r="C9680" s="341" t="s">
        <v>7278</v>
      </c>
      <c r="D9680" s="344">
        <v>57299.94</v>
      </c>
    </row>
    <row r="9681" spans="1:4" ht="63.75">
      <c r="A9681" s="341">
        <v>14534</v>
      </c>
      <c r="B9681" s="342" t="s">
        <v>10520</v>
      </c>
      <c r="C9681" s="341" t="s">
        <v>7278</v>
      </c>
      <c r="D9681" s="344">
        <v>23987.27</v>
      </c>
    </row>
    <row r="9682" spans="1:4" ht="38.25">
      <c r="A9682" s="341">
        <v>14619</v>
      </c>
      <c r="B9682" s="342" t="s">
        <v>10521</v>
      </c>
      <c r="C9682" s="341" t="s">
        <v>7278</v>
      </c>
      <c r="D9682" s="344">
        <v>15011.53</v>
      </c>
    </row>
    <row r="9683" spans="1:4" ht="63.75">
      <c r="A9683" s="341">
        <v>14535</v>
      </c>
      <c r="B9683" s="342" t="s">
        <v>10522</v>
      </c>
      <c r="C9683" s="341" t="s">
        <v>7278</v>
      </c>
      <c r="D9683" s="344">
        <v>238075.95</v>
      </c>
    </row>
    <row r="9684" spans="1:4" ht="102">
      <c r="A9684" s="341">
        <v>39813</v>
      </c>
      <c r="B9684" s="342" t="s">
        <v>10523</v>
      </c>
      <c r="C9684" s="341" t="s">
        <v>7278</v>
      </c>
      <c r="D9684" s="344">
        <v>14256.33</v>
      </c>
    </row>
    <row r="9685" spans="1:4">
      <c r="A9685" s="341">
        <v>12868</v>
      </c>
      <c r="B9685" s="342" t="s">
        <v>10524</v>
      </c>
      <c r="C9685" s="341" t="s">
        <v>7275</v>
      </c>
      <c r="D9685" s="343">
        <v>12.95</v>
      </c>
    </row>
    <row r="9686" spans="1:4">
      <c r="A9686" s="341">
        <v>40916</v>
      </c>
      <c r="B9686" s="342" t="s">
        <v>10525</v>
      </c>
      <c r="C9686" s="341" t="s">
        <v>7466</v>
      </c>
      <c r="D9686" s="344">
        <v>2286.0300000000002</v>
      </c>
    </row>
    <row r="9687" spans="1:4">
      <c r="A9687" s="341">
        <v>4755</v>
      </c>
      <c r="B9687" s="342" t="s">
        <v>10526</v>
      </c>
      <c r="C9687" s="341" t="s">
        <v>7275</v>
      </c>
      <c r="D9687" s="343">
        <v>12.97</v>
      </c>
    </row>
    <row r="9688" spans="1:4">
      <c r="A9688" s="341">
        <v>41067</v>
      </c>
      <c r="B9688" s="342" t="s">
        <v>10527</v>
      </c>
      <c r="C9688" s="341" t="s">
        <v>7466</v>
      </c>
      <c r="D9688" s="344">
        <v>2286.71</v>
      </c>
    </row>
    <row r="9689" spans="1:4">
      <c r="A9689" s="341">
        <v>38463</v>
      </c>
      <c r="B9689" s="342" t="s">
        <v>10528</v>
      </c>
      <c r="C9689" s="341" t="s">
        <v>7278</v>
      </c>
      <c r="D9689" s="343">
        <v>24.54</v>
      </c>
    </row>
    <row r="9690" spans="1:4" ht="51">
      <c r="A9690" s="341">
        <v>40703</v>
      </c>
      <c r="B9690" s="342" t="s">
        <v>10529</v>
      </c>
      <c r="C9690" s="341" t="s">
        <v>7278</v>
      </c>
      <c r="D9690" s="344">
        <v>8368.99</v>
      </c>
    </row>
    <row r="9691" spans="1:4" ht="25.5">
      <c r="A9691" s="341">
        <v>14531</v>
      </c>
      <c r="B9691" s="342" t="s">
        <v>10530</v>
      </c>
      <c r="C9691" s="341" t="s">
        <v>7278</v>
      </c>
      <c r="D9691" s="344">
        <v>15602.95</v>
      </c>
    </row>
    <row r="9692" spans="1:4" ht="25.5">
      <c r="A9692" s="341">
        <v>36533</v>
      </c>
      <c r="B9692" s="342" t="s">
        <v>10531</v>
      </c>
      <c r="C9692" s="341" t="s">
        <v>7278</v>
      </c>
      <c r="D9692" s="344">
        <v>17955.009999999998</v>
      </c>
    </row>
    <row r="9693" spans="1:4" ht="25.5">
      <c r="A9693" s="341">
        <v>11616</v>
      </c>
      <c r="B9693" s="342" t="s">
        <v>10532</v>
      </c>
      <c r="C9693" s="341" t="s">
        <v>7278</v>
      </c>
      <c r="D9693" s="344">
        <v>16958.240000000002</v>
      </c>
    </row>
    <row r="9694" spans="1:4" ht="25.5">
      <c r="A9694" s="341">
        <v>41898</v>
      </c>
      <c r="B9694" s="342" t="s">
        <v>10533</v>
      </c>
      <c r="C9694" s="341" t="s">
        <v>7278</v>
      </c>
      <c r="D9694" s="344">
        <v>19080.32</v>
      </c>
    </row>
    <row r="9695" spans="1:4" ht="38.25">
      <c r="A9695" s="341">
        <v>13447</v>
      </c>
      <c r="B9695" s="342" t="s">
        <v>10534</v>
      </c>
      <c r="C9695" s="341" t="s">
        <v>7278</v>
      </c>
      <c r="D9695" s="344">
        <v>35109.1</v>
      </c>
    </row>
    <row r="9696" spans="1:4" ht="25.5">
      <c r="A9696" s="341">
        <v>14529</v>
      </c>
      <c r="B9696" s="342" t="s">
        <v>10535</v>
      </c>
      <c r="C9696" s="341" t="s">
        <v>7278</v>
      </c>
      <c r="D9696" s="344">
        <v>19635.63</v>
      </c>
    </row>
    <row r="9697" spans="1:4" ht="25.5">
      <c r="A9697" s="341">
        <v>10747</v>
      </c>
      <c r="B9697" s="342" t="s">
        <v>10536</v>
      </c>
      <c r="C9697" s="341" t="s">
        <v>7278</v>
      </c>
      <c r="D9697" s="344">
        <v>19265.55</v>
      </c>
    </row>
    <row r="9698" spans="1:4" ht="38.25">
      <c r="A9698" s="341">
        <v>36141</v>
      </c>
      <c r="B9698" s="342" t="s">
        <v>10537</v>
      </c>
      <c r="C9698" s="341" t="s">
        <v>7278</v>
      </c>
      <c r="D9698" s="343">
        <v>37.31</v>
      </c>
    </row>
    <row r="9699" spans="1:4">
      <c r="A9699" s="341">
        <v>4053</v>
      </c>
      <c r="B9699" s="342" t="s">
        <v>10538</v>
      </c>
      <c r="C9699" s="341" t="s">
        <v>9603</v>
      </c>
      <c r="D9699" s="343">
        <v>45.63</v>
      </c>
    </row>
    <row r="9700" spans="1:4">
      <c r="A9700" s="341">
        <v>4052</v>
      </c>
      <c r="B9700" s="342" t="s">
        <v>10539</v>
      </c>
      <c r="C9700" s="341" t="s">
        <v>7453</v>
      </c>
      <c r="D9700" s="343">
        <v>93.07</v>
      </c>
    </row>
    <row r="9701" spans="1:4" ht="25.5">
      <c r="A9701" s="341">
        <v>4056</v>
      </c>
      <c r="B9701" s="342" t="s">
        <v>10540</v>
      </c>
      <c r="C9701" s="341" t="s">
        <v>9603</v>
      </c>
      <c r="D9701" s="343">
        <v>24</v>
      </c>
    </row>
    <row r="9702" spans="1:4">
      <c r="A9702" s="341">
        <v>4051</v>
      </c>
      <c r="B9702" s="342" t="s">
        <v>10541</v>
      </c>
      <c r="C9702" s="341" t="s">
        <v>7453</v>
      </c>
      <c r="D9702" s="343">
        <v>59.9</v>
      </c>
    </row>
    <row r="9703" spans="1:4">
      <c r="A9703" s="341">
        <v>4047</v>
      </c>
      <c r="B9703" s="342" t="s">
        <v>10541</v>
      </c>
      <c r="C9703" s="341" t="s">
        <v>9603</v>
      </c>
      <c r="D9703" s="343">
        <v>11.98</v>
      </c>
    </row>
    <row r="9704" spans="1:4">
      <c r="A9704" s="341">
        <v>4048</v>
      </c>
      <c r="B9704" s="342" t="s">
        <v>10541</v>
      </c>
      <c r="C9704" s="341" t="s">
        <v>7340</v>
      </c>
      <c r="D9704" s="343">
        <v>3.32</v>
      </c>
    </row>
    <row r="9705" spans="1:4" ht="51">
      <c r="A9705" s="341">
        <v>39434</v>
      </c>
      <c r="B9705" s="342" t="s">
        <v>10542</v>
      </c>
      <c r="C9705" s="341" t="s">
        <v>7338</v>
      </c>
      <c r="D9705" s="343">
        <v>4.0999999999999996</v>
      </c>
    </row>
    <row r="9706" spans="1:4" ht="38.25">
      <c r="A9706" s="341">
        <v>39433</v>
      </c>
      <c r="B9706" s="342" t="s">
        <v>10543</v>
      </c>
      <c r="C9706" s="341" t="s">
        <v>7338</v>
      </c>
      <c r="D9706" s="343">
        <v>2.94</v>
      </c>
    </row>
    <row r="9707" spans="1:4" ht="25.5">
      <c r="A9707" s="341">
        <v>4049</v>
      </c>
      <c r="B9707" s="342" t="s">
        <v>10544</v>
      </c>
      <c r="C9707" s="341" t="s">
        <v>7340</v>
      </c>
      <c r="D9707" s="343">
        <v>37.53</v>
      </c>
    </row>
    <row r="9708" spans="1:4">
      <c r="A9708" s="341">
        <v>38120</v>
      </c>
      <c r="B9708" s="342" t="s">
        <v>10545</v>
      </c>
      <c r="C9708" s="341" t="s">
        <v>7338</v>
      </c>
      <c r="D9708" s="343">
        <v>106.75</v>
      </c>
    </row>
    <row r="9709" spans="1:4" ht="25.5">
      <c r="A9709" s="341">
        <v>38877</v>
      </c>
      <c r="B9709" s="342" t="s">
        <v>10546</v>
      </c>
      <c r="C9709" s="341" t="s">
        <v>7338</v>
      </c>
      <c r="D9709" s="343">
        <v>5.08</v>
      </c>
    </row>
    <row r="9710" spans="1:4" ht="38.25">
      <c r="A9710" s="341">
        <v>34546</v>
      </c>
      <c r="B9710" s="342" t="s">
        <v>10547</v>
      </c>
      <c r="C9710" s="341" t="s">
        <v>7338</v>
      </c>
      <c r="D9710" s="343">
        <v>5.1100000000000003</v>
      </c>
    </row>
    <row r="9711" spans="1:4">
      <c r="A9711" s="341">
        <v>10498</v>
      </c>
      <c r="B9711" s="342" t="s">
        <v>10548</v>
      </c>
      <c r="C9711" s="341" t="s">
        <v>7338</v>
      </c>
      <c r="D9711" s="343">
        <v>6.61</v>
      </c>
    </row>
    <row r="9712" spans="1:4">
      <c r="A9712" s="341">
        <v>4823</v>
      </c>
      <c r="B9712" s="342" t="s">
        <v>10549</v>
      </c>
      <c r="C9712" s="341" t="s">
        <v>7338</v>
      </c>
      <c r="D9712" s="343">
        <v>31.92</v>
      </c>
    </row>
    <row r="9713" spans="1:4" ht="25.5">
      <c r="A9713" s="341">
        <v>12357</v>
      </c>
      <c r="B9713" s="342" t="s">
        <v>10550</v>
      </c>
      <c r="C9713" s="341" t="s">
        <v>7278</v>
      </c>
      <c r="D9713" s="343">
        <v>123.61</v>
      </c>
    </row>
    <row r="9714" spans="1:4" ht="25.5">
      <c r="A9714" s="341">
        <v>12358</v>
      </c>
      <c r="B9714" s="342" t="s">
        <v>10551</v>
      </c>
      <c r="C9714" s="341" t="s">
        <v>7278</v>
      </c>
      <c r="D9714" s="343">
        <v>139.04</v>
      </c>
    </row>
    <row r="9715" spans="1:4" ht="38.25">
      <c r="A9715" s="341">
        <v>11079</v>
      </c>
      <c r="B9715" s="342" t="s">
        <v>10552</v>
      </c>
      <c r="C9715" s="341" t="s">
        <v>7283</v>
      </c>
      <c r="D9715" s="343">
        <v>795.59</v>
      </c>
    </row>
    <row r="9716" spans="1:4" ht="38.25">
      <c r="A9716" s="341">
        <v>11082</v>
      </c>
      <c r="B9716" s="342" t="s">
        <v>10553</v>
      </c>
      <c r="C9716" s="341" t="s">
        <v>7283</v>
      </c>
      <c r="D9716" s="343">
        <v>811.7</v>
      </c>
    </row>
    <row r="9717" spans="1:4">
      <c r="A9717" s="341">
        <v>4058</v>
      </c>
      <c r="B9717" s="342" t="s">
        <v>10554</v>
      </c>
      <c r="C9717" s="341" t="s">
        <v>7275</v>
      </c>
      <c r="D9717" s="343">
        <v>14.36</v>
      </c>
    </row>
    <row r="9718" spans="1:4" ht="25.5">
      <c r="A9718" s="341">
        <v>40974</v>
      </c>
      <c r="B9718" s="342" t="s">
        <v>10555</v>
      </c>
      <c r="C9718" s="341" t="s">
        <v>7466</v>
      </c>
      <c r="D9718" s="344">
        <v>2534.63</v>
      </c>
    </row>
    <row r="9719" spans="1:4">
      <c r="A9719" s="341">
        <v>34794</v>
      </c>
      <c r="B9719" s="342" t="s">
        <v>10556</v>
      </c>
      <c r="C9719" s="341" t="s">
        <v>7275</v>
      </c>
      <c r="D9719" s="343">
        <v>14.44</v>
      </c>
    </row>
    <row r="9720" spans="1:4">
      <c r="A9720" s="341">
        <v>40925</v>
      </c>
      <c r="B9720" s="342" t="s">
        <v>10557</v>
      </c>
      <c r="C9720" s="341" t="s">
        <v>7466</v>
      </c>
      <c r="D9720" s="344">
        <v>2546.4299999999998</v>
      </c>
    </row>
    <row r="9721" spans="1:4" ht="25.5">
      <c r="A9721" s="341">
        <v>13741</v>
      </c>
      <c r="B9721" s="342" t="s">
        <v>10558</v>
      </c>
      <c r="C9721" s="341" t="s">
        <v>7278</v>
      </c>
      <c r="D9721" s="344">
        <v>1812.56</v>
      </c>
    </row>
    <row r="9722" spans="1:4" ht="38.25">
      <c r="A9722" s="341">
        <v>3288</v>
      </c>
      <c r="B9722" s="342" t="s">
        <v>10559</v>
      </c>
      <c r="C9722" s="341" t="s">
        <v>7287</v>
      </c>
      <c r="D9722" s="343">
        <v>3.4</v>
      </c>
    </row>
    <row r="9723" spans="1:4" ht="38.25">
      <c r="A9723" s="341">
        <v>13587</v>
      </c>
      <c r="B9723" s="342" t="s">
        <v>10560</v>
      </c>
      <c r="C9723" s="341" t="s">
        <v>7287</v>
      </c>
      <c r="D9723" s="343">
        <v>2.0499999999999998</v>
      </c>
    </row>
    <row r="9724" spans="1:4" ht="25.5">
      <c r="A9724" s="341">
        <v>38598</v>
      </c>
      <c r="B9724" s="342" t="s">
        <v>10561</v>
      </c>
      <c r="C9724" s="341" t="s">
        <v>7278</v>
      </c>
      <c r="D9724" s="343">
        <v>2.33</v>
      </c>
    </row>
    <row r="9725" spans="1:4" ht="25.5">
      <c r="A9725" s="341">
        <v>38595</v>
      </c>
      <c r="B9725" s="342" t="s">
        <v>10562</v>
      </c>
      <c r="C9725" s="341" t="s">
        <v>7278</v>
      </c>
      <c r="D9725" s="343">
        <v>1.61</v>
      </c>
    </row>
    <row r="9726" spans="1:4" ht="25.5">
      <c r="A9726" s="341">
        <v>38592</v>
      </c>
      <c r="B9726" s="342" t="s">
        <v>10563</v>
      </c>
      <c r="C9726" s="341" t="s">
        <v>7278</v>
      </c>
      <c r="D9726" s="343">
        <v>2.11</v>
      </c>
    </row>
    <row r="9727" spans="1:4" ht="25.5">
      <c r="A9727" s="341">
        <v>38588</v>
      </c>
      <c r="B9727" s="342" t="s">
        <v>10564</v>
      </c>
      <c r="C9727" s="341" t="s">
        <v>7278</v>
      </c>
      <c r="D9727" s="343">
        <v>1.33</v>
      </c>
    </row>
    <row r="9728" spans="1:4" ht="25.5">
      <c r="A9728" s="341">
        <v>38593</v>
      </c>
      <c r="B9728" s="342" t="s">
        <v>10565</v>
      </c>
      <c r="C9728" s="341" t="s">
        <v>7278</v>
      </c>
      <c r="D9728" s="343">
        <v>2.2599999999999998</v>
      </c>
    </row>
    <row r="9729" spans="1:4" ht="25.5">
      <c r="A9729" s="341">
        <v>38589</v>
      </c>
      <c r="B9729" s="342" t="s">
        <v>10566</v>
      </c>
      <c r="C9729" s="341" t="s">
        <v>7278</v>
      </c>
      <c r="D9729" s="343">
        <v>1.62</v>
      </c>
    </row>
    <row r="9730" spans="1:4" ht="25.5">
      <c r="A9730" s="341">
        <v>38594</v>
      </c>
      <c r="B9730" s="342" t="s">
        <v>10567</v>
      </c>
      <c r="C9730" s="341" t="s">
        <v>7278</v>
      </c>
      <c r="D9730" s="343">
        <v>3.36</v>
      </c>
    </row>
    <row r="9731" spans="1:4" ht="25.5">
      <c r="A9731" s="341">
        <v>34787</v>
      </c>
      <c r="B9731" s="342" t="s">
        <v>10568</v>
      </c>
      <c r="C9731" s="341" t="s">
        <v>7278</v>
      </c>
      <c r="D9731" s="343">
        <v>0.9</v>
      </c>
    </row>
    <row r="9732" spans="1:4" ht="25.5">
      <c r="A9732" s="341">
        <v>34788</v>
      </c>
      <c r="B9732" s="342" t="s">
        <v>10569</v>
      </c>
      <c r="C9732" s="341" t="s">
        <v>7278</v>
      </c>
      <c r="D9732" s="343">
        <v>0.9</v>
      </c>
    </row>
    <row r="9733" spans="1:4" ht="25.5">
      <c r="A9733" s="341">
        <v>34784</v>
      </c>
      <c r="B9733" s="342" t="s">
        <v>10570</v>
      </c>
      <c r="C9733" s="341" t="s">
        <v>7278</v>
      </c>
      <c r="D9733" s="343">
        <v>0.99</v>
      </c>
    </row>
    <row r="9734" spans="1:4" ht="25.5">
      <c r="A9734" s="341">
        <v>34781</v>
      </c>
      <c r="B9734" s="342" t="s">
        <v>10571</v>
      </c>
      <c r="C9734" s="341" t="s">
        <v>7278</v>
      </c>
      <c r="D9734" s="343">
        <v>1.1299999999999999</v>
      </c>
    </row>
    <row r="9735" spans="1:4" ht="25.5">
      <c r="A9735" s="341">
        <v>34773</v>
      </c>
      <c r="B9735" s="342" t="s">
        <v>10572</v>
      </c>
      <c r="C9735" s="341" t="s">
        <v>7278</v>
      </c>
      <c r="D9735" s="343">
        <v>1.68</v>
      </c>
    </row>
    <row r="9736" spans="1:4" ht="25.5">
      <c r="A9736" s="341">
        <v>34769</v>
      </c>
      <c r="B9736" s="342" t="s">
        <v>10573</v>
      </c>
      <c r="C9736" s="341" t="s">
        <v>7278</v>
      </c>
      <c r="D9736" s="343">
        <v>1.94</v>
      </c>
    </row>
    <row r="9737" spans="1:4" ht="25.5">
      <c r="A9737" s="341">
        <v>34763</v>
      </c>
      <c r="B9737" s="342" t="s">
        <v>10574</v>
      </c>
      <c r="C9737" s="341" t="s">
        <v>7278</v>
      </c>
      <c r="D9737" s="343">
        <v>1.1299999999999999</v>
      </c>
    </row>
    <row r="9738" spans="1:4" ht="25.5">
      <c r="A9738" s="341">
        <v>34774</v>
      </c>
      <c r="B9738" s="342" t="s">
        <v>10575</v>
      </c>
      <c r="C9738" s="341" t="s">
        <v>7278</v>
      </c>
      <c r="D9738" s="343">
        <v>1.5</v>
      </c>
    </row>
    <row r="9739" spans="1:4" ht="25.5">
      <c r="A9739" s="341">
        <v>34771</v>
      </c>
      <c r="B9739" s="342" t="s">
        <v>10576</v>
      </c>
      <c r="C9739" s="341" t="s">
        <v>7278</v>
      </c>
      <c r="D9739" s="343">
        <v>1.72</v>
      </c>
    </row>
    <row r="9740" spans="1:4" ht="25.5">
      <c r="A9740" s="341">
        <v>34764</v>
      </c>
      <c r="B9740" s="342" t="s">
        <v>10577</v>
      </c>
      <c r="C9740" s="341" t="s">
        <v>7278</v>
      </c>
      <c r="D9740" s="343">
        <v>1.05</v>
      </c>
    </row>
    <row r="9741" spans="1:4" ht="25.5">
      <c r="A9741" s="341">
        <v>4062</v>
      </c>
      <c r="B9741" s="342" t="s">
        <v>10578</v>
      </c>
      <c r="C9741" s="341" t="s">
        <v>7278</v>
      </c>
      <c r="D9741" s="343">
        <v>15.67</v>
      </c>
    </row>
    <row r="9742" spans="1:4" ht="25.5">
      <c r="A9742" s="341">
        <v>4059</v>
      </c>
      <c r="B9742" s="342" t="s">
        <v>10579</v>
      </c>
      <c r="C9742" s="341" t="s">
        <v>7287</v>
      </c>
      <c r="D9742" s="343">
        <v>19</v>
      </c>
    </row>
    <row r="9743" spans="1:4" ht="38.25">
      <c r="A9743" s="341">
        <v>4061</v>
      </c>
      <c r="B9743" s="342" t="s">
        <v>10580</v>
      </c>
      <c r="C9743" s="341" t="s">
        <v>7278</v>
      </c>
      <c r="D9743" s="343">
        <v>15.2</v>
      </c>
    </row>
    <row r="9744" spans="1:4" ht="38.25">
      <c r="A9744" s="341">
        <v>10608</v>
      </c>
      <c r="B9744" s="342" t="s">
        <v>10581</v>
      </c>
      <c r="C9744" s="341" t="s">
        <v>7278</v>
      </c>
      <c r="D9744" s="344">
        <v>8197</v>
      </c>
    </row>
    <row r="9745" spans="1:4">
      <c r="A9745" s="341">
        <v>4069</v>
      </c>
      <c r="B9745" s="342" t="s">
        <v>10582</v>
      </c>
      <c r="C9745" s="341" t="s">
        <v>7275</v>
      </c>
      <c r="D9745" s="343">
        <v>25.77</v>
      </c>
    </row>
    <row r="9746" spans="1:4">
      <c r="A9746" s="341">
        <v>40819</v>
      </c>
      <c r="B9746" s="342" t="s">
        <v>10583</v>
      </c>
      <c r="C9746" s="341" t="s">
        <v>7466</v>
      </c>
      <c r="D9746" s="344">
        <v>4546.17</v>
      </c>
    </row>
    <row r="9747" spans="1:4" ht="25.5">
      <c r="A9747" s="341">
        <v>34361</v>
      </c>
      <c r="B9747" s="342" t="s">
        <v>10584</v>
      </c>
      <c r="C9747" s="341" t="s">
        <v>7338</v>
      </c>
      <c r="D9747" s="343">
        <v>1.75</v>
      </c>
    </row>
    <row r="9748" spans="1:4" ht="38.25">
      <c r="A9748" s="341">
        <v>36512</v>
      </c>
      <c r="B9748" s="342" t="s">
        <v>10585</v>
      </c>
      <c r="C9748" s="341" t="s">
        <v>7278</v>
      </c>
      <c r="D9748" s="344">
        <v>10515.52</v>
      </c>
    </row>
    <row r="9749" spans="1:4" ht="38.25">
      <c r="A9749" s="341">
        <v>25972</v>
      </c>
      <c r="B9749" s="342" t="s">
        <v>10586</v>
      </c>
      <c r="C9749" s="341" t="s">
        <v>7338</v>
      </c>
      <c r="D9749" s="343">
        <v>8.66</v>
      </c>
    </row>
    <row r="9750" spans="1:4" ht="38.25">
      <c r="A9750" s="341">
        <v>25973</v>
      </c>
      <c r="B9750" s="342" t="s">
        <v>10587</v>
      </c>
      <c r="C9750" s="341" t="s">
        <v>7338</v>
      </c>
      <c r="D9750" s="343">
        <v>8.66</v>
      </c>
    </row>
    <row r="9751" spans="1:4" ht="25.5">
      <c r="A9751" s="341">
        <v>11697</v>
      </c>
      <c r="B9751" s="342" t="s">
        <v>10588</v>
      </c>
      <c r="C9751" s="341" t="s">
        <v>7278</v>
      </c>
      <c r="D9751" s="343">
        <v>414.83</v>
      </c>
    </row>
    <row r="9752" spans="1:4" ht="25.5">
      <c r="A9752" s="341">
        <v>11698</v>
      </c>
      <c r="B9752" s="342" t="s">
        <v>10589</v>
      </c>
      <c r="C9752" s="341" t="s">
        <v>7278</v>
      </c>
      <c r="D9752" s="343">
        <v>494.87</v>
      </c>
    </row>
    <row r="9753" spans="1:4" ht="25.5">
      <c r="A9753" s="341">
        <v>11699</v>
      </c>
      <c r="B9753" s="342" t="s">
        <v>10590</v>
      </c>
      <c r="C9753" s="341" t="s">
        <v>7278</v>
      </c>
      <c r="D9753" s="343">
        <v>546.94000000000005</v>
      </c>
    </row>
    <row r="9754" spans="1:4" ht="25.5">
      <c r="A9754" s="341">
        <v>10432</v>
      </c>
      <c r="B9754" s="342" t="s">
        <v>10591</v>
      </c>
      <c r="C9754" s="341" t="s">
        <v>7278</v>
      </c>
      <c r="D9754" s="343">
        <v>245.52</v>
      </c>
    </row>
    <row r="9755" spans="1:4" ht="25.5">
      <c r="A9755" s="341">
        <v>10430</v>
      </c>
      <c r="B9755" s="342" t="s">
        <v>10592</v>
      </c>
      <c r="C9755" s="341" t="s">
        <v>7278</v>
      </c>
      <c r="D9755" s="343">
        <v>264.42</v>
      </c>
    </row>
    <row r="9756" spans="1:4" ht="38.25">
      <c r="A9756" s="341">
        <v>37514</v>
      </c>
      <c r="B9756" s="342" t="s">
        <v>10593</v>
      </c>
      <c r="C9756" s="341" t="s">
        <v>7278</v>
      </c>
      <c r="D9756" s="344">
        <v>140000</v>
      </c>
    </row>
    <row r="9757" spans="1:4" ht="38.25">
      <c r="A9757" s="341">
        <v>37519</v>
      </c>
      <c r="B9757" s="342" t="s">
        <v>10594</v>
      </c>
      <c r="C9757" s="341" t="s">
        <v>7278</v>
      </c>
      <c r="D9757" s="344">
        <v>216061.07</v>
      </c>
    </row>
    <row r="9758" spans="1:4" ht="38.25">
      <c r="A9758" s="341">
        <v>37520</v>
      </c>
      <c r="B9758" s="342" t="s">
        <v>10595</v>
      </c>
      <c r="C9758" s="341" t="s">
        <v>7278</v>
      </c>
      <c r="D9758" s="344">
        <v>212519.09</v>
      </c>
    </row>
    <row r="9759" spans="1:4" ht="38.25">
      <c r="A9759" s="341">
        <v>37521</v>
      </c>
      <c r="B9759" s="342" t="s">
        <v>10596</v>
      </c>
      <c r="C9759" s="341" t="s">
        <v>7278</v>
      </c>
      <c r="D9759" s="344">
        <v>259273.29</v>
      </c>
    </row>
    <row r="9760" spans="1:4" ht="38.25">
      <c r="A9760" s="341">
        <v>37522</v>
      </c>
      <c r="B9760" s="342" t="s">
        <v>10597</v>
      </c>
      <c r="C9760" s="341" t="s">
        <v>7278</v>
      </c>
      <c r="D9760" s="344">
        <v>267073.73</v>
      </c>
    </row>
    <row r="9761" spans="1:4" ht="51">
      <c r="A9761" s="341">
        <v>21109</v>
      </c>
      <c r="B9761" s="342" t="s">
        <v>10598</v>
      </c>
      <c r="C9761" s="341" t="s">
        <v>7278</v>
      </c>
      <c r="D9761" s="343">
        <v>60.51</v>
      </c>
    </row>
    <row r="9762" spans="1:4" ht="25.5">
      <c r="A9762" s="341">
        <v>36800</v>
      </c>
      <c r="B9762" s="342" t="s">
        <v>10599</v>
      </c>
      <c r="C9762" s="341" t="s">
        <v>7278</v>
      </c>
      <c r="D9762" s="343">
        <v>81.510000000000005</v>
      </c>
    </row>
    <row r="9763" spans="1:4" ht="25.5">
      <c r="A9763" s="341">
        <v>11769</v>
      </c>
      <c r="B9763" s="342" t="s">
        <v>10600</v>
      </c>
      <c r="C9763" s="341" t="s">
        <v>7278</v>
      </c>
      <c r="D9763" s="343">
        <v>199.76</v>
      </c>
    </row>
    <row r="9764" spans="1:4" ht="25.5">
      <c r="A9764" s="341">
        <v>36793</v>
      </c>
      <c r="B9764" s="342" t="s">
        <v>10601</v>
      </c>
      <c r="C9764" s="341" t="s">
        <v>7278</v>
      </c>
      <c r="D9764" s="343">
        <v>323.43</v>
      </c>
    </row>
    <row r="9765" spans="1:4" ht="51">
      <c r="A9765" s="341">
        <v>37546</v>
      </c>
      <c r="B9765" s="342" t="s">
        <v>10602</v>
      </c>
      <c r="C9765" s="341" t="s">
        <v>7278</v>
      </c>
      <c r="D9765" s="344">
        <v>8546.81</v>
      </c>
    </row>
    <row r="9766" spans="1:4" ht="51">
      <c r="A9766" s="341">
        <v>37544</v>
      </c>
      <c r="B9766" s="342" t="s">
        <v>10603</v>
      </c>
      <c r="C9766" s="341" t="s">
        <v>7278</v>
      </c>
      <c r="D9766" s="344">
        <v>9039.69</v>
      </c>
    </row>
    <row r="9767" spans="1:4" ht="51">
      <c r="A9767" s="341">
        <v>37545</v>
      </c>
      <c r="B9767" s="342" t="s">
        <v>10604</v>
      </c>
      <c r="C9767" s="341" t="s">
        <v>7278</v>
      </c>
      <c r="D9767" s="344">
        <v>10756.01</v>
      </c>
    </row>
    <row r="9768" spans="1:4" ht="25.5">
      <c r="A9768" s="341">
        <v>11771</v>
      </c>
      <c r="B9768" s="342" t="s">
        <v>10605</v>
      </c>
      <c r="C9768" s="341" t="s">
        <v>7278</v>
      </c>
      <c r="D9768" s="343">
        <v>247.78</v>
      </c>
    </row>
    <row r="9769" spans="1:4" ht="63.75">
      <c r="A9769" s="341">
        <v>39919</v>
      </c>
      <c r="B9769" s="342" t="s">
        <v>10606</v>
      </c>
      <c r="C9769" s="341" t="s">
        <v>7278</v>
      </c>
      <c r="D9769" s="344">
        <v>42781.52</v>
      </c>
    </row>
    <row r="9770" spans="1:4" ht="38.25">
      <c r="A9770" s="341">
        <v>38385</v>
      </c>
      <c r="B9770" s="342" t="s">
        <v>10607</v>
      </c>
      <c r="C9770" s="341" t="s">
        <v>7278</v>
      </c>
      <c r="D9770" s="343">
        <v>36.49</v>
      </c>
    </row>
    <row r="9771" spans="1:4" ht="25.5">
      <c r="A9771" s="341">
        <v>37587</v>
      </c>
      <c r="B9771" s="342" t="s">
        <v>10608</v>
      </c>
      <c r="C9771" s="341" t="s">
        <v>7278</v>
      </c>
      <c r="D9771" s="343">
        <v>225.37</v>
      </c>
    </row>
    <row r="9772" spans="1:4" ht="25.5">
      <c r="A9772" s="341">
        <v>11571</v>
      </c>
      <c r="B9772" s="342" t="s">
        <v>10609</v>
      </c>
      <c r="C9772" s="341" t="s">
        <v>7278</v>
      </c>
      <c r="D9772" s="343">
        <v>180.67</v>
      </c>
    </row>
    <row r="9773" spans="1:4" ht="25.5">
      <c r="A9773" s="341">
        <v>11561</v>
      </c>
      <c r="B9773" s="342" t="s">
        <v>10610</v>
      </c>
      <c r="C9773" s="341" t="s">
        <v>7278</v>
      </c>
      <c r="D9773" s="343">
        <v>139.72999999999999</v>
      </c>
    </row>
    <row r="9774" spans="1:4" ht="25.5">
      <c r="A9774" s="341">
        <v>11560</v>
      </c>
      <c r="B9774" s="342" t="s">
        <v>10611</v>
      </c>
      <c r="C9774" s="341" t="s">
        <v>7278</v>
      </c>
      <c r="D9774" s="343">
        <v>118.93</v>
      </c>
    </row>
    <row r="9775" spans="1:4" ht="25.5">
      <c r="A9775" s="341">
        <v>11499</v>
      </c>
      <c r="B9775" s="342" t="s">
        <v>10612</v>
      </c>
      <c r="C9775" s="341" t="s">
        <v>7278</v>
      </c>
      <c r="D9775" s="344">
        <v>1047.04</v>
      </c>
    </row>
    <row r="9776" spans="1:4">
      <c r="A9776" s="341">
        <v>34761</v>
      </c>
      <c r="B9776" s="342" t="s">
        <v>10613</v>
      </c>
      <c r="C9776" s="341" t="s">
        <v>7275</v>
      </c>
      <c r="D9776" s="343">
        <v>12.8</v>
      </c>
    </row>
    <row r="9777" spans="1:4" ht="25.5">
      <c r="A9777" s="341">
        <v>40924</v>
      </c>
      <c r="B9777" s="342" t="s">
        <v>10614</v>
      </c>
      <c r="C9777" s="341" t="s">
        <v>7466</v>
      </c>
      <c r="D9777" s="344">
        <v>2259.21</v>
      </c>
    </row>
    <row r="9778" spans="1:4">
      <c r="A9778" s="341">
        <v>25957</v>
      </c>
      <c r="B9778" s="342" t="s">
        <v>10615</v>
      </c>
      <c r="C9778" s="341" t="s">
        <v>7275</v>
      </c>
      <c r="D9778" s="343">
        <v>8.98</v>
      </c>
    </row>
    <row r="9779" spans="1:4" ht="25.5">
      <c r="A9779" s="341">
        <v>40983</v>
      </c>
      <c r="B9779" s="342" t="s">
        <v>10616</v>
      </c>
      <c r="C9779" s="341" t="s">
        <v>7466</v>
      </c>
      <c r="D9779" s="344">
        <v>1584.74</v>
      </c>
    </row>
    <row r="9780" spans="1:4">
      <c r="A9780" s="341">
        <v>2437</v>
      </c>
      <c r="B9780" s="342" t="s">
        <v>10617</v>
      </c>
      <c r="C9780" s="341" t="s">
        <v>7275</v>
      </c>
      <c r="D9780" s="343">
        <v>14.27</v>
      </c>
    </row>
    <row r="9781" spans="1:4">
      <c r="A9781" s="341">
        <v>40921</v>
      </c>
      <c r="B9781" s="342" t="s">
        <v>10618</v>
      </c>
      <c r="C9781" s="341" t="s">
        <v>7466</v>
      </c>
      <c r="D9781" s="344">
        <v>2518.31</v>
      </c>
    </row>
    <row r="9782" spans="1:4" ht="38.25">
      <c r="A9782" s="341">
        <v>40534</v>
      </c>
      <c r="B9782" s="342" t="s">
        <v>10619</v>
      </c>
      <c r="C9782" s="341" t="s">
        <v>7278</v>
      </c>
      <c r="D9782" s="343">
        <v>144.35</v>
      </c>
    </row>
    <row r="9783" spans="1:4" ht="38.25">
      <c r="A9783" s="341">
        <v>14252</v>
      </c>
      <c r="B9783" s="342" t="s">
        <v>10620</v>
      </c>
      <c r="C9783" s="341" t="s">
        <v>7278</v>
      </c>
      <c r="D9783" s="344">
        <v>1733.16</v>
      </c>
    </row>
    <row r="9784" spans="1:4" ht="51">
      <c r="A9784" s="341">
        <v>730</v>
      </c>
      <c r="B9784" s="342" t="s">
        <v>10621</v>
      </c>
      <c r="C9784" s="341" t="s">
        <v>7278</v>
      </c>
      <c r="D9784" s="344">
        <v>4630.6899999999996</v>
      </c>
    </row>
    <row r="9785" spans="1:4" ht="51">
      <c r="A9785" s="341">
        <v>723</v>
      </c>
      <c r="B9785" s="342" t="s">
        <v>10622</v>
      </c>
      <c r="C9785" s="341" t="s">
        <v>7278</v>
      </c>
      <c r="D9785" s="344">
        <v>2301.61</v>
      </c>
    </row>
    <row r="9786" spans="1:4" ht="51">
      <c r="A9786" s="341">
        <v>36502</v>
      </c>
      <c r="B9786" s="342" t="s">
        <v>10623</v>
      </c>
      <c r="C9786" s="341" t="s">
        <v>7278</v>
      </c>
      <c r="D9786" s="344">
        <v>2163.2399999999998</v>
      </c>
    </row>
    <row r="9787" spans="1:4" ht="51">
      <c r="A9787" s="341">
        <v>36503</v>
      </c>
      <c r="B9787" s="342" t="s">
        <v>10624</v>
      </c>
      <c r="C9787" s="341" t="s">
        <v>7278</v>
      </c>
      <c r="D9787" s="344">
        <v>2667.53</v>
      </c>
    </row>
    <row r="9788" spans="1:4" ht="38.25">
      <c r="A9788" s="341">
        <v>4090</v>
      </c>
      <c r="B9788" s="342" t="s">
        <v>10625</v>
      </c>
      <c r="C9788" s="341" t="s">
        <v>7278</v>
      </c>
      <c r="D9788" s="344">
        <v>545000</v>
      </c>
    </row>
    <row r="9789" spans="1:4" ht="38.25">
      <c r="A9789" s="341">
        <v>13227</v>
      </c>
      <c r="B9789" s="342" t="s">
        <v>10626</v>
      </c>
      <c r="C9789" s="341" t="s">
        <v>7278</v>
      </c>
      <c r="D9789" s="344">
        <v>677230.46</v>
      </c>
    </row>
    <row r="9790" spans="1:4" ht="38.25">
      <c r="A9790" s="341">
        <v>10597</v>
      </c>
      <c r="B9790" s="342" t="s">
        <v>10627</v>
      </c>
      <c r="C9790" s="341" t="s">
        <v>7278</v>
      </c>
      <c r="D9790" s="344">
        <v>712872.42</v>
      </c>
    </row>
    <row r="9791" spans="1:4" ht="25.5">
      <c r="A9791" s="341">
        <v>39628</v>
      </c>
      <c r="B9791" s="342" t="s">
        <v>10628</v>
      </c>
      <c r="C9791" s="341" t="s">
        <v>7278</v>
      </c>
      <c r="D9791" s="344">
        <v>2573.75</v>
      </c>
    </row>
    <row r="9792" spans="1:4" ht="25.5">
      <c r="A9792" s="341">
        <v>39404</v>
      </c>
      <c r="B9792" s="342" t="s">
        <v>10629</v>
      </c>
      <c r="C9792" s="341" t="s">
        <v>7278</v>
      </c>
      <c r="D9792" s="344">
        <v>1276.24</v>
      </c>
    </row>
    <row r="9793" spans="1:4" ht="25.5">
      <c r="A9793" s="341">
        <v>39402</v>
      </c>
      <c r="B9793" s="342" t="s">
        <v>10630</v>
      </c>
      <c r="C9793" s="341" t="s">
        <v>7278</v>
      </c>
      <c r="D9793" s="344">
        <v>1051.3800000000001</v>
      </c>
    </row>
    <row r="9794" spans="1:4" ht="25.5">
      <c r="A9794" s="341">
        <v>39403</v>
      </c>
      <c r="B9794" s="342" t="s">
        <v>10631</v>
      </c>
      <c r="C9794" s="341" t="s">
        <v>7278</v>
      </c>
      <c r="D9794" s="344">
        <v>1028.51</v>
      </c>
    </row>
    <row r="9795" spans="1:4">
      <c r="A9795" s="341">
        <v>4093</v>
      </c>
      <c r="B9795" s="342" t="s">
        <v>10632</v>
      </c>
      <c r="C9795" s="341" t="s">
        <v>7275</v>
      </c>
      <c r="D9795" s="343">
        <v>10.42</v>
      </c>
    </row>
    <row r="9796" spans="1:4">
      <c r="A9796" s="341">
        <v>10512</v>
      </c>
      <c r="B9796" s="342" t="s">
        <v>10633</v>
      </c>
      <c r="C9796" s="341" t="s">
        <v>7466</v>
      </c>
      <c r="D9796" s="344">
        <v>2236.52</v>
      </c>
    </row>
    <row r="9797" spans="1:4">
      <c r="A9797" s="341">
        <v>20020</v>
      </c>
      <c r="B9797" s="342" t="s">
        <v>10634</v>
      </c>
      <c r="C9797" s="341" t="s">
        <v>7275</v>
      </c>
      <c r="D9797" s="343">
        <v>9.83</v>
      </c>
    </row>
    <row r="9798" spans="1:4" ht="25.5">
      <c r="A9798" s="341">
        <v>41038</v>
      </c>
      <c r="B9798" s="342" t="s">
        <v>10635</v>
      </c>
      <c r="C9798" s="341" t="s">
        <v>7466</v>
      </c>
      <c r="D9798" s="344">
        <v>2109.59</v>
      </c>
    </row>
    <row r="9799" spans="1:4">
      <c r="A9799" s="341">
        <v>4094</v>
      </c>
      <c r="B9799" s="342" t="s">
        <v>10636</v>
      </c>
      <c r="C9799" s="341" t="s">
        <v>7275</v>
      </c>
      <c r="D9799" s="343">
        <v>13.93</v>
      </c>
    </row>
    <row r="9800" spans="1:4" ht="25.5">
      <c r="A9800" s="341">
        <v>40988</v>
      </c>
      <c r="B9800" s="342" t="s">
        <v>10637</v>
      </c>
      <c r="C9800" s="341" t="s">
        <v>7466</v>
      </c>
      <c r="D9800" s="344">
        <v>2986.72</v>
      </c>
    </row>
    <row r="9801" spans="1:4">
      <c r="A9801" s="341">
        <v>4095</v>
      </c>
      <c r="B9801" s="342" t="s">
        <v>10638</v>
      </c>
      <c r="C9801" s="341" t="s">
        <v>7275</v>
      </c>
      <c r="D9801" s="343">
        <v>9.66</v>
      </c>
    </row>
    <row r="9802" spans="1:4" ht="25.5">
      <c r="A9802" s="341">
        <v>40990</v>
      </c>
      <c r="B9802" s="342" t="s">
        <v>10639</v>
      </c>
      <c r="C9802" s="341" t="s">
        <v>7466</v>
      </c>
      <c r="D9802" s="344">
        <v>2190.54</v>
      </c>
    </row>
    <row r="9803" spans="1:4">
      <c r="A9803" s="341">
        <v>4097</v>
      </c>
      <c r="B9803" s="342" t="s">
        <v>10640</v>
      </c>
      <c r="C9803" s="341" t="s">
        <v>7275</v>
      </c>
      <c r="D9803" s="343">
        <v>11.38</v>
      </c>
    </row>
    <row r="9804" spans="1:4" ht="25.5">
      <c r="A9804" s="341">
        <v>40994</v>
      </c>
      <c r="B9804" s="342" t="s">
        <v>10641</v>
      </c>
      <c r="C9804" s="341" t="s">
        <v>7466</v>
      </c>
      <c r="D9804" s="344">
        <v>2578.94</v>
      </c>
    </row>
    <row r="9805" spans="1:4" ht="25.5">
      <c r="A9805" s="341">
        <v>4096</v>
      </c>
      <c r="B9805" s="342" t="s">
        <v>10642</v>
      </c>
      <c r="C9805" s="341" t="s">
        <v>7275</v>
      </c>
      <c r="D9805" s="343">
        <v>12.21</v>
      </c>
    </row>
    <row r="9806" spans="1:4" ht="25.5">
      <c r="A9806" s="341">
        <v>40992</v>
      </c>
      <c r="B9806" s="342" t="s">
        <v>10643</v>
      </c>
      <c r="C9806" s="341" t="s">
        <v>7466</v>
      </c>
      <c r="D9806" s="344">
        <v>2767.63</v>
      </c>
    </row>
    <row r="9807" spans="1:4" ht="25.5">
      <c r="A9807" s="341">
        <v>13955</v>
      </c>
      <c r="B9807" s="342" t="s">
        <v>10644</v>
      </c>
      <c r="C9807" s="341" t="s">
        <v>7278</v>
      </c>
      <c r="D9807" s="344">
        <v>1875.23</v>
      </c>
    </row>
    <row r="9808" spans="1:4" ht="25.5">
      <c r="A9808" s="341">
        <v>4114</v>
      </c>
      <c r="B9808" s="342" t="s">
        <v>10645</v>
      </c>
      <c r="C9808" s="341" t="s">
        <v>7278</v>
      </c>
      <c r="D9808" s="343">
        <v>44.68</v>
      </c>
    </row>
    <row r="9809" spans="1:4" ht="25.5">
      <c r="A9809" s="341">
        <v>36797</v>
      </c>
      <c r="B9809" s="342" t="s">
        <v>10646</v>
      </c>
      <c r="C9809" s="341" t="s">
        <v>7278</v>
      </c>
      <c r="D9809" s="343">
        <v>39.07</v>
      </c>
    </row>
    <row r="9810" spans="1:4" ht="25.5">
      <c r="A9810" s="341">
        <v>4107</v>
      </c>
      <c r="B9810" s="342" t="s">
        <v>10647</v>
      </c>
      <c r="C9810" s="341" t="s">
        <v>7278</v>
      </c>
      <c r="D9810" s="343">
        <v>37.619999999999997</v>
      </c>
    </row>
    <row r="9811" spans="1:4" ht="25.5">
      <c r="A9811" s="341">
        <v>36799</v>
      </c>
      <c r="B9811" s="342" t="s">
        <v>10648</v>
      </c>
      <c r="C9811" s="341" t="s">
        <v>7278</v>
      </c>
      <c r="D9811" s="343">
        <v>35.92</v>
      </c>
    </row>
    <row r="9812" spans="1:4" ht="25.5">
      <c r="A9812" s="341">
        <v>4108</v>
      </c>
      <c r="B9812" s="342" t="s">
        <v>10649</v>
      </c>
      <c r="C9812" s="341" t="s">
        <v>7278</v>
      </c>
      <c r="D9812" s="343">
        <v>30.25</v>
      </c>
    </row>
    <row r="9813" spans="1:4" ht="25.5">
      <c r="A9813" s="341">
        <v>4102</v>
      </c>
      <c r="B9813" s="342" t="s">
        <v>10650</v>
      </c>
      <c r="C9813" s="341" t="s">
        <v>7278</v>
      </c>
      <c r="D9813" s="343">
        <v>45</v>
      </c>
    </row>
    <row r="9814" spans="1:4" ht="38.25">
      <c r="A9814" s="341">
        <v>10826</v>
      </c>
      <c r="B9814" s="342" t="s">
        <v>10651</v>
      </c>
      <c r="C9814" s="341" t="s">
        <v>7278</v>
      </c>
      <c r="D9814" s="343">
        <v>71.83</v>
      </c>
    </row>
    <row r="9815" spans="1:4" ht="38.25">
      <c r="A9815" s="341">
        <v>365</v>
      </c>
      <c r="B9815" s="342" t="s">
        <v>10652</v>
      </c>
      <c r="C9815" s="341" t="s">
        <v>7278</v>
      </c>
      <c r="D9815" s="343">
        <v>44.54</v>
      </c>
    </row>
    <row r="9816" spans="1:4">
      <c r="A9816" s="341">
        <v>38639</v>
      </c>
      <c r="B9816" s="342" t="s">
        <v>10653</v>
      </c>
      <c r="C9816" s="341" t="s">
        <v>7278</v>
      </c>
      <c r="D9816" s="343">
        <v>172.41</v>
      </c>
    </row>
    <row r="9817" spans="1:4" ht="25.5">
      <c r="A9817" s="341">
        <v>38640</v>
      </c>
      <c r="B9817" s="342" t="s">
        <v>10654</v>
      </c>
      <c r="C9817" s="341" t="s">
        <v>7278</v>
      </c>
      <c r="D9817" s="343">
        <v>2.58</v>
      </c>
    </row>
    <row r="9818" spans="1:4" ht="38.25">
      <c r="A9818" s="341">
        <v>358</v>
      </c>
      <c r="B9818" s="342" t="s">
        <v>10655</v>
      </c>
      <c r="C9818" s="341" t="s">
        <v>7278</v>
      </c>
      <c r="D9818" s="343">
        <v>53.16</v>
      </c>
    </row>
    <row r="9819" spans="1:4" ht="38.25">
      <c r="A9819" s="341">
        <v>359</v>
      </c>
      <c r="B9819" s="342" t="s">
        <v>10656</v>
      </c>
      <c r="C9819" s="341" t="s">
        <v>7278</v>
      </c>
      <c r="D9819" s="343">
        <v>109.19</v>
      </c>
    </row>
    <row r="9820" spans="1:4">
      <c r="A9820" s="341">
        <v>38641</v>
      </c>
      <c r="B9820" s="342" t="s">
        <v>10657</v>
      </c>
      <c r="C9820" s="341" t="s">
        <v>7278</v>
      </c>
      <c r="D9820" s="343">
        <v>107.75</v>
      </c>
    </row>
    <row r="9821" spans="1:4" ht="38.25">
      <c r="A9821" s="341">
        <v>360</v>
      </c>
      <c r="B9821" s="342" t="s">
        <v>10658</v>
      </c>
      <c r="C9821" s="341" t="s">
        <v>7278</v>
      </c>
      <c r="D9821" s="343">
        <v>2.5</v>
      </c>
    </row>
    <row r="9822" spans="1:4" ht="38.25">
      <c r="A9822" s="341">
        <v>4127</v>
      </c>
      <c r="B9822" s="342" t="s">
        <v>10659</v>
      </c>
      <c r="C9822" s="341" t="s">
        <v>7278</v>
      </c>
      <c r="D9822" s="343">
        <v>210.82</v>
      </c>
    </row>
    <row r="9823" spans="1:4" ht="38.25">
      <c r="A9823" s="341">
        <v>4154</v>
      </c>
      <c r="B9823" s="342" t="s">
        <v>10660</v>
      </c>
      <c r="C9823" s="341" t="s">
        <v>7278</v>
      </c>
      <c r="D9823" s="343">
        <v>257.57</v>
      </c>
    </row>
    <row r="9824" spans="1:4" ht="38.25">
      <c r="A9824" s="341">
        <v>4168</v>
      </c>
      <c r="B9824" s="342" t="s">
        <v>10661</v>
      </c>
      <c r="C9824" s="341" t="s">
        <v>7278</v>
      </c>
      <c r="D9824" s="343">
        <v>272.02</v>
      </c>
    </row>
    <row r="9825" spans="1:4" ht="38.25">
      <c r="A9825" s="341">
        <v>4161</v>
      </c>
      <c r="B9825" s="342" t="s">
        <v>10662</v>
      </c>
      <c r="C9825" s="341" t="s">
        <v>7278</v>
      </c>
      <c r="D9825" s="343">
        <v>261.82</v>
      </c>
    </row>
    <row r="9826" spans="1:4" ht="76.5">
      <c r="A9826" s="341">
        <v>42459</v>
      </c>
      <c r="B9826" s="342" t="s">
        <v>10663</v>
      </c>
      <c r="C9826" s="341" t="s">
        <v>7278</v>
      </c>
      <c r="D9826" s="344">
        <v>5382.14</v>
      </c>
    </row>
    <row r="9827" spans="1:4" ht="25.5">
      <c r="A9827" s="341">
        <v>4214</v>
      </c>
      <c r="B9827" s="342" t="s">
        <v>10664</v>
      </c>
      <c r="C9827" s="341" t="s">
        <v>7278</v>
      </c>
      <c r="D9827" s="343">
        <v>4.63</v>
      </c>
    </row>
    <row r="9828" spans="1:4" ht="25.5">
      <c r="A9828" s="341">
        <v>4215</v>
      </c>
      <c r="B9828" s="342" t="s">
        <v>10665</v>
      </c>
      <c r="C9828" s="341" t="s">
        <v>7278</v>
      </c>
      <c r="D9828" s="343">
        <v>3.84</v>
      </c>
    </row>
    <row r="9829" spans="1:4">
      <c r="A9829" s="341">
        <v>4210</v>
      </c>
      <c r="B9829" s="342" t="s">
        <v>10666</v>
      </c>
      <c r="C9829" s="341" t="s">
        <v>7278</v>
      </c>
      <c r="D9829" s="343">
        <v>0.59</v>
      </c>
    </row>
    <row r="9830" spans="1:4">
      <c r="A9830" s="341">
        <v>4212</v>
      </c>
      <c r="B9830" s="342" t="s">
        <v>10667</v>
      </c>
      <c r="C9830" s="341" t="s">
        <v>7278</v>
      </c>
      <c r="D9830" s="343">
        <v>1.54</v>
      </c>
    </row>
    <row r="9831" spans="1:4">
      <c r="A9831" s="341">
        <v>4213</v>
      </c>
      <c r="B9831" s="342" t="s">
        <v>10668</v>
      </c>
      <c r="C9831" s="341" t="s">
        <v>7278</v>
      </c>
      <c r="D9831" s="343">
        <v>8.36</v>
      </c>
    </row>
    <row r="9832" spans="1:4">
      <c r="A9832" s="341">
        <v>4211</v>
      </c>
      <c r="B9832" s="342" t="s">
        <v>10669</v>
      </c>
      <c r="C9832" s="341" t="s">
        <v>7278</v>
      </c>
      <c r="D9832" s="343">
        <v>0.87</v>
      </c>
    </row>
    <row r="9833" spans="1:4" ht="25.5">
      <c r="A9833" s="341">
        <v>4209</v>
      </c>
      <c r="B9833" s="342" t="s">
        <v>10670</v>
      </c>
      <c r="C9833" s="341" t="s">
        <v>7278</v>
      </c>
      <c r="D9833" s="343">
        <v>11.43</v>
      </c>
    </row>
    <row r="9834" spans="1:4" ht="25.5">
      <c r="A9834" s="341">
        <v>4180</v>
      </c>
      <c r="B9834" s="342" t="s">
        <v>10671</v>
      </c>
      <c r="C9834" s="341" t="s">
        <v>7278</v>
      </c>
      <c r="D9834" s="343">
        <v>8.6</v>
      </c>
    </row>
    <row r="9835" spans="1:4" ht="25.5">
      <c r="A9835" s="341">
        <v>4177</v>
      </c>
      <c r="B9835" s="342" t="s">
        <v>10672</v>
      </c>
      <c r="C9835" s="341" t="s">
        <v>7278</v>
      </c>
      <c r="D9835" s="343">
        <v>2.85</v>
      </c>
    </row>
    <row r="9836" spans="1:4" ht="25.5">
      <c r="A9836" s="341">
        <v>4179</v>
      </c>
      <c r="B9836" s="342" t="s">
        <v>10673</v>
      </c>
      <c r="C9836" s="341" t="s">
        <v>7278</v>
      </c>
      <c r="D9836" s="343">
        <v>5.84</v>
      </c>
    </row>
    <row r="9837" spans="1:4" ht="25.5">
      <c r="A9837" s="341">
        <v>4208</v>
      </c>
      <c r="B9837" s="342" t="s">
        <v>10674</v>
      </c>
      <c r="C9837" s="341" t="s">
        <v>7278</v>
      </c>
      <c r="D9837" s="343">
        <v>27.2</v>
      </c>
    </row>
    <row r="9838" spans="1:4" ht="25.5">
      <c r="A9838" s="341">
        <v>4181</v>
      </c>
      <c r="B9838" s="342" t="s">
        <v>10675</v>
      </c>
      <c r="C9838" s="341" t="s">
        <v>7278</v>
      </c>
      <c r="D9838" s="343">
        <v>17.77</v>
      </c>
    </row>
    <row r="9839" spans="1:4" ht="25.5">
      <c r="A9839" s="341">
        <v>4178</v>
      </c>
      <c r="B9839" s="342" t="s">
        <v>10676</v>
      </c>
      <c r="C9839" s="341" t="s">
        <v>7278</v>
      </c>
      <c r="D9839" s="343">
        <v>3.96</v>
      </c>
    </row>
    <row r="9840" spans="1:4" ht="25.5">
      <c r="A9840" s="341">
        <v>4182</v>
      </c>
      <c r="B9840" s="342" t="s">
        <v>10677</v>
      </c>
      <c r="C9840" s="341" t="s">
        <v>7278</v>
      </c>
      <c r="D9840" s="343">
        <v>44.26</v>
      </c>
    </row>
    <row r="9841" spans="1:4" ht="25.5">
      <c r="A9841" s="341">
        <v>4183</v>
      </c>
      <c r="B9841" s="342" t="s">
        <v>10678</v>
      </c>
      <c r="C9841" s="341" t="s">
        <v>7278</v>
      </c>
      <c r="D9841" s="343">
        <v>71.25</v>
      </c>
    </row>
    <row r="9842" spans="1:4" ht="25.5">
      <c r="A9842" s="341">
        <v>4184</v>
      </c>
      <c r="B9842" s="342" t="s">
        <v>10679</v>
      </c>
      <c r="C9842" s="341" t="s">
        <v>7278</v>
      </c>
      <c r="D9842" s="343">
        <v>157.28</v>
      </c>
    </row>
    <row r="9843" spans="1:4" ht="25.5">
      <c r="A9843" s="341">
        <v>4185</v>
      </c>
      <c r="B9843" s="342" t="s">
        <v>10680</v>
      </c>
      <c r="C9843" s="341" t="s">
        <v>7278</v>
      </c>
      <c r="D9843" s="343">
        <v>261.33999999999997</v>
      </c>
    </row>
    <row r="9844" spans="1:4" ht="25.5">
      <c r="A9844" s="341">
        <v>4205</v>
      </c>
      <c r="B9844" s="342" t="s">
        <v>10681</v>
      </c>
      <c r="C9844" s="341" t="s">
        <v>7278</v>
      </c>
      <c r="D9844" s="343">
        <v>15.09</v>
      </c>
    </row>
    <row r="9845" spans="1:4" ht="25.5">
      <c r="A9845" s="341">
        <v>4192</v>
      </c>
      <c r="B9845" s="342" t="s">
        <v>10682</v>
      </c>
      <c r="C9845" s="341" t="s">
        <v>7278</v>
      </c>
      <c r="D9845" s="343">
        <v>15.09</v>
      </c>
    </row>
    <row r="9846" spans="1:4" ht="25.5">
      <c r="A9846" s="341">
        <v>4191</v>
      </c>
      <c r="B9846" s="342" t="s">
        <v>10683</v>
      </c>
      <c r="C9846" s="341" t="s">
        <v>7278</v>
      </c>
      <c r="D9846" s="343">
        <v>15.09</v>
      </c>
    </row>
    <row r="9847" spans="1:4" ht="25.5">
      <c r="A9847" s="341">
        <v>4207</v>
      </c>
      <c r="B9847" s="342" t="s">
        <v>10684</v>
      </c>
      <c r="C9847" s="341" t="s">
        <v>7278</v>
      </c>
      <c r="D9847" s="343">
        <v>12.14</v>
      </c>
    </row>
    <row r="9848" spans="1:4" ht="25.5">
      <c r="A9848" s="341">
        <v>4206</v>
      </c>
      <c r="B9848" s="342" t="s">
        <v>10685</v>
      </c>
      <c r="C9848" s="341" t="s">
        <v>7278</v>
      </c>
      <c r="D9848" s="343">
        <v>11.79</v>
      </c>
    </row>
    <row r="9849" spans="1:4" ht="25.5">
      <c r="A9849" s="341">
        <v>4190</v>
      </c>
      <c r="B9849" s="342" t="s">
        <v>10686</v>
      </c>
      <c r="C9849" s="341" t="s">
        <v>7278</v>
      </c>
      <c r="D9849" s="343">
        <v>11.79</v>
      </c>
    </row>
    <row r="9850" spans="1:4" ht="25.5">
      <c r="A9850" s="341">
        <v>4186</v>
      </c>
      <c r="B9850" s="342" t="s">
        <v>10687</v>
      </c>
      <c r="C9850" s="341" t="s">
        <v>7278</v>
      </c>
      <c r="D9850" s="343">
        <v>3.48</v>
      </c>
    </row>
    <row r="9851" spans="1:4" ht="25.5">
      <c r="A9851" s="341">
        <v>4188</v>
      </c>
      <c r="B9851" s="342" t="s">
        <v>10688</v>
      </c>
      <c r="C9851" s="341" t="s">
        <v>7278</v>
      </c>
      <c r="D9851" s="343">
        <v>7.11</v>
      </c>
    </row>
    <row r="9852" spans="1:4" ht="25.5">
      <c r="A9852" s="341">
        <v>4189</v>
      </c>
      <c r="B9852" s="342" t="s">
        <v>10689</v>
      </c>
      <c r="C9852" s="341" t="s">
        <v>7278</v>
      </c>
      <c r="D9852" s="343">
        <v>7.11</v>
      </c>
    </row>
    <row r="9853" spans="1:4" ht="25.5">
      <c r="A9853" s="341">
        <v>4197</v>
      </c>
      <c r="B9853" s="342" t="s">
        <v>10690</v>
      </c>
      <c r="C9853" s="341" t="s">
        <v>7278</v>
      </c>
      <c r="D9853" s="343">
        <v>37.68</v>
      </c>
    </row>
    <row r="9854" spans="1:4" ht="25.5">
      <c r="A9854" s="341">
        <v>4194</v>
      </c>
      <c r="B9854" s="342" t="s">
        <v>10691</v>
      </c>
      <c r="C9854" s="341" t="s">
        <v>7278</v>
      </c>
      <c r="D9854" s="343">
        <v>22.77</v>
      </c>
    </row>
    <row r="9855" spans="1:4" ht="25.5">
      <c r="A9855" s="341">
        <v>4193</v>
      </c>
      <c r="B9855" s="342" t="s">
        <v>10692</v>
      </c>
      <c r="C9855" s="341" t="s">
        <v>7278</v>
      </c>
      <c r="D9855" s="343">
        <v>22.77</v>
      </c>
    </row>
    <row r="9856" spans="1:4" ht="25.5">
      <c r="A9856" s="341">
        <v>4204</v>
      </c>
      <c r="B9856" s="342" t="s">
        <v>10693</v>
      </c>
      <c r="C9856" s="341" t="s">
        <v>7278</v>
      </c>
      <c r="D9856" s="343">
        <v>22.77</v>
      </c>
    </row>
    <row r="9857" spans="1:4" ht="25.5">
      <c r="A9857" s="341">
        <v>4187</v>
      </c>
      <c r="B9857" s="342" t="s">
        <v>10694</v>
      </c>
      <c r="C9857" s="341" t="s">
        <v>7278</v>
      </c>
      <c r="D9857" s="343">
        <v>4.54</v>
      </c>
    </row>
    <row r="9858" spans="1:4" ht="25.5">
      <c r="A9858" s="341">
        <v>4202</v>
      </c>
      <c r="B9858" s="342" t="s">
        <v>10695</v>
      </c>
      <c r="C9858" s="341" t="s">
        <v>7278</v>
      </c>
      <c r="D9858" s="343">
        <v>68.819999999999993</v>
      </c>
    </row>
    <row r="9859" spans="1:4" ht="25.5">
      <c r="A9859" s="341">
        <v>4203</v>
      </c>
      <c r="B9859" s="342" t="s">
        <v>10696</v>
      </c>
      <c r="C9859" s="341" t="s">
        <v>7278</v>
      </c>
      <c r="D9859" s="343">
        <v>60.78</v>
      </c>
    </row>
    <row r="9860" spans="1:4" ht="25.5">
      <c r="A9860" s="341">
        <v>40368</v>
      </c>
      <c r="B9860" s="342" t="s">
        <v>10697</v>
      </c>
      <c r="C9860" s="341" t="s">
        <v>7278</v>
      </c>
      <c r="D9860" s="343">
        <v>25.36</v>
      </c>
    </row>
    <row r="9861" spans="1:4" ht="25.5">
      <c r="A9861" s="341">
        <v>40365</v>
      </c>
      <c r="B9861" s="342" t="s">
        <v>10698</v>
      </c>
      <c r="C9861" s="341" t="s">
        <v>7278</v>
      </c>
      <c r="D9861" s="343">
        <v>17.11</v>
      </c>
    </row>
    <row r="9862" spans="1:4" ht="25.5">
      <c r="A9862" s="341">
        <v>40356</v>
      </c>
      <c r="B9862" s="342" t="s">
        <v>10699</v>
      </c>
      <c r="C9862" s="341" t="s">
        <v>7278</v>
      </c>
      <c r="D9862" s="343">
        <v>5.84</v>
      </c>
    </row>
    <row r="9863" spans="1:4" ht="25.5">
      <c r="A9863" s="341">
        <v>40362</v>
      </c>
      <c r="B9863" s="342" t="s">
        <v>10700</v>
      </c>
      <c r="C9863" s="341" t="s">
        <v>7278</v>
      </c>
      <c r="D9863" s="343">
        <v>11.33</v>
      </c>
    </row>
    <row r="9864" spans="1:4" ht="25.5">
      <c r="A9864" s="341">
        <v>40374</v>
      </c>
      <c r="B9864" s="342" t="s">
        <v>10701</v>
      </c>
      <c r="C9864" s="341" t="s">
        <v>7278</v>
      </c>
      <c r="D9864" s="343">
        <v>66.290000000000006</v>
      </c>
    </row>
    <row r="9865" spans="1:4" ht="25.5">
      <c r="A9865" s="341">
        <v>40371</v>
      </c>
      <c r="B9865" s="342" t="s">
        <v>10702</v>
      </c>
      <c r="C9865" s="341" t="s">
        <v>7278</v>
      </c>
      <c r="D9865" s="343">
        <v>41.73</v>
      </c>
    </row>
    <row r="9866" spans="1:4" ht="25.5">
      <c r="A9866" s="341">
        <v>40359</v>
      </c>
      <c r="B9866" s="342" t="s">
        <v>10703</v>
      </c>
      <c r="C9866" s="341" t="s">
        <v>7278</v>
      </c>
      <c r="D9866" s="343">
        <v>7.55</v>
      </c>
    </row>
    <row r="9867" spans="1:4">
      <c r="A9867" s="341">
        <v>7595</v>
      </c>
      <c r="B9867" s="342" t="s">
        <v>10704</v>
      </c>
      <c r="C9867" s="341" t="s">
        <v>7275</v>
      </c>
      <c r="D9867" s="343">
        <v>6.51</v>
      </c>
    </row>
    <row r="9868" spans="1:4">
      <c r="A9868" s="341">
        <v>41094</v>
      </c>
      <c r="B9868" s="342" t="s">
        <v>10705</v>
      </c>
      <c r="C9868" s="341" t="s">
        <v>7466</v>
      </c>
      <c r="D9868" s="344">
        <v>1206.48</v>
      </c>
    </row>
    <row r="9869" spans="1:4" ht="38.25">
      <c r="A9869" s="341">
        <v>38175</v>
      </c>
      <c r="B9869" s="342" t="s">
        <v>10706</v>
      </c>
      <c r="C9869" s="341" t="s">
        <v>7278</v>
      </c>
      <c r="D9869" s="343">
        <v>2.41</v>
      </c>
    </row>
    <row r="9870" spans="1:4" ht="38.25">
      <c r="A9870" s="341">
        <v>38176</v>
      </c>
      <c r="B9870" s="342" t="s">
        <v>10707</v>
      </c>
      <c r="C9870" s="341" t="s">
        <v>7278</v>
      </c>
      <c r="D9870" s="343">
        <v>6.53</v>
      </c>
    </row>
    <row r="9871" spans="1:4" ht="38.25">
      <c r="A9871" s="341">
        <v>36152</v>
      </c>
      <c r="B9871" s="342" t="s">
        <v>10708</v>
      </c>
      <c r="C9871" s="341" t="s">
        <v>7278</v>
      </c>
      <c r="D9871" s="343">
        <v>5.38</v>
      </c>
    </row>
    <row r="9872" spans="1:4">
      <c r="A9872" s="341">
        <v>11138</v>
      </c>
      <c r="B9872" s="342" t="s">
        <v>10709</v>
      </c>
      <c r="C9872" s="341" t="s">
        <v>7340</v>
      </c>
      <c r="D9872" s="343">
        <v>2.37</v>
      </c>
    </row>
    <row r="9873" spans="1:4">
      <c r="A9873" s="341">
        <v>5333</v>
      </c>
      <c r="B9873" s="342" t="s">
        <v>10710</v>
      </c>
      <c r="C9873" s="341" t="s">
        <v>7340</v>
      </c>
      <c r="D9873" s="343">
        <v>17.440000000000001</v>
      </c>
    </row>
    <row r="9874" spans="1:4">
      <c r="A9874" s="341">
        <v>4221</v>
      </c>
      <c r="B9874" s="342" t="s">
        <v>10711</v>
      </c>
      <c r="C9874" s="341" t="s">
        <v>7340</v>
      </c>
      <c r="D9874" s="343">
        <v>3.69</v>
      </c>
    </row>
    <row r="9875" spans="1:4" ht="38.25">
      <c r="A9875" s="341">
        <v>4227</v>
      </c>
      <c r="B9875" s="342" t="s">
        <v>10712</v>
      </c>
      <c r="C9875" s="341" t="s">
        <v>7340</v>
      </c>
      <c r="D9875" s="343">
        <v>11.2</v>
      </c>
    </row>
    <row r="9876" spans="1:4" ht="51">
      <c r="A9876" s="341">
        <v>38170</v>
      </c>
      <c r="B9876" s="342" t="s">
        <v>10713</v>
      </c>
      <c r="C9876" s="341" t="s">
        <v>7278</v>
      </c>
      <c r="D9876" s="343">
        <v>11</v>
      </c>
    </row>
    <row r="9877" spans="1:4">
      <c r="A9877" s="341">
        <v>4252</v>
      </c>
      <c r="B9877" s="342" t="s">
        <v>10714</v>
      </c>
      <c r="C9877" s="341" t="s">
        <v>7275</v>
      </c>
      <c r="D9877" s="343">
        <v>10.96</v>
      </c>
    </row>
    <row r="9878" spans="1:4">
      <c r="A9878" s="341">
        <v>40980</v>
      </c>
      <c r="B9878" s="342" t="s">
        <v>10715</v>
      </c>
      <c r="C9878" s="341" t="s">
        <v>7466</v>
      </c>
      <c r="D9878" s="344">
        <v>1934.23</v>
      </c>
    </row>
    <row r="9879" spans="1:4">
      <c r="A9879" s="341">
        <v>4243</v>
      </c>
      <c r="B9879" s="342" t="s">
        <v>10716</v>
      </c>
      <c r="C9879" s="341" t="s">
        <v>7275</v>
      </c>
      <c r="D9879" s="343">
        <v>9.4</v>
      </c>
    </row>
    <row r="9880" spans="1:4" ht="25.5">
      <c r="A9880" s="341">
        <v>41031</v>
      </c>
      <c r="B9880" s="342" t="s">
        <v>10717</v>
      </c>
      <c r="C9880" s="341" t="s">
        <v>7466</v>
      </c>
      <c r="D9880" s="344">
        <v>1658.83</v>
      </c>
    </row>
    <row r="9881" spans="1:4" ht="25.5">
      <c r="A9881" s="341">
        <v>40986</v>
      </c>
      <c r="B9881" s="342" t="s">
        <v>10718</v>
      </c>
      <c r="C9881" s="341" t="s">
        <v>7466</v>
      </c>
      <c r="D9881" s="344">
        <v>1600.82</v>
      </c>
    </row>
    <row r="9882" spans="1:4" ht="25.5">
      <c r="A9882" s="341">
        <v>37666</v>
      </c>
      <c r="B9882" s="342" t="s">
        <v>10719</v>
      </c>
      <c r="C9882" s="341" t="s">
        <v>7275</v>
      </c>
      <c r="D9882" s="343">
        <v>9.06</v>
      </c>
    </row>
    <row r="9883" spans="1:4" ht="25.5">
      <c r="A9883" s="341">
        <v>4250</v>
      </c>
      <c r="B9883" s="342" t="s">
        <v>10720</v>
      </c>
      <c r="C9883" s="341" t="s">
        <v>7275</v>
      </c>
      <c r="D9883" s="343">
        <v>9.89</v>
      </c>
    </row>
    <row r="9884" spans="1:4" ht="25.5">
      <c r="A9884" s="341">
        <v>40978</v>
      </c>
      <c r="B9884" s="342" t="s">
        <v>10721</v>
      </c>
      <c r="C9884" s="341" t="s">
        <v>7466</v>
      </c>
      <c r="D9884" s="344">
        <v>1744.68</v>
      </c>
    </row>
    <row r="9885" spans="1:4" ht="25.5">
      <c r="A9885" s="341">
        <v>25960</v>
      </c>
      <c r="B9885" s="342" t="s">
        <v>10722</v>
      </c>
      <c r="C9885" s="341" t="s">
        <v>7275</v>
      </c>
      <c r="D9885" s="343">
        <v>11.57</v>
      </c>
    </row>
    <row r="9886" spans="1:4" ht="25.5">
      <c r="A9886" s="341">
        <v>41043</v>
      </c>
      <c r="B9886" s="342" t="s">
        <v>10723</v>
      </c>
      <c r="C9886" s="341" t="s">
        <v>7466</v>
      </c>
      <c r="D9886" s="344">
        <v>2041.62</v>
      </c>
    </row>
    <row r="9887" spans="1:4">
      <c r="A9887" s="341">
        <v>4234</v>
      </c>
      <c r="B9887" s="342" t="s">
        <v>10724</v>
      </c>
      <c r="C9887" s="341" t="s">
        <v>7275</v>
      </c>
      <c r="D9887" s="343">
        <v>12.68</v>
      </c>
    </row>
    <row r="9888" spans="1:4">
      <c r="A9888" s="341">
        <v>40987</v>
      </c>
      <c r="B9888" s="342" t="s">
        <v>10725</v>
      </c>
      <c r="C9888" s="341" t="s">
        <v>7466</v>
      </c>
      <c r="D9888" s="344">
        <v>2236.52</v>
      </c>
    </row>
    <row r="9889" spans="1:4">
      <c r="A9889" s="341">
        <v>4253</v>
      </c>
      <c r="B9889" s="342" t="s">
        <v>10726</v>
      </c>
      <c r="C9889" s="341" t="s">
        <v>7275</v>
      </c>
      <c r="D9889" s="343">
        <v>9.11</v>
      </c>
    </row>
    <row r="9890" spans="1:4" ht="25.5">
      <c r="A9890" s="341">
        <v>40981</v>
      </c>
      <c r="B9890" s="342" t="s">
        <v>10727</v>
      </c>
      <c r="C9890" s="341" t="s">
        <v>7466</v>
      </c>
      <c r="D9890" s="344">
        <v>1608.74</v>
      </c>
    </row>
    <row r="9891" spans="1:4">
      <c r="A9891" s="341">
        <v>4254</v>
      </c>
      <c r="B9891" s="342" t="s">
        <v>10728</v>
      </c>
      <c r="C9891" s="341" t="s">
        <v>7275</v>
      </c>
      <c r="D9891" s="343">
        <v>9.17</v>
      </c>
    </row>
    <row r="9892" spans="1:4">
      <c r="A9892" s="341">
        <v>41036</v>
      </c>
      <c r="B9892" s="342" t="s">
        <v>10729</v>
      </c>
      <c r="C9892" s="341" t="s">
        <v>7466</v>
      </c>
      <c r="D9892" s="344">
        <v>1617.57</v>
      </c>
    </row>
    <row r="9893" spans="1:4">
      <c r="A9893" s="341">
        <v>4251</v>
      </c>
      <c r="B9893" s="342" t="s">
        <v>10730</v>
      </c>
      <c r="C9893" s="341" t="s">
        <v>7275</v>
      </c>
      <c r="D9893" s="343">
        <v>13.89</v>
      </c>
    </row>
    <row r="9894" spans="1:4" ht="25.5">
      <c r="A9894" s="341">
        <v>40979</v>
      </c>
      <c r="B9894" s="342" t="s">
        <v>10731</v>
      </c>
      <c r="C9894" s="341" t="s">
        <v>7466</v>
      </c>
      <c r="D9894" s="344">
        <v>2451.71</v>
      </c>
    </row>
    <row r="9895" spans="1:4" ht="25.5">
      <c r="A9895" s="341">
        <v>4230</v>
      </c>
      <c r="B9895" s="342" t="s">
        <v>10732</v>
      </c>
      <c r="C9895" s="341" t="s">
        <v>7275</v>
      </c>
      <c r="D9895" s="343">
        <v>9.66</v>
      </c>
    </row>
    <row r="9896" spans="1:4" ht="25.5">
      <c r="A9896" s="341">
        <v>40998</v>
      </c>
      <c r="B9896" s="342" t="s">
        <v>10733</v>
      </c>
      <c r="C9896" s="341" t="s">
        <v>7466</v>
      </c>
      <c r="D9896" s="344">
        <v>1704.91</v>
      </c>
    </row>
    <row r="9897" spans="1:4">
      <c r="A9897" s="341">
        <v>4257</v>
      </c>
      <c r="B9897" s="342" t="s">
        <v>10734</v>
      </c>
      <c r="C9897" s="341" t="s">
        <v>7275</v>
      </c>
      <c r="D9897" s="343">
        <v>7.6</v>
      </c>
    </row>
    <row r="9898" spans="1:4" ht="25.5">
      <c r="A9898" s="341">
        <v>40982</v>
      </c>
      <c r="B9898" s="342" t="s">
        <v>10735</v>
      </c>
      <c r="C9898" s="341" t="s">
        <v>7466</v>
      </c>
      <c r="D9898" s="344">
        <v>1344.04</v>
      </c>
    </row>
    <row r="9899" spans="1:4" ht="25.5">
      <c r="A9899" s="341">
        <v>41029</v>
      </c>
      <c r="B9899" s="342" t="s">
        <v>10736</v>
      </c>
      <c r="C9899" s="341" t="s">
        <v>7466</v>
      </c>
      <c r="D9899" s="344">
        <v>1894.08</v>
      </c>
    </row>
    <row r="9900" spans="1:4">
      <c r="A9900" s="341">
        <v>4240</v>
      </c>
      <c r="B9900" s="342" t="s">
        <v>10737</v>
      </c>
      <c r="C9900" s="341" t="s">
        <v>7275</v>
      </c>
      <c r="D9900" s="343">
        <v>11.76</v>
      </c>
    </row>
    <row r="9901" spans="1:4">
      <c r="A9901" s="341">
        <v>41026</v>
      </c>
      <c r="B9901" s="342" t="s">
        <v>10738</v>
      </c>
      <c r="C9901" s="341" t="s">
        <v>7466</v>
      </c>
      <c r="D9901" s="344">
        <v>2076.4299999999998</v>
      </c>
    </row>
    <row r="9902" spans="1:4">
      <c r="A9902" s="341">
        <v>4239</v>
      </c>
      <c r="B9902" s="342" t="s">
        <v>10739</v>
      </c>
      <c r="C9902" s="341" t="s">
        <v>7275</v>
      </c>
      <c r="D9902" s="343">
        <v>14.44</v>
      </c>
    </row>
    <row r="9903" spans="1:4">
      <c r="A9903" s="341">
        <v>41024</v>
      </c>
      <c r="B9903" s="342" t="s">
        <v>10740</v>
      </c>
      <c r="C9903" s="341" t="s">
        <v>7466</v>
      </c>
      <c r="D9903" s="344">
        <v>2547.4</v>
      </c>
    </row>
    <row r="9904" spans="1:4">
      <c r="A9904" s="341">
        <v>4248</v>
      </c>
      <c r="B9904" s="342" t="s">
        <v>10741</v>
      </c>
      <c r="C9904" s="341" t="s">
        <v>7275</v>
      </c>
      <c r="D9904" s="343">
        <v>10.53</v>
      </c>
    </row>
    <row r="9905" spans="1:4">
      <c r="A9905" s="341">
        <v>41033</v>
      </c>
      <c r="B9905" s="342" t="s">
        <v>10742</v>
      </c>
      <c r="C9905" s="341" t="s">
        <v>7466</v>
      </c>
      <c r="D9905" s="344">
        <v>1860.27</v>
      </c>
    </row>
    <row r="9906" spans="1:4">
      <c r="A9906" s="341">
        <v>25959</v>
      </c>
      <c r="B9906" s="342" t="s">
        <v>10743</v>
      </c>
      <c r="C9906" s="341" t="s">
        <v>7275</v>
      </c>
      <c r="D9906" s="343">
        <v>12.15</v>
      </c>
    </row>
    <row r="9907" spans="1:4" ht="25.5">
      <c r="A9907" s="341">
        <v>41040</v>
      </c>
      <c r="B9907" s="342" t="s">
        <v>10744</v>
      </c>
      <c r="C9907" s="341" t="s">
        <v>7466</v>
      </c>
      <c r="D9907" s="344">
        <v>2143.71</v>
      </c>
    </row>
    <row r="9908" spans="1:4">
      <c r="A9908" s="341">
        <v>4238</v>
      </c>
      <c r="B9908" s="342" t="s">
        <v>10745</v>
      </c>
      <c r="C9908" s="341" t="s">
        <v>7275</v>
      </c>
      <c r="D9908" s="343">
        <v>9.66</v>
      </c>
    </row>
    <row r="9909" spans="1:4" ht="25.5">
      <c r="A9909" s="341">
        <v>41012</v>
      </c>
      <c r="B9909" s="342" t="s">
        <v>10746</v>
      </c>
      <c r="C9909" s="341" t="s">
        <v>7466</v>
      </c>
      <c r="D9909" s="344">
        <v>1704.91</v>
      </c>
    </row>
    <row r="9910" spans="1:4" ht="25.5">
      <c r="A9910" s="341">
        <v>4237</v>
      </c>
      <c r="B9910" s="342" t="s">
        <v>10747</v>
      </c>
      <c r="C9910" s="341" t="s">
        <v>7275</v>
      </c>
      <c r="D9910" s="343">
        <v>9.74</v>
      </c>
    </row>
    <row r="9911" spans="1:4" ht="25.5">
      <c r="A9911" s="341">
        <v>41002</v>
      </c>
      <c r="B9911" s="342" t="s">
        <v>10748</v>
      </c>
      <c r="C9911" s="341" t="s">
        <v>7466</v>
      </c>
      <c r="D9911" s="344">
        <v>1718.32</v>
      </c>
    </row>
    <row r="9912" spans="1:4" ht="25.5">
      <c r="A9912" s="341">
        <v>4233</v>
      </c>
      <c r="B9912" s="342" t="s">
        <v>10749</v>
      </c>
      <c r="C9912" s="341" t="s">
        <v>7275</v>
      </c>
      <c r="D9912" s="343">
        <v>10.44</v>
      </c>
    </row>
    <row r="9913" spans="1:4" ht="25.5">
      <c r="A9913" s="341">
        <v>41001</v>
      </c>
      <c r="B9913" s="342" t="s">
        <v>10750</v>
      </c>
      <c r="C9913" s="341" t="s">
        <v>7466</v>
      </c>
      <c r="D9913" s="344">
        <v>1840.94</v>
      </c>
    </row>
    <row r="9914" spans="1:4" ht="25.5">
      <c r="A9914" s="341">
        <v>2</v>
      </c>
      <c r="B9914" s="342" t="s">
        <v>10751</v>
      </c>
      <c r="C9914" s="341" t="s">
        <v>7283</v>
      </c>
      <c r="D9914" s="343">
        <v>12.05</v>
      </c>
    </row>
    <row r="9915" spans="1:4" ht="38.25">
      <c r="A9915" s="341">
        <v>36517</v>
      </c>
      <c r="B9915" s="342" t="s">
        <v>10752</v>
      </c>
      <c r="C9915" s="341" t="s">
        <v>7278</v>
      </c>
      <c r="D9915" s="344">
        <v>230880</v>
      </c>
    </row>
    <row r="9916" spans="1:4" ht="38.25">
      <c r="A9916" s="341">
        <v>4262</v>
      </c>
      <c r="B9916" s="342" t="s">
        <v>10753</v>
      </c>
      <c r="C9916" s="341" t="s">
        <v>7278</v>
      </c>
      <c r="D9916" s="344">
        <v>260000</v>
      </c>
    </row>
    <row r="9917" spans="1:4" ht="38.25">
      <c r="A9917" s="341">
        <v>4263</v>
      </c>
      <c r="B9917" s="342" t="s">
        <v>10754</v>
      </c>
      <c r="C9917" s="341" t="s">
        <v>7278</v>
      </c>
      <c r="D9917" s="344">
        <v>360533.31</v>
      </c>
    </row>
    <row r="9918" spans="1:4" ht="38.25">
      <c r="A9918" s="341">
        <v>36518</v>
      </c>
      <c r="B9918" s="342" t="s">
        <v>10755</v>
      </c>
      <c r="C9918" s="341" t="s">
        <v>7278</v>
      </c>
      <c r="D9918" s="344">
        <v>410453.31</v>
      </c>
    </row>
    <row r="9919" spans="1:4" ht="38.25">
      <c r="A9919" s="341">
        <v>14221</v>
      </c>
      <c r="B9919" s="342" t="s">
        <v>10756</v>
      </c>
      <c r="C9919" s="341" t="s">
        <v>7278</v>
      </c>
      <c r="D9919" s="344">
        <v>239546.65</v>
      </c>
    </row>
    <row r="9920" spans="1:4">
      <c r="A9920" s="341">
        <v>38402</v>
      </c>
      <c r="B9920" s="342" t="s">
        <v>10757</v>
      </c>
      <c r="C9920" s="341" t="s">
        <v>7278</v>
      </c>
      <c r="D9920" s="343">
        <v>6.03</v>
      </c>
    </row>
    <row r="9921" spans="1:4" ht="25.5">
      <c r="A9921" s="341">
        <v>3412</v>
      </c>
      <c r="B9921" s="342" t="s">
        <v>10758</v>
      </c>
      <c r="C9921" s="341" t="s">
        <v>7273</v>
      </c>
      <c r="D9921" s="343">
        <v>16.07</v>
      </c>
    </row>
    <row r="9922" spans="1:4" ht="25.5">
      <c r="A9922" s="341">
        <v>3413</v>
      </c>
      <c r="B9922" s="342" t="s">
        <v>10759</v>
      </c>
      <c r="C9922" s="341" t="s">
        <v>7273</v>
      </c>
      <c r="D9922" s="343">
        <v>36.19</v>
      </c>
    </row>
    <row r="9923" spans="1:4" ht="25.5">
      <c r="A9923" s="341">
        <v>39744</v>
      </c>
      <c r="B9923" s="342" t="s">
        <v>10760</v>
      </c>
      <c r="C9923" s="341" t="s">
        <v>7273</v>
      </c>
      <c r="D9923" s="343">
        <v>28.1</v>
      </c>
    </row>
    <row r="9924" spans="1:4" ht="25.5">
      <c r="A9924" s="341">
        <v>39745</v>
      </c>
      <c r="B9924" s="342" t="s">
        <v>10761</v>
      </c>
      <c r="C9924" s="341" t="s">
        <v>7273</v>
      </c>
      <c r="D9924" s="343">
        <v>59.3</v>
      </c>
    </row>
    <row r="9925" spans="1:4" ht="38.25">
      <c r="A9925" s="341">
        <v>39637</v>
      </c>
      <c r="B9925" s="342" t="s">
        <v>10762</v>
      </c>
      <c r="C9925" s="341" t="s">
        <v>7273</v>
      </c>
      <c r="D9925" s="343">
        <v>62.09</v>
      </c>
    </row>
    <row r="9926" spans="1:4" ht="38.25">
      <c r="A9926" s="341">
        <v>39638</v>
      </c>
      <c r="B9926" s="342" t="s">
        <v>10763</v>
      </c>
      <c r="C9926" s="341" t="s">
        <v>7273</v>
      </c>
      <c r="D9926" s="343">
        <v>115.62</v>
      </c>
    </row>
    <row r="9927" spans="1:4" ht="38.25">
      <c r="A9927" s="341">
        <v>39639</v>
      </c>
      <c r="B9927" s="342" t="s">
        <v>10764</v>
      </c>
      <c r="C9927" s="341" t="s">
        <v>7273</v>
      </c>
      <c r="D9927" s="343">
        <v>152.44</v>
      </c>
    </row>
    <row r="9928" spans="1:4" ht="63.75">
      <c r="A9928" s="341">
        <v>39517</v>
      </c>
      <c r="B9928" s="342" t="s">
        <v>10765</v>
      </c>
      <c r="C9928" s="341" t="s">
        <v>7273</v>
      </c>
      <c r="D9928" s="343">
        <v>139.31</v>
      </c>
    </row>
    <row r="9929" spans="1:4" ht="63.75">
      <c r="A9929" s="341">
        <v>39518</v>
      </c>
      <c r="B9929" s="342" t="s">
        <v>10766</v>
      </c>
      <c r="C9929" s="341" t="s">
        <v>7273</v>
      </c>
      <c r="D9929" s="343">
        <v>164.78</v>
      </c>
    </row>
    <row r="9930" spans="1:4">
      <c r="A9930" s="341">
        <v>38366</v>
      </c>
      <c r="B9930" s="342" t="s">
        <v>10767</v>
      </c>
      <c r="C9930" s="341" t="s">
        <v>7273</v>
      </c>
      <c r="D9930" s="343">
        <v>3.83</v>
      </c>
    </row>
    <row r="9931" spans="1:4" ht="25.5">
      <c r="A9931" s="341">
        <v>11703</v>
      </c>
      <c r="B9931" s="342" t="s">
        <v>10768</v>
      </c>
      <c r="C9931" s="341" t="s">
        <v>7278</v>
      </c>
      <c r="D9931" s="343">
        <v>46.06</v>
      </c>
    </row>
    <row r="9932" spans="1:4" ht="25.5">
      <c r="A9932" s="341">
        <v>37400</v>
      </c>
      <c r="B9932" s="342" t="s">
        <v>10769</v>
      </c>
      <c r="C9932" s="341" t="s">
        <v>7278</v>
      </c>
      <c r="D9932" s="343">
        <v>41.32</v>
      </c>
    </row>
    <row r="9933" spans="1:4" ht="51">
      <c r="A9933" s="341">
        <v>25400</v>
      </c>
      <c r="B9933" s="342" t="s">
        <v>10770</v>
      </c>
      <c r="C9933" s="341" t="s">
        <v>7278</v>
      </c>
      <c r="D9933" s="344">
        <v>1119.4000000000001</v>
      </c>
    </row>
    <row r="9934" spans="1:4" ht="25.5">
      <c r="A9934" s="341">
        <v>4272</v>
      </c>
      <c r="B9934" s="342" t="s">
        <v>10771</v>
      </c>
      <c r="C9934" s="341" t="s">
        <v>7278</v>
      </c>
      <c r="D9934" s="343">
        <v>70.97</v>
      </c>
    </row>
    <row r="9935" spans="1:4" ht="25.5">
      <c r="A9935" s="341">
        <v>4276</v>
      </c>
      <c r="B9935" s="342" t="s">
        <v>10772</v>
      </c>
      <c r="C9935" s="341" t="s">
        <v>7278</v>
      </c>
      <c r="D9935" s="343">
        <v>209.47</v>
      </c>
    </row>
    <row r="9936" spans="1:4" ht="25.5">
      <c r="A9936" s="341">
        <v>4273</v>
      </c>
      <c r="B9936" s="342" t="s">
        <v>10773</v>
      </c>
      <c r="C9936" s="341" t="s">
        <v>7278</v>
      </c>
      <c r="D9936" s="343">
        <v>347.97</v>
      </c>
    </row>
    <row r="9937" spans="1:4" ht="51">
      <c r="A9937" s="341">
        <v>4274</v>
      </c>
      <c r="B9937" s="342" t="s">
        <v>10774</v>
      </c>
      <c r="C9937" s="341" t="s">
        <v>7278</v>
      </c>
      <c r="D9937" s="343">
        <v>80.69</v>
      </c>
    </row>
    <row r="9938" spans="1:4" ht="51">
      <c r="A9938" s="341">
        <v>39438</v>
      </c>
      <c r="B9938" s="342" t="s">
        <v>10775</v>
      </c>
      <c r="C9938" s="341" t="s">
        <v>7278</v>
      </c>
      <c r="D9938" s="343">
        <v>0.13</v>
      </c>
    </row>
    <row r="9939" spans="1:4" ht="38.25">
      <c r="A9939" s="341">
        <v>11963</v>
      </c>
      <c r="B9939" s="342" t="s">
        <v>10776</v>
      </c>
      <c r="C9939" s="341" t="s">
        <v>7278</v>
      </c>
      <c r="D9939" s="343">
        <v>5.0199999999999996</v>
      </c>
    </row>
    <row r="9940" spans="1:4" ht="38.25">
      <c r="A9940" s="341">
        <v>11964</v>
      </c>
      <c r="B9940" s="342" t="s">
        <v>10777</v>
      </c>
      <c r="C9940" s="341" t="s">
        <v>7278</v>
      </c>
      <c r="D9940" s="343">
        <v>1.26</v>
      </c>
    </row>
    <row r="9941" spans="1:4" ht="38.25">
      <c r="A9941" s="341">
        <v>4379</v>
      </c>
      <c r="B9941" s="342" t="s">
        <v>10778</v>
      </c>
      <c r="C9941" s="341" t="s">
        <v>7278</v>
      </c>
      <c r="D9941" s="343">
        <v>0.02</v>
      </c>
    </row>
    <row r="9942" spans="1:4" ht="38.25">
      <c r="A9942" s="341">
        <v>4377</v>
      </c>
      <c r="B9942" s="342" t="s">
        <v>10779</v>
      </c>
      <c r="C9942" s="341" t="s">
        <v>7278</v>
      </c>
      <c r="D9942" s="343">
        <v>0.09</v>
      </c>
    </row>
    <row r="9943" spans="1:4" ht="38.25">
      <c r="A9943" s="341">
        <v>4356</v>
      </c>
      <c r="B9943" s="342" t="s">
        <v>10780</v>
      </c>
      <c r="C9943" s="341" t="s">
        <v>7278</v>
      </c>
      <c r="D9943" s="343">
        <v>0.13</v>
      </c>
    </row>
    <row r="9944" spans="1:4" ht="38.25">
      <c r="A9944" s="341">
        <v>13246</v>
      </c>
      <c r="B9944" s="342" t="s">
        <v>10781</v>
      </c>
      <c r="C9944" s="341" t="s">
        <v>7278</v>
      </c>
      <c r="D9944" s="343">
        <v>0.24</v>
      </c>
    </row>
    <row r="9945" spans="1:4" ht="38.25">
      <c r="A9945" s="341">
        <v>4346</v>
      </c>
      <c r="B9945" s="342" t="s">
        <v>10782</v>
      </c>
      <c r="C9945" s="341" t="s">
        <v>7278</v>
      </c>
      <c r="D9945" s="343">
        <v>5.38</v>
      </c>
    </row>
    <row r="9946" spans="1:4" ht="51">
      <c r="A9946" s="341">
        <v>11955</v>
      </c>
      <c r="B9946" s="342" t="s">
        <v>10783</v>
      </c>
      <c r="C9946" s="341" t="s">
        <v>7278</v>
      </c>
      <c r="D9946" s="343">
        <v>2.35</v>
      </c>
    </row>
    <row r="9947" spans="1:4" ht="38.25">
      <c r="A9947" s="341">
        <v>11960</v>
      </c>
      <c r="B9947" s="342" t="s">
        <v>10784</v>
      </c>
      <c r="C9947" s="341" t="s">
        <v>7278</v>
      </c>
      <c r="D9947" s="343">
        <v>7.0000000000000007E-2</v>
      </c>
    </row>
    <row r="9948" spans="1:4" ht="38.25">
      <c r="A9948" s="341">
        <v>4333</v>
      </c>
      <c r="B9948" s="342" t="s">
        <v>10785</v>
      </c>
      <c r="C9948" s="341" t="s">
        <v>7278</v>
      </c>
      <c r="D9948" s="343">
        <v>0.13</v>
      </c>
    </row>
    <row r="9949" spans="1:4" ht="38.25">
      <c r="A9949" s="341">
        <v>4358</v>
      </c>
      <c r="B9949" s="342" t="s">
        <v>10786</v>
      </c>
      <c r="C9949" s="341" t="s">
        <v>7278</v>
      </c>
      <c r="D9949" s="343">
        <v>1.07</v>
      </c>
    </row>
    <row r="9950" spans="1:4" ht="38.25">
      <c r="A9950" s="341">
        <v>39435</v>
      </c>
      <c r="B9950" s="342" t="s">
        <v>10787</v>
      </c>
      <c r="C9950" s="341" t="s">
        <v>7278</v>
      </c>
      <c r="D9950" s="343">
        <v>0.05</v>
      </c>
    </row>
    <row r="9951" spans="1:4" ht="38.25">
      <c r="A9951" s="341">
        <v>39436</v>
      </c>
      <c r="B9951" s="342" t="s">
        <v>10788</v>
      </c>
      <c r="C9951" s="341" t="s">
        <v>7278</v>
      </c>
      <c r="D9951" s="343">
        <v>0.09</v>
      </c>
    </row>
    <row r="9952" spans="1:4" ht="38.25">
      <c r="A9952" s="341">
        <v>39437</v>
      </c>
      <c r="B9952" s="342" t="s">
        <v>10789</v>
      </c>
      <c r="C9952" s="341" t="s">
        <v>7278</v>
      </c>
      <c r="D9952" s="343">
        <v>0.12</v>
      </c>
    </row>
    <row r="9953" spans="1:4" ht="38.25">
      <c r="A9953" s="341">
        <v>39439</v>
      </c>
      <c r="B9953" s="342" t="s">
        <v>10790</v>
      </c>
      <c r="C9953" s="341" t="s">
        <v>7278</v>
      </c>
      <c r="D9953" s="343">
        <v>0.08</v>
      </c>
    </row>
    <row r="9954" spans="1:4" ht="38.25">
      <c r="A9954" s="341">
        <v>39440</v>
      </c>
      <c r="B9954" s="342" t="s">
        <v>10791</v>
      </c>
      <c r="C9954" s="341" t="s">
        <v>7278</v>
      </c>
      <c r="D9954" s="343">
        <v>0.1</v>
      </c>
    </row>
    <row r="9955" spans="1:4" ht="38.25">
      <c r="A9955" s="341">
        <v>39441</v>
      </c>
      <c r="B9955" s="342" t="s">
        <v>10792</v>
      </c>
      <c r="C9955" s="341" t="s">
        <v>7278</v>
      </c>
      <c r="D9955" s="343">
        <v>0.13</v>
      </c>
    </row>
    <row r="9956" spans="1:4" ht="38.25">
      <c r="A9956" s="341">
        <v>39442</v>
      </c>
      <c r="B9956" s="342" t="s">
        <v>10793</v>
      </c>
      <c r="C9956" s="341" t="s">
        <v>7278</v>
      </c>
      <c r="D9956" s="343">
        <v>0.09</v>
      </c>
    </row>
    <row r="9957" spans="1:4" ht="38.25">
      <c r="A9957" s="341">
        <v>39443</v>
      </c>
      <c r="B9957" s="342" t="s">
        <v>10794</v>
      </c>
      <c r="C9957" s="341" t="s">
        <v>7278</v>
      </c>
      <c r="D9957" s="343">
        <v>0.12</v>
      </c>
    </row>
    <row r="9958" spans="1:4" ht="38.25">
      <c r="A9958" s="341">
        <v>4329</v>
      </c>
      <c r="B9958" s="342" t="s">
        <v>10795</v>
      </c>
      <c r="C9958" s="341" t="s">
        <v>7278</v>
      </c>
      <c r="D9958" s="343">
        <v>1.1499999999999999</v>
      </c>
    </row>
    <row r="9959" spans="1:4" ht="51">
      <c r="A9959" s="341">
        <v>4383</v>
      </c>
      <c r="B9959" s="342" t="s">
        <v>10796</v>
      </c>
      <c r="C9959" s="341" t="s">
        <v>7278</v>
      </c>
      <c r="D9959" s="343">
        <v>10.4</v>
      </c>
    </row>
    <row r="9960" spans="1:4" ht="51">
      <c r="A9960" s="341">
        <v>4344</v>
      </c>
      <c r="B9960" s="342" t="s">
        <v>10797</v>
      </c>
      <c r="C9960" s="341" t="s">
        <v>7278</v>
      </c>
      <c r="D9960" s="343">
        <v>10.9</v>
      </c>
    </row>
    <row r="9961" spans="1:4" ht="38.25">
      <c r="A9961" s="341">
        <v>436</v>
      </c>
      <c r="B9961" s="342" t="s">
        <v>10798</v>
      </c>
      <c r="C9961" s="341" t="s">
        <v>7278</v>
      </c>
      <c r="D9961" s="343">
        <v>4.46</v>
      </c>
    </row>
    <row r="9962" spans="1:4" ht="38.25">
      <c r="A9962" s="341">
        <v>442</v>
      </c>
      <c r="B9962" s="342" t="s">
        <v>10799</v>
      </c>
      <c r="C9962" s="341" t="s">
        <v>7278</v>
      </c>
      <c r="D9962" s="343">
        <v>2.64</v>
      </c>
    </row>
    <row r="9963" spans="1:4" ht="25.5">
      <c r="A9963" s="341">
        <v>11953</v>
      </c>
      <c r="B9963" s="342" t="s">
        <v>10800</v>
      </c>
      <c r="C9963" s="341" t="s">
        <v>7278</v>
      </c>
      <c r="D9963" s="343">
        <v>1.72</v>
      </c>
    </row>
    <row r="9964" spans="1:4" ht="38.25">
      <c r="A9964" s="341">
        <v>4335</v>
      </c>
      <c r="B9964" s="342" t="s">
        <v>10801</v>
      </c>
      <c r="C9964" s="341" t="s">
        <v>7278</v>
      </c>
      <c r="D9964" s="343">
        <v>7.32</v>
      </c>
    </row>
    <row r="9965" spans="1:4" ht="38.25">
      <c r="A9965" s="341">
        <v>4334</v>
      </c>
      <c r="B9965" s="342" t="s">
        <v>10802</v>
      </c>
      <c r="C9965" s="341" t="s">
        <v>7278</v>
      </c>
      <c r="D9965" s="343">
        <v>10.039999999999999</v>
      </c>
    </row>
    <row r="9966" spans="1:4" ht="25.5">
      <c r="A9966" s="341">
        <v>4343</v>
      </c>
      <c r="B9966" s="342" t="s">
        <v>10803</v>
      </c>
      <c r="C9966" s="341" t="s">
        <v>7278</v>
      </c>
      <c r="D9966" s="343">
        <v>2.4700000000000002</v>
      </c>
    </row>
    <row r="9967" spans="1:4" ht="38.25">
      <c r="A9967" s="341">
        <v>430</v>
      </c>
      <c r="B9967" s="342" t="s">
        <v>10804</v>
      </c>
      <c r="C9967" s="341" t="s">
        <v>7278</v>
      </c>
      <c r="D9967" s="343">
        <v>3.99</v>
      </c>
    </row>
    <row r="9968" spans="1:4" ht="38.25">
      <c r="A9968" s="341">
        <v>441</v>
      </c>
      <c r="B9968" s="342" t="s">
        <v>10805</v>
      </c>
      <c r="C9968" s="341" t="s">
        <v>7278</v>
      </c>
      <c r="D9968" s="343">
        <v>4.3899999999999997</v>
      </c>
    </row>
    <row r="9969" spans="1:4" ht="38.25">
      <c r="A9969" s="341">
        <v>431</v>
      </c>
      <c r="B9969" s="342" t="s">
        <v>10806</v>
      </c>
      <c r="C9969" s="341" t="s">
        <v>7278</v>
      </c>
      <c r="D9969" s="343">
        <v>5.3</v>
      </c>
    </row>
    <row r="9970" spans="1:4" ht="38.25">
      <c r="A9970" s="341">
        <v>432</v>
      </c>
      <c r="B9970" s="342" t="s">
        <v>10807</v>
      </c>
      <c r="C9970" s="341" t="s">
        <v>7278</v>
      </c>
      <c r="D9970" s="343">
        <v>5.85</v>
      </c>
    </row>
    <row r="9971" spans="1:4" ht="38.25">
      <c r="A9971" s="341">
        <v>429</v>
      </c>
      <c r="B9971" s="342" t="s">
        <v>10808</v>
      </c>
      <c r="C9971" s="341" t="s">
        <v>7278</v>
      </c>
      <c r="D9971" s="343">
        <v>7.89</v>
      </c>
    </row>
    <row r="9972" spans="1:4" ht="38.25">
      <c r="A9972" s="341">
        <v>439</v>
      </c>
      <c r="B9972" s="342" t="s">
        <v>10809</v>
      </c>
      <c r="C9972" s="341" t="s">
        <v>7278</v>
      </c>
      <c r="D9972" s="343">
        <v>6.72</v>
      </c>
    </row>
    <row r="9973" spans="1:4" ht="38.25">
      <c r="A9973" s="341">
        <v>433</v>
      </c>
      <c r="B9973" s="342" t="s">
        <v>10810</v>
      </c>
      <c r="C9973" s="341" t="s">
        <v>7278</v>
      </c>
      <c r="D9973" s="343">
        <v>7.85</v>
      </c>
    </row>
    <row r="9974" spans="1:4" ht="38.25">
      <c r="A9974" s="341">
        <v>437</v>
      </c>
      <c r="B9974" s="342" t="s">
        <v>10811</v>
      </c>
      <c r="C9974" s="341" t="s">
        <v>7278</v>
      </c>
      <c r="D9974" s="343">
        <v>10.43</v>
      </c>
    </row>
    <row r="9975" spans="1:4" ht="38.25">
      <c r="A9975" s="341">
        <v>11790</v>
      </c>
      <c r="B9975" s="342" t="s">
        <v>10812</v>
      </c>
      <c r="C9975" s="341" t="s">
        <v>7278</v>
      </c>
      <c r="D9975" s="343">
        <v>11.83</v>
      </c>
    </row>
    <row r="9976" spans="1:4" ht="51">
      <c r="A9976" s="341">
        <v>428</v>
      </c>
      <c r="B9976" s="342" t="s">
        <v>10813</v>
      </c>
      <c r="C9976" s="341" t="s">
        <v>7278</v>
      </c>
      <c r="D9976" s="343">
        <v>12.87</v>
      </c>
    </row>
    <row r="9977" spans="1:4" ht="51">
      <c r="A9977" s="341">
        <v>4384</v>
      </c>
      <c r="B9977" s="342" t="s">
        <v>10814</v>
      </c>
      <c r="C9977" s="341" t="s">
        <v>7278</v>
      </c>
      <c r="D9977" s="343">
        <v>11.94</v>
      </c>
    </row>
    <row r="9978" spans="1:4" ht="51">
      <c r="A9978" s="341">
        <v>4351</v>
      </c>
      <c r="B9978" s="342" t="s">
        <v>10815</v>
      </c>
      <c r="C9978" s="341" t="s">
        <v>7278</v>
      </c>
      <c r="D9978" s="343">
        <v>8.85</v>
      </c>
    </row>
    <row r="9979" spans="1:4" ht="25.5">
      <c r="A9979" s="341">
        <v>11054</v>
      </c>
      <c r="B9979" s="342" t="s">
        <v>10816</v>
      </c>
      <c r="C9979" s="341" t="s">
        <v>7278</v>
      </c>
      <c r="D9979" s="343">
        <v>0.02</v>
      </c>
    </row>
    <row r="9980" spans="1:4" ht="25.5">
      <c r="A9980" s="341">
        <v>11055</v>
      </c>
      <c r="B9980" s="342" t="s">
        <v>10817</v>
      </c>
      <c r="C9980" s="341" t="s">
        <v>7278</v>
      </c>
      <c r="D9980" s="343">
        <v>0.04</v>
      </c>
    </row>
    <row r="9981" spans="1:4" ht="25.5">
      <c r="A9981" s="341">
        <v>11056</v>
      </c>
      <c r="B9981" s="342" t="s">
        <v>10818</v>
      </c>
      <c r="C9981" s="341" t="s">
        <v>7278</v>
      </c>
      <c r="D9981" s="343">
        <v>0.05</v>
      </c>
    </row>
    <row r="9982" spans="1:4" ht="25.5">
      <c r="A9982" s="341">
        <v>11057</v>
      </c>
      <c r="B9982" s="342" t="s">
        <v>10819</v>
      </c>
      <c r="C9982" s="341" t="s">
        <v>7278</v>
      </c>
      <c r="D9982" s="343">
        <v>0.1</v>
      </c>
    </row>
    <row r="9983" spans="1:4" ht="25.5">
      <c r="A9983" s="341">
        <v>11059</v>
      </c>
      <c r="B9983" s="342" t="s">
        <v>10820</v>
      </c>
      <c r="C9983" s="341" t="s">
        <v>7278</v>
      </c>
      <c r="D9983" s="343">
        <v>0.19</v>
      </c>
    </row>
    <row r="9984" spans="1:4" ht="25.5">
      <c r="A9984" s="341">
        <v>11058</v>
      </c>
      <c r="B9984" s="342" t="s">
        <v>10821</v>
      </c>
      <c r="C9984" s="341" t="s">
        <v>7278</v>
      </c>
      <c r="D9984" s="343">
        <v>0.25</v>
      </c>
    </row>
    <row r="9985" spans="1:4" ht="25.5">
      <c r="A9985" s="341">
        <v>4380</v>
      </c>
      <c r="B9985" s="342" t="s">
        <v>10822</v>
      </c>
      <c r="C9985" s="341" t="s">
        <v>7278</v>
      </c>
      <c r="D9985" s="343">
        <v>0.84</v>
      </c>
    </row>
    <row r="9986" spans="1:4" ht="38.25">
      <c r="A9986" s="341">
        <v>4299</v>
      </c>
      <c r="B9986" s="342" t="s">
        <v>10823</v>
      </c>
      <c r="C9986" s="341" t="s">
        <v>7278</v>
      </c>
      <c r="D9986" s="343">
        <v>0.79</v>
      </c>
    </row>
    <row r="9987" spans="1:4" ht="38.25">
      <c r="A9987" s="341">
        <v>4304</v>
      </c>
      <c r="B9987" s="342" t="s">
        <v>10824</v>
      </c>
      <c r="C9987" s="341" t="s">
        <v>7278</v>
      </c>
      <c r="D9987" s="343">
        <v>1.07</v>
      </c>
    </row>
    <row r="9988" spans="1:4" ht="38.25">
      <c r="A9988" s="341">
        <v>4305</v>
      </c>
      <c r="B9988" s="342" t="s">
        <v>10825</v>
      </c>
      <c r="C9988" s="341" t="s">
        <v>7278</v>
      </c>
      <c r="D9988" s="343">
        <v>1.25</v>
      </c>
    </row>
    <row r="9989" spans="1:4" ht="38.25">
      <c r="A9989" s="341">
        <v>4306</v>
      </c>
      <c r="B9989" s="342" t="s">
        <v>10826</v>
      </c>
      <c r="C9989" s="341" t="s">
        <v>7278</v>
      </c>
      <c r="D9989" s="343">
        <v>1.45</v>
      </c>
    </row>
    <row r="9990" spans="1:4" ht="38.25">
      <c r="A9990" s="341">
        <v>4308</v>
      </c>
      <c r="B9990" s="342" t="s">
        <v>10827</v>
      </c>
      <c r="C9990" s="341" t="s">
        <v>7278</v>
      </c>
      <c r="D9990" s="343">
        <v>3</v>
      </c>
    </row>
    <row r="9991" spans="1:4" ht="38.25">
      <c r="A9991" s="341">
        <v>4302</v>
      </c>
      <c r="B9991" s="342" t="s">
        <v>10828</v>
      </c>
      <c r="C9991" s="341" t="s">
        <v>7278</v>
      </c>
      <c r="D9991" s="343">
        <v>2.25</v>
      </c>
    </row>
    <row r="9992" spans="1:4" ht="38.25">
      <c r="A9992" s="341">
        <v>4300</v>
      </c>
      <c r="B9992" s="342" t="s">
        <v>10829</v>
      </c>
      <c r="C9992" s="341" t="s">
        <v>7278</v>
      </c>
      <c r="D9992" s="343">
        <v>0.53</v>
      </c>
    </row>
    <row r="9993" spans="1:4" ht="38.25">
      <c r="A9993" s="341">
        <v>4301</v>
      </c>
      <c r="B9993" s="342" t="s">
        <v>10830</v>
      </c>
      <c r="C9993" s="341" t="s">
        <v>7278</v>
      </c>
      <c r="D9993" s="343">
        <v>0.65</v>
      </c>
    </row>
    <row r="9994" spans="1:4" ht="38.25">
      <c r="A9994" s="341">
        <v>4320</v>
      </c>
      <c r="B9994" s="342" t="s">
        <v>10831</v>
      </c>
      <c r="C9994" s="341" t="s">
        <v>7278</v>
      </c>
      <c r="D9994" s="343">
        <v>1.99</v>
      </c>
    </row>
    <row r="9995" spans="1:4" ht="38.25">
      <c r="A9995" s="341">
        <v>4318</v>
      </c>
      <c r="B9995" s="342" t="s">
        <v>10832</v>
      </c>
      <c r="C9995" s="341" t="s">
        <v>7278</v>
      </c>
      <c r="D9995" s="343">
        <v>0.97</v>
      </c>
    </row>
    <row r="9996" spans="1:4" ht="25.5">
      <c r="A9996" s="341">
        <v>40547</v>
      </c>
      <c r="B9996" s="342" t="s">
        <v>10833</v>
      </c>
      <c r="C9996" s="341" t="s">
        <v>9521</v>
      </c>
      <c r="D9996" s="343">
        <v>14.52</v>
      </c>
    </row>
    <row r="9997" spans="1:4" ht="25.5">
      <c r="A9997" s="341">
        <v>11962</v>
      </c>
      <c r="B9997" s="342" t="s">
        <v>10834</v>
      </c>
      <c r="C9997" s="341" t="s">
        <v>7278</v>
      </c>
      <c r="D9997" s="343">
        <v>0.11</v>
      </c>
    </row>
    <row r="9998" spans="1:4" ht="25.5">
      <c r="A9998" s="341">
        <v>4332</v>
      </c>
      <c r="B9998" s="342" t="s">
        <v>10835</v>
      </c>
      <c r="C9998" s="341" t="s">
        <v>7278</v>
      </c>
      <c r="D9998" s="343">
        <v>0.56999999999999995</v>
      </c>
    </row>
    <row r="9999" spans="1:4" ht="25.5">
      <c r="A9999" s="341">
        <v>4331</v>
      </c>
      <c r="B9999" s="342" t="s">
        <v>10836</v>
      </c>
      <c r="C9999" s="341" t="s">
        <v>7278</v>
      </c>
      <c r="D9999" s="343">
        <v>2.1800000000000002</v>
      </c>
    </row>
    <row r="10000" spans="1:4" ht="38.25">
      <c r="A10000" s="341">
        <v>4336</v>
      </c>
      <c r="B10000" s="342" t="s">
        <v>10837</v>
      </c>
      <c r="C10000" s="341" t="s">
        <v>7278</v>
      </c>
      <c r="D10000" s="343">
        <v>2.79</v>
      </c>
    </row>
    <row r="10001" spans="1:4" ht="25.5">
      <c r="A10001" s="341">
        <v>13294</v>
      </c>
      <c r="B10001" s="342" t="s">
        <v>10838</v>
      </c>
      <c r="C10001" s="341" t="s">
        <v>7278</v>
      </c>
      <c r="D10001" s="343">
        <v>0.8</v>
      </c>
    </row>
    <row r="10002" spans="1:4" ht="38.25">
      <c r="A10002" s="341">
        <v>11948</v>
      </c>
      <c r="B10002" s="342" t="s">
        <v>10839</v>
      </c>
      <c r="C10002" s="341" t="s">
        <v>7278</v>
      </c>
      <c r="D10002" s="343">
        <v>0.36</v>
      </c>
    </row>
    <row r="10003" spans="1:4" ht="38.25">
      <c r="A10003" s="341">
        <v>4382</v>
      </c>
      <c r="B10003" s="342" t="s">
        <v>10840</v>
      </c>
      <c r="C10003" s="341" t="s">
        <v>7278</v>
      </c>
      <c r="D10003" s="343">
        <v>0.59</v>
      </c>
    </row>
    <row r="10004" spans="1:4" ht="38.25">
      <c r="A10004" s="341">
        <v>4354</v>
      </c>
      <c r="B10004" s="342" t="s">
        <v>10841</v>
      </c>
      <c r="C10004" s="341" t="s">
        <v>7278</v>
      </c>
      <c r="D10004" s="343">
        <v>24.99</v>
      </c>
    </row>
    <row r="10005" spans="1:4" ht="38.25">
      <c r="A10005" s="341">
        <v>40839</v>
      </c>
      <c r="B10005" s="342" t="s">
        <v>10842</v>
      </c>
      <c r="C10005" s="341" t="s">
        <v>9521</v>
      </c>
      <c r="D10005" s="343">
        <v>60.15</v>
      </c>
    </row>
    <row r="10006" spans="1:4" ht="25.5">
      <c r="A10006" s="341">
        <v>40552</v>
      </c>
      <c r="B10006" s="342" t="s">
        <v>10843</v>
      </c>
      <c r="C10006" s="341" t="s">
        <v>9521</v>
      </c>
      <c r="D10006" s="343">
        <v>24.89</v>
      </c>
    </row>
    <row r="10007" spans="1:4" ht="38.25">
      <c r="A10007" s="341">
        <v>40549</v>
      </c>
      <c r="B10007" s="342" t="s">
        <v>10844</v>
      </c>
      <c r="C10007" s="341" t="s">
        <v>9521</v>
      </c>
      <c r="D10007" s="343">
        <v>98.52</v>
      </c>
    </row>
    <row r="10008" spans="1:4" ht="38.25">
      <c r="A10008" s="341">
        <v>4385</v>
      </c>
      <c r="B10008" s="342" t="s">
        <v>10845</v>
      </c>
      <c r="C10008" s="341" t="s">
        <v>7790</v>
      </c>
      <c r="D10008" s="344">
        <v>1254.29</v>
      </c>
    </row>
    <row r="10009" spans="1:4" ht="38.25">
      <c r="A10009" s="341">
        <v>4386</v>
      </c>
      <c r="B10009" s="342" t="s">
        <v>10845</v>
      </c>
      <c r="C10009" s="341" t="s">
        <v>7273</v>
      </c>
      <c r="D10009" s="343">
        <v>53.03</v>
      </c>
    </row>
    <row r="10010" spans="1:4">
      <c r="A10010" s="341">
        <v>38397</v>
      </c>
      <c r="B10010" s="342" t="s">
        <v>10846</v>
      </c>
      <c r="C10010" s="341" t="s">
        <v>7338</v>
      </c>
      <c r="D10010" s="343">
        <v>15.58</v>
      </c>
    </row>
    <row r="10011" spans="1:4" ht="38.25">
      <c r="A10011" s="341">
        <v>20078</v>
      </c>
      <c r="B10011" s="342" t="s">
        <v>10847</v>
      </c>
      <c r="C10011" s="341" t="s">
        <v>7278</v>
      </c>
      <c r="D10011" s="343">
        <v>18.190000000000001</v>
      </c>
    </row>
    <row r="10012" spans="1:4" ht="38.25">
      <c r="A10012" s="341">
        <v>20079</v>
      </c>
      <c r="B10012" s="342" t="s">
        <v>10848</v>
      </c>
      <c r="C10012" s="341" t="s">
        <v>7278</v>
      </c>
      <c r="D10012" s="343">
        <v>113.46</v>
      </c>
    </row>
    <row r="10013" spans="1:4" ht="25.5">
      <c r="A10013" s="341">
        <v>39897</v>
      </c>
      <c r="B10013" s="342" t="s">
        <v>10849</v>
      </c>
      <c r="C10013" s="341" t="s">
        <v>7278</v>
      </c>
      <c r="D10013" s="343">
        <v>23.95</v>
      </c>
    </row>
    <row r="10014" spans="1:4" ht="25.5">
      <c r="A10014" s="341">
        <v>118</v>
      </c>
      <c r="B10014" s="342" t="s">
        <v>10850</v>
      </c>
      <c r="C10014" s="341" t="s">
        <v>7278</v>
      </c>
      <c r="D10014" s="343">
        <v>68.760000000000005</v>
      </c>
    </row>
    <row r="10015" spans="1:4" ht="38.25">
      <c r="A10015" s="341">
        <v>4396</v>
      </c>
      <c r="B10015" s="342" t="s">
        <v>10851</v>
      </c>
      <c r="C10015" s="341" t="s">
        <v>7273</v>
      </c>
      <c r="D10015" s="343">
        <v>84.69</v>
      </c>
    </row>
    <row r="10016" spans="1:4" ht="25.5">
      <c r="A10016" s="341">
        <v>36881</v>
      </c>
      <c r="B10016" s="342" t="s">
        <v>10852</v>
      </c>
      <c r="C10016" s="341" t="s">
        <v>7273</v>
      </c>
      <c r="D10016" s="343">
        <v>75.680000000000007</v>
      </c>
    </row>
    <row r="10017" spans="1:4" ht="25.5">
      <c r="A10017" s="341">
        <v>36882</v>
      </c>
      <c r="B10017" s="342" t="s">
        <v>10853</v>
      </c>
      <c r="C10017" s="341" t="s">
        <v>7273</v>
      </c>
      <c r="D10017" s="343">
        <v>88.29</v>
      </c>
    </row>
    <row r="10018" spans="1:4" ht="38.25">
      <c r="A10018" s="341">
        <v>4397</v>
      </c>
      <c r="B10018" s="342" t="s">
        <v>10854</v>
      </c>
      <c r="C10018" s="341" t="s">
        <v>7273</v>
      </c>
      <c r="D10018" s="343">
        <v>137.33000000000001</v>
      </c>
    </row>
    <row r="10019" spans="1:4" ht="38.25">
      <c r="A10019" s="341">
        <v>34754</v>
      </c>
      <c r="B10019" s="342" t="s">
        <v>10855</v>
      </c>
      <c r="C10019" s="341" t="s">
        <v>7273</v>
      </c>
      <c r="D10019" s="343">
        <v>254.29</v>
      </c>
    </row>
    <row r="10020" spans="1:4" ht="63.75">
      <c r="A10020" s="341">
        <v>25962</v>
      </c>
      <c r="B10020" s="342" t="s">
        <v>10856</v>
      </c>
      <c r="C10020" s="341" t="s">
        <v>7273</v>
      </c>
      <c r="D10020" s="343">
        <v>161.06</v>
      </c>
    </row>
    <row r="10021" spans="1:4" ht="51">
      <c r="A10021" s="341">
        <v>34752</v>
      </c>
      <c r="B10021" s="342" t="s">
        <v>10857</v>
      </c>
      <c r="C10021" s="341" t="s">
        <v>7273</v>
      </c>
      <c r="D10021" s="343">
        <v>283.62</v>
      </c>
    </row>
    <row r="10022" spans="1:4">
      <c r="A10022" s="341">
        <v>4751</v>
      </c>
      <c r="B10022" s="342" t="s">
        <v>10858</v>
      </c>
      <c r="C10022" s="341" t="s">
        <v>7275</v>
      </c>
      <c r="D10022" s="343">
        <v>14.78</v>
      </c>
    </row>
    <row r="10023" spans="1:4">
      <c r="A10023" s="341">
        <v>41066</v>
      </c>
      <c r="B10023" s="342" t="s">
        <v>10859</v>
      </c>
      <c r="C10023" s="341" t="s">
        <v>7466</v>
      </c>
      <c r="D10023" s="344">
        <v>2608.4299999999998</v>
      </c>
    </row>
    <row r="10024" spans="1:4" ht="25.5">
      <c r="A10024" s="341">
        <v>39604</v>
      </c>
      <c r="B10024" s="342" t="s">
        <v>10860</v>
      </c>
      <c r="C10024" s="341" t="s">
        <v>7278</v>
      </c>
      <c r="D10024" s="343">
        <v>9.4499999999999993</v>
      </c>
    </row>
    <row r="10025" spans="1:4" ht="25.5">
      <c r="A10025" s="341">
        <v>39605</v>
      </c>
      <c r="B10025" s="342" t="s">
        <v>10861</v>
      </c>
      <c r="C10025" s="341" t="s">
        <v>7278</v>
      </c>
      <c r="D10025" s="343">
        <v>13.12</v>
      </c>
    </row>
    <row r="10026" spans="1:4" ht="25.5">
      <c r="A10026" s="341">
        <v>39606</v>
      </c>
      <c r="B10026" s="342" t="s">
        <v>10862</v>
      </c>
      <c r="C10026" s="341" t="s">
        <v>7278</v>
      </c>
      <c r="D10026" s="343">
        <v>16.66</v>
      </c>
    </row>
    <row r="10027" spans="1:4" ht="25.5">
      <c r="A10027" s="341">
        <v>39607</v>
      </c>
      <c r="B10027" s="342" t="s">
        <v>10863</v>
      </c>
      <c r="C10027" s="341" t="s">
        <v>7278</v>
      </c>
      <c r="D10027" s="343">
        <v>19.11</v>
      </c>
    </row>
    <row r="10028" spans="1:4" ht="25.5">
      <c r="A10028" s="341">
        <v>39594</v>
      </c>
      <c r="B10028" s="342" t="s">
        <v>10864</v>
      </c>
      <c r="C10028" s="341" t="s">
        <v>7278</v>
      </c>
      <c r="D10028" s="343">
        <v>180.95</v>
      </c>
    </row>
    <row r="10029" spans="1:4" ht="25.5">
      <c r="A10029" s="341">
        <v>39596</v>
      </c>
      <c r="B10029" s="342" t="s">
        <v>10865</v>
      </c>
      <c r="C10029" s="341" t="s">
        <v>7278</v>
      </c>
      <c r="D10029" s="343">
        <v>315.39</v>
      </c>
    </row>
    <row r="10030" spans="1:4" ht="25.5">
      <c r="A10030" s="341">
        <v>39595</v>
      </c>
      <c r="B10030" s="342" t="s">
        <v>10866</v>
      </c>
      <c r="C10030" s="341" t="s">
        <v>7278</v>
      </c>
      <c r="D10030" s="343">
        <v>264.74</v>
      </c>
    </row>
    <row r="10031" spans="1:4" ht="25.5">
      <c r="A10031" s="341">
        <v>39597</v>
      </c>
      <c r="B10031" s="342" t="s">
        <v>10867</v>
      </c>
      <c r="C10031" s="341" t="s">
        <v>7278</v>
      </c>
      <c r="D10031" s="343">
        <v>425.31</v>
      </c>
    </row>
    <row r="10032" spans="1:4" ht="38.25">
      <c r="A10032" s="341">
        <v>20209</v>
      </c>
      <c r="B10032" s="342" t="s">
        <v>10868</v>
      </c>
      <c r="C10032" s="341" t="s">
        <v>7287</v>
      </c>
      <c r="D10032" s="343">
        <v>8.76</v>
      </c>
    </row>
    <row r="10033" spans="1:4" ht="38.25">
      <c r="A10033" s="341">
        <v>4433</v>
      </c>
      <c r="B10033" s="342" t="s">
        <v>10869</v>
      </c>
      <c r="C10033" s="341" t="s">
        <v>7287</v>
      </c>
      <c r="D10033" s="343">
        <v>6.18</v>
      </c>
    </row>
    <row r="10034" spans="1:4" ht="25.5">
      <c r="A10034" s="341">
        <v>4491</v>
      </c>
      <c r="B10034" s="342" t="s">
        <v>10870</v>
      </c>
      <c r="C10034" s="341" t="s">
        <v>7287</v>
      </c>
      <c r="D10034" s="343">
        <v>4.33</v>
      </c>
    </row>
    <row r="10035" spans="1:4" ht="25.5">
      <c r="A10035" s="341">
        <v>4505</v>
      </c>
      <c r="B10035" s="342" t="s">
        <v>10871</v>
      </c>
      <c r="C10035" s="341" t="s">
        <v>7287</v>
      </c>
      <c r="D10035" s="343">
        <v>1.71</v>
      </c>
    </row>
    <row r="10036" spans="1:4" ht="25.5">
      <c r="A10036" s="341">
        <v>4517</v>
      </c>
      <c r="B10036" s="342" t="s">
        <v>10872</v>
      </c>
      <c r="C10036" s="341" t="s">
        <v>7287</v>
      </c>
      <c r="D10036" s="343">
        <v>1.1599999999999999</v>
      </c>
    </row>
    <row r="10037" spans="1:4" ht="25.5">
      <c r="A10037" s="341">
        <v>4448</v>
      </c>
      <c r="B10037" s="342" t="s">
        <v>10873</v>
      </c>
      <c r="C10037" s="341" t="s">
        <v>7287</v>
      </c>
      <c r="D10037" s="343">
        <v>7.91</v>
      </c>
    </row>
    <row r="10038" spans="1:4" ht="25.5">
      <c r="A10038" s="341">
        <v>6194</v>
      </c>
      <c r="B10038" s="342" t="s">
        <v>10874</v>
      </c>
      <c r="C10038" s="341" t="s">
        <v>7287</v>
      </c>
      <c r="D10038" s="343">
        <v>2.94</v>
      </c>
    </row>
    <row r="10039" spans="1:4" ht="25.5">
      <c r="A10039" s="341">
        <v>4509</v>
      </c>
      <c r="B10039" s="342" t="s">
        <v>10875</v>
      </c>
      <c r="C10039" s="341" t="s">
        <v>7287</v>
      </c>
      <c r="D10039" s="343">
        <v>2.2200000000000002</v>
      </c>
    </row>
    <row r="10040" spans="1:4" ht="25.5">
      <c r="A10040" s="341">
        <v>4513</v>
      </c>
      <c r="B10040" s="342" t="s">
        <v>10876</v>
      </c>
      <c r="C10040" s="341" t="s">
        <v>7287</v>
      </c>
      <c r="D10040" s="343">
        <v>1.68</v>
      </c>
    </row>
    <row r="10041" spans="1:4" ht="25.5">
      <c r="A10041" s="341">
        <v>4512</v>
      </c>
      <c r="B10041" s="342" t="s">
        <v>10877</v>
      </c>
      <c r="C10041" s="341" t="s">
        <v>7287</v>
      </c>
      <c r="D10041" s="343">
        <v>1.36</v>
      </c>
    </row>
    <row r="10042" spans="1:4" ht="25.5">
      <c r="A10042" s="341">
        <v>4500</v>
      </c>
      <c r="B10042" s="342" t="s">
        <v>10878</v>
      </c>
      <c r="C10042" s="341" t="s">
        <v>7287</v>
      </c>
      <c r="D10042" s="343">
        <v>6.71</v>
      </c>
    </row>
    <row r="10043" spans="1:4">
      <c r="A10043" s="341">
        <v>10731</v>
      </c>
      <c r="B10043" s="342" t="s">
        <v>10879</v>
      </c>
      <c r="C10043" s="341" t="s">
        <v>7273</v>
      </c>
      <c r="D10043" s="343">
        <v>26.45</v>
      </c>
    </row>
    <row r="10044" spans="1:4">
      <c r="A10044" s="341">
        <v>4704</v>
      </c>
      <c r="B10044" s="342" t="s">
        <v>10880</v>
      </c>
      <c r="C10044" s="341" t="s">
        <v>7273</v>
      </c>
      <c r="D10044" s="343">
        <v>23.87</v>
      </c>
    </row>
    <row r="10045" spans="1:4">
      <c r="A10045" s="341">
        <v>10730</v>
      </c>
      <c r="B10045" s="342" t="s">
        <v>10881</v>
      </c>
      <c r="C10045" s="341" t="s">
        <v>7273</v>
      </c>
      <c r="D10045" s="343">
        <v>25.57</v>
      </c>
    </row>
    <row r="10046" spans="1:4" ht="25.5">
      <c r="A10046" s="341">
        <v>4729</v>
      </c>
      <c r="B10046" s="342" t="s">
        <v>10882</v>
      </c>
      <c r="C10046" s="341" t="s">
        <v>7283</v>
      </c>
      <c r="D10046" s="343">
        <v>74.47</v>
      </c>
    </row>
    <row r="10047" spans="1:4" ht="38.25">
      <c r="A10047" s="341">
        <v>4720</v>
      </c>
      <c r="B10047" s="342" t="s">
        <v>10883</v>
      </c>
      <c r="C10047" s="341" t="s">
        <v>7283</v>
      </c>
      <c r="D10047" s="343">
        <v>81.42</v>
      </c>
    </row>
    <row r="10048" spans="1:4" ht="25.5">
      <c r="A10048" s="341">
        <v>4721</v>
      </c>
      <c r="B10048" s="342" t="s">
        <v>10884</v>
      </c>
      <c r="C10048" s="341" t="s">
        <v>7283</v>
      </c>
      <c r="D10048" s="343">
        <v>63.77</v>
      </c>
    </row>
    <row r="10049" spans="1:4" ht="25.5">
      <c r="A10049" s="341">
        <v>4718</v>
      </c>
      <c r="B10049" s="342" t="s">
        <v>10885</v>
      </c>
      <c r="C10049" s="341" t="s">
        <v>7283</v>
      </c>
      <c r="D10049" s="343">
        <v>63.77</v>
      </c>
    </row>
    <row r="10050" spans="1:4" ht="25.5">
      <c r="A10050" s="341">
        <v>4722</v>
      </c>
      <c r="B10050" s="342" t="s">
        <v>10886</v>
      </c>
      <c r="C10050" s="341" t="s">
        <v>7283</v>
      </c>
      <c r="D10050" s="343">
        <v>63.77</v>
      </c>
    </row>
    <row r="10051" spans="1:4" ht="25.5">
      <c r="A10051" s="341">
        <v>4723</v>
      </c>
      <c r="B10051" s="342" t="s">
        <v>10887</v>
      </c>
      <c r="C10051" s="341" t="s">
        <v>7283</v>
      </c>
      <c r="D10051" s="343">
        <v>69.569999999999993</v>
      </c>
    </row>
    <row r="10052" spans="1:4" ht="25.5">
      <c r="A10052" s="341">
        <v>4727</v>
      </c>
      <c r="B10052" s="342" t="s">
        <v>10888</v>
      </c>
      <c r="C10052" s="341" t="s">
        <v>7283</v>
      </c>
      <c r="D10052" s="343">
        <v>71.5</v>
      </c>
    </row>
    <row r="10053" spans="1:4" ht="38.25">
      <c r="A10053" s="341">
        <v>4748</v>
      </c>
      <c r="B10053" s="342" t="s">
        <v>10889</v>
      </c>
      <c r="C10053" s="341" t="s">
        <v>7283</v>
      </c>
      <c r="D10053" s="343">
        <v>68.989999999999995</v>
      </c>
    </row>
    <row r="10054" spans="1:4" ht="38.25">
      <c r="A10054" s="341">
        <v>4730</v>
      </c>
      <c r="B10054" s="342" t="s">
        <v>10890</v>
      </c>
      <c r="C10054" s="341" t="s">
        <v>7283</v>
      </c>
      <c r="D10054" s="343">
        <v>66.67</v>
      </c>
    </row>
    <row r="10055" spans="1:4" ht="51">
      <c r="A10055" s="341">
        <v>13186</v>
      </c>
      <c r="B10055" s="342" t="s">
        <v>10891</v>
      </c>
      <c r="C10055" s="341" t="s">
        <v>7283</v>
      </c>
      <c r="D10055" s="343">
        <v>74.599999999999994</v>
      </c>
    </row>
    <row r="10056" spans="1:4" ht="51">
      <c r="A10056" s="341">
        <v>10737</v>
      </c>
      <c r="B10056" s="342" t="s">
        <v>10892</v>
      </c>
      <c r="C10056" s="341" t="s">
        <v>7273</v>
      </c>
      <c r="D10056" s="343">
        <v>83.12</v>
      </c>
    </row>
    <row r="10057" spans="1:4" ht="51">
      <c r="A10057" s="341">
        <v>10734</v>
      </c>
      <c r="B10057" s="342" t="s">
        <v>10893</v>
      </c>
      <c r="C10057" s="341" t="s">
        <v>7273</v>
      </c>
      <c r="D10057" s="343">
        <v>49.44</v>
      </c>
    </row>
    <row r="10058" spans="1:4" ht="25.5">
      <c r="A10058" s="341">
        <v>4708</v>
      </c>
      <c r="B10058" s="342" t="s">
        <v>10894</v>
      </c>
      <c r="C10058" s="341" t="s">
        <v>7273</v>
      </c>
      <c r="D10058" s="343">
        <v>95.91</v>
      </c>
    </row>
    <row r="10059" spans="1:4" ht="63.75">
      <c r="A10059" s="341">
        <v>4712</v>
      </c>
      <c r="B10059" s="342" t="s">
        <v>10895</v>
      </c>
      <c r="C10059" s="341" t="s">
        <v>7273</v>
      </c>
      <c r="D10059" s="343">
        <v>46.88</v>
      </c>
    </row>
    <row r="10060" spans="1:4" ht="63.75">
      <c r="A10060" s="341">
        <v>4710</v>
      </c>
      <c r="B10060" s="342" t="s">
        <v>10896</v>
      </c>
      <c r="C10060" s="341" t="s">
        <v>7273</v>
      </c>
      <c r="D10060" s="343">
        <v>150.36000000000001</v>
      </c>
    </row>
    <row r="10061" spans="1:4" ht="38.25">
      <c r="A10061" s="341">
        <v>4746</v>
      </c>
      <c r="B10061" s="342" t="s">
        <v>10897</v>
      </c>
      <c r="C10061" s="341" t="s">
        <v>7283</v>
      </c>
      <c r="D10061" s="343">
        <v>61.84</v>
      </c>
    </row>
    <row r="10062" spans="1:4">
      <c r="A10062" s="341">
        <v>4750</v>
      </c>
      <c r="B10062" s="342" t="s">
        <v>10898</v>
      </c>
      <c r="C10062" s="341" t="s">
        <v>7275</v>
      </c>
      <c r="D10062" s="343">
        <v>12.68</v>
      </c>
    </row>
    <row r="10063" spans="1:4">
      <c r="A10063" s="341">
        <v>41065</v>
      </c>
      <c r="B10063" s="342" t="s">
        <v>10899</v>
      </c>
      <c r="C10063" s="341" t="s">
        <v>7466</v>
      </c>
      <c r="D10063" s="344">
        <v>2236.52</v>
      </c>
    </row>
    <row r="10064" spans="1:4" ht="38.25">
      <c r="A10064" s="341">
        <v>34747</v>
      </c>
      <c r="B10064" s="342" t="s">
        <v>10900</v>
      </c>
      <c r="C10064" s="341" t="s">
        <v>7287</v>
      </c>
      <c r="D10064" s="343">
        <v>68.48</v>
      </c>
    </row>
    <row r="10065" spans="1:4" ht="25.5">
      <c r="A10065" s="341">
        <v>4826</v>
      </c>
      <c r="B10065" s="342" t="s">
        <v>10901</v>
      </c>
      <c r="C10065" s="341" t="s">
        <v>7287</v>
      </c>
      <c r="D10065" s="343">
        <v>73.64</v>
      </c>
    </row>
    <row r="10066" spans="1:4" ht="25.5">
      <c r="A10066" s="341">
        <v>41975</v>
      </c>
      <c r="B10066" s="342" t="s">
        <v>10902</v>
      </c>
      <c r="C10066" s="341" t="s">
        <v>7273</v>
      </c>
      <c r="D10066" s="343">
        <v>60.86</v>
      </c>
    </row>
    <row r="10067" spans="1:4" ht="38.25">
      <c r="A10067" s="341">
        <v>4825</v>
      </c>
      <c r="B10067" s="342" t="s">
        <v>10903</v>
      </c>
      <c r="C10067" s="341" t="s">
        <v>7287</v>
      </c>
      <c r="D10067" s="343">
        <v>101.93</v>
      </c>
    </row>
    <row r="10068" spans="1:4" ht="25.5">
      <c r="A10068" s="341">
        <v>34744</v>
      </c>
      <c r="B10068" s="342" t="s">
        <v>10904</v>
      </c>
      <c r="C10068" s="341" t="s">
        <v>7273</v>
      </c>
      <c r="D10068" s="343">
        <v>46.5</v>
      </c>
    </row>
    <row r="10069" spans="1:4" ht="51">
      <c r="A10069" s="341">
        <v>39430</v>
      </c>
      <c r="B10069" s="342" t="s">
        <v>10905</v>
      </c>
      <c r="C10069" s="341" t="s">
        <v>7278</v>
      </c>
      <c r="D10069" s="343">
        <v>1.52</v>
      </c>
    </row>
    <row r="10070" spans="1:4" ht="38.25">
      <c r="A10070" s="341">
        <v>39573</v>
      </c>
      <c r="B10070" s="342" t="s">
        <v>10906</v>
      </c>
      <c r="C10070" s="341" t="s">
        <v>7278</v>
      </c>
      <c r="D10070" s="343">
        <v>1.5</v>
      </c>
    </row>
    <row r="10071" spans="1:4" ht="38.25">
      <c r="A10071" s="341">
        <v>38410</v>
      </c>
      <c r="B10071" s="342" t="s">
        <v>10907</v>
      </c>
      <c r="C10071" s="341" t="s">
        <v>7278</v>
      </c>
      <c r="D10071" s="344">
        <v>10008.19</v>
      </c>
    </row>
    <row r="10072" spans="1:4">
      <c r="A10072" s="341">
        <v>4765</v>
      </c>
      <c r="B10072" s="342" t="s">
        <v>10908</v>
      </c>
      <c r="C10072" s="341" t="s">
        <v>7287</v>
      </c>
      <c r="D10072" s="343">
        <v>60.56</v>
      </c>
    </row>
    <row r="10073" spans="1:4">
      <c r="A10073" s="341">
        <v>4767</v>
      </c>
      <c r="B10073" s="342" t="s">
        <v>10909</v>
      </c>
      <c r="C10073" s="341" t="s">
        <v>7287</v>
      </c>
      <c r="D10073" s="343">
        <v>104.34</v>
      </c>
    </row>
    <row r="10074" spans="1:4">
      <c r="A10074" s="341">
        <v>4766</v>
      </c>
      <c r="B10074" s="342" t="s">
        <v>10909</v>
      </c>
      <c r="C10074" s="341" t="s">
        <v>7338</v>
      </c>
      <c r="D10074" s="343">
        <v>4.83</v>
      </c>
    </row>
    <row r="10075" spans="1:4">
      <c r="A10075" s="341">
        <v>10963</v>
      </c>
      <c r="B10075" s="342" t="s">
        <v>10910</v>
      </c>
      <c r="C10075" s="341" t="s">
        <v>7287</v>
      </c>
      <c r="D10075" s="343">
        <v>165.36</v>
      </c>
    </row>
    <row r="10076" spans="1:4">
      <c r="A10076" s="341">
        <v>10962</v>
      </c>
      <c r="B10076" s="342" t="s">
        <v>10911</v>
      </c>
      <c r="C10076" s="341" t="s">
        <v>7338</v>
      </c>
      <c r="D10076" s="343">
        <v>5.13</v>
      </c>
    </row>
    <row r="10077" spans="1:4">
      <c r="A10077" s="341">
        <v>34742</v>
      </c>
      <c r="B10077" s="342" t="s">
        <v>10912</v>
      </c>
      <c r="C10077" s="341" t="s">
        <v>7338</v>
      </c>
      <c r="D10077" s="343">
        <v>4.8099999999999996</v>
      </c>
    </row>
    <row r="10078" spans="1:4">
      <c r="A10078" s="341">
        <v>4773</v>
      </c>
      <c r="B10078" s="342" t="s">
        <v>10913</v>
      </c>
      <c r="C10078" s="341" t="s">
        <v>7287</v>
      </c>
      <c r="D10078" s="343">
        <v>208.74</v>
      </c>
    </row>
    <row r="10079" spans="1:4">
      <c r="A10079" s="341">
        <v>34740</v>
      </c>
      <c r="B10079" s="342" t="s">
        <v>10914</v>
      </c>
      <c r="C10079" s="341" t="s">
        <v>7338</v>
      </c>
      <c r="D10079" s="343">
        <v>4.8099999999999996</v>
      </c>
    </row>
    <row r="10080" spans="1:4">
      <c r="A10080" s="341">
        <v>4774</v>
      </c>
      <c r="B10080" s="342" t="s">
        <v>10915</v>
      </c>
      <c r="C10080" s="341" t="s">
        <v>7338</v>
      </c>
      <c r="D10080" s="343">
        <v>4.83</v>
      </c>
    </row>
    <row r="10081" spans="1:4">
      <c r="A10081" s="341">
        <v>4776</v>
      </c>
      <c r="B10081" s="342" t="s">
        <v>10915</v>
      </c>
      <c r="C10081" s="341" t="s">
        <v>7287</v>
      </c>
      <c r="D10081" s="343">
        <v>323.63</v>
      </c>
    </row>
    <row r="10082" spans="1:4">
      <c r="A10082" s="341">
        <v>40313</v>
      </c>
      <c r="B10082" s="342" t="s">
        <v>10916</v>
      </c>
      <c r="C10082" s="341" t="s">
        <v>7338</v>
      </c>
      <c r="D10082" s="343">
        <v>4.8099999999999996</v>
      </c>
    </row>
    <row r="10083" spans="1:4" ht="25.5">
      <c r="A10083" s="341">
        <v>13340</v>
      </c>
      <c r="B10083" s="342" t="s">
        <v>10917</v>
      </c>
      <c r="C10083" s="341" t="s">
        <v>7287</v>
      </c>
      <c r="D10083" s="343">
        <v>20.399999999999999</v>
      </c>
    </row>
    <row r="10084" spans="1:4">
      <c r="A10084" s="341">
        <v>10965</v>
      </c>
      <c r="B10084" s="342" t="s">
        <v>10918</v>
      </c>
      <c r="C10084" s="341" t="s">
        <v>7287</v>
      </c>
      <c r="D10084" s="343">
        <v>43.53</v>
      </c>
    </row>
    <row r="10085" spans="1:4">
      <c r="A10085" s="341">
        <v>10966</v>
      </c>
      <c r="B10085" s="342" t="s">
        <v>10919</v>
      </c>
      <c r="C10085" s="341" t="s">
        <v>7338</v>
      </c>
      <c r="D10085" s="343">
        <v>4.8600000000000003</v>
      </c>
    </row>
    <row r="10086" spans="1:4" ht="25.5">
      <c r="A10086" s="341">
        <v>40537</v>
      </c>
      <c r="B10086" s="342" t="s">
        <v>10920</v>
      </c>
      <c r="C10086" s="341" t="s">
        <v>7338</v>
      </c>
      <c r="D10086" s="343">
        <v>5.31</v>
      </c>
    </row>
    <row r="10087" spans="1:4" ht="25.5">
      <c r="A10087" s="341">
        <v>40536</v>
      </c>
      <c r="B10087" s="342" t="s">
        <v>10921</v>
      </c>
      <c r="C10087" s="341" t="s">
        <v>7338</v>
      </c>
      <c r="D10087" s="343">
        <v>5.31</v>
      </c>
    </row>
    <row r="10088" spans="1:4" ht="25.5">
      <c r="A10088" s="341">
        <v>40535</v>
      </c>
      <c r="B10088" s="342" t="s">
        <v>10922</v>
      </c>
      <c r="C10088" s="341" t="s">
        <v>7338</v>
      </c>
      <c r="D10088" s="343">
        <v>5.31</v>
      </c>
    </row>
    <row r="10089" spans="1:4" ht="38.25">
      <c r="A10089" s="341">
        <v>39427</v>
      </c>
      <c r="B10089" s="342" t="s">
        <v>10923</v>
      </c>
      <c r="C10089" s="341" t="s">
        <v>7287</v>
      </c>
      <c r="D10089" s="343">
        <v>4.04</v>
      </c>
    </row>
    <row r="10090" spans="1:4" ht="25.5">
      <c r="A10090" s="341">
        <v>39424</v>
      </c>
      <c r="B10090" s="342" t="s">
        <v>10924</v>
      </c>
      <c r="C10090" s="341" t="s">
        <v>7287</v>
      </c>
      <c r="D10090" s="343">
        <v>2.4</v>
      </c>
    </row>
    <row r="10091" spans="1:4" ht="38.25">
      <c r="A10091" s="341">
        <v>39425</v>
      </c>
      <c r="B10091" s="342" t="s">
        <v>10925</v>
      </c>
      <c r="C10091" s="341" t="s">
        <v>7287</v>
      </c>
      <c r="D10091" s="343">
        <v>2.37</v>
      </c>
    </row>
    <row r="10092" spans="1:4" ht="25.5">
      <c r="A10092" s="341">
        <v>40664</v>
      </c>
      <c r="B10092" s="342" t="s">
        <v>10926</v>
      </c>
      <c r="C10092" s="341" t="s">
        <v>7338</v>
      </c>
      <c r="D10092" s="343">
        <v>4.5599999999999996</v>
      </c>
    </row>
    <row r="10093" spans="1:4">
      <c r="A10093" s="341">
        <v>34360</v>
      </c>
      <c r="B10093" s="342" t="s">
        <v>10927</v>
      </c>
      <c r="C10093" s="341" t="s">
        <v>7338</v>
      </c>
      <c r="D10093" s="343">
        <v>23.33</v>
      </c>
    </row>
    <row r="10094" spans="1:4" ht="25.5">
      <c r="A10094" s="341">
        <v>20259</v>
      </c>
      <c r="B10094" s="342" t="s">
        <v>10928</v>
      </c>
      <c r="C10094" s="341" t="s">
        <v>7287</v>
      </c>
      <c r="D10094" s="343">
        <v>8.6999999999999993</v>
      </c>
    </row>
    <row r="10095" spans="1:4" ht="51">
      <c r="A10095" s="341">
        <v>14077</v>
      </c>
      <c r="B10095" s="342" t="s">
        <v>10929</v>
      </c>
      <c r="C10095" s="341" t="s">
        <v>7287</v>
      </c>
      <c r="D10095" s="343">
        <v>133.16</v>
      </c>
    </row>
    <row r="10096" spans="1:4" ht="51">
      <c r="A10096" s="341">
        <v>3678</v>
      </c>
      <c r="B10096" s="342" t="s">
        <v>10930</v>
      </c>
      <c r="C10096" s="341" t="s">
        <v>7287</v>
      </c>
      <c r="D10096" s="343">
        <v>60.18</v>
      </c>
    </row>
    <row r="10097" spans="1:4" ht="38.25">
      <c r="A10097" s="341">
        <v>39418</v>
      </c>
      <c r="B10097" s="342" t="s">
        <v>10931</v>
      </c>
      <c r="C10097" s="341" t="s">
        <v>7287</v>
      </c>
      <c r="D10097" s="343">
        <v>4.51</v>
      </c>
    </row>
    <row r="10098" spans="1:4" ht="38.25">
      <c r="A10098" s="341">
        <v>39419</v>
      </c>
      <c r="B10098" s="342" t="s">
        <v>10932</v>
      </c>
      <c r="C10098" s="341" t="s">
        <v>7287</v>
      </c>
      <c r="D10098" s="343">
        <v>5.5</v>
      </c>
    </row>
    <row r="10099" spans="1:4" ht="38.25">
      <c r="A10099" s="341">
        <v>39420</v>
      </c>
      <c r="B10099" s="342" t="s">
        <v>10933</v>
      </c>
      <c r="C10099" s="341" t="s">
        <v>7287</v>
      </c>
      <c r="D10099" s="343">
        <v>6.07</v>
      </c>
    </row>
    <row r="10100" spans="1:4" ht="38.25">
      <c r="A10100" s="341">
        <v>39571</v>
      </c>
      <c r="B10100" s="342" t="s">
        <v>10934</v>
      </c>
      <c r="C10100" s="341" t="s">
        <v>7287</v>
      </c>
      <c r="D10100" s="343">
        <v>3.67</v>
      </c>
    </row>
    <row r="10101" spans="1:4" ht="38.25">
      <c r="A10101" s="341">
        <v>39421</v>
      </c>
      <c r="B10101" s="342" t="s">
        <v>10935</v>
      </c>
      <c r="C10101" s="341" t="s">
        <v>7287</v>
      </c>
      <c r="D10101" s="343">
        <v>5.34</v>
      </c>
    </row>
    <row r="10102" spans="1:4" ht="38.25">
      <c r="A10102" s="341">
        <v>39422</v>
      </c>
      <c r="B10102" s="342" t="s">
        <v>10936</v>
      </c>
      <c r="C10102" s="341" t="s">
        <v>7287</v>
      </c>
      <c r="D10102" s="343">
        <v>6.24</v>
      </c>
    </row>
    <row r="10103" spans="1:4" ht="38.25">
      <c r="A10103" s="341">
        <v>39423</v>
      </c>
      <c r="B10103" s="342" t="s">
        <v>10937</v>
      </c>
      <c r="C10103" s="341" t="s">
        <v>7287</v>
      </c>
      <c r="D10103" s="343">
        <v>7.24</v>
      </c>
    </row>
    <row r="10104" spans="1:4" ht="51">
      <c r="A10104" s="341">
        <v>39426</v>
      </c>
      <c r="B10104" s="342" t="s">
        <v>10938</v>
      </c>
      <c r="C10104" s="341" t="s">
        <v>7287</v>
      </c>
      <c r="D10104" s="343">
        <v>16.29</v>
      </c>
    </row>
    <row r="10105" spans="1:4" ht="51">
      <c r="A10105" s="341">
        <v>39429</v>
      </c>
      <c r="B10105" s="342" t="s">
        <v>10939</v>
      </c>
      <c r="C10105" s="341" t="s">
        <v>7287</v>
      </c>
      <c r="D10105" s="343">
        <v>5.13</v>
      </c>
    </row>
    <row r="10106" spans="1:4" ht="51">
      <c r="A10106" s="341">
        <v>39428</v>
      </c>
      <c r="B10106" s="342" t="s">
        <v>10940</v>
      </c>
      <c r="C10106" s="341" t="s">
        <v>7287</v>
      </c>
      <c r="D10106" s="343">
        <v>3.92</v>
      </c>
    </row>
    <row r="10107" spans="1:4" ht="38.25">
      <c r="A10107" s="341">
        <v>39572</v>
      </c>
      <c r="B10107" s="342" t="s">
        <v>10941</v>
      </c>
      <c r="C10107" s="341" t="s">
        <v>7287</v>
      </c>
      <c r="D10107" s="343">
        <v>3.4</v>
      </c>
    </row>
    <row r="10108" spans="1:4" ht="38.25">
      <c r="A10108" s="341">
        <v>39570</v>
      </c>
      <c r="B10108" s="342" t="s">
        <v>10942</v>
      </c>
      <c r="C10108" s="341" t="s">
        <v>7287</v>
      </c>
      <c r="D10108" s="343">
        <v>3.6</v>
      </c>
    </row>
    <row r="10109" spans="1:4" ht="38.25">
      <c r="A10109" s="341">
        <v>39569</v>
      </c>
      <c r="B10109" s="342" t="s">
        <v>10943</v>
      </c>
      <c r="C10109" s="341" t="s">
        <v>7287</v>
      </c>
      <c r="D10109" s="343">
        <v>3.56</v>
      </c>
    </row>
    <row r="10110" spans="1:4" ht="38.25">
      <c r="A10110" s="341">
        <v>11552</v>
      </c>
      <c r="B10110" s="342" t="s">
        <v>10944</v>
      </c>
      <c r="C10110" s="341" t="s">
        <v>7287</v>
      </c>
      <c r="D10110" s="343">
        <v>8.31</v>
      </c>
    </row>
    <row r="10111" spans="1:4" ht="38.25">
      <c r="A10111" s="341">
        <v>40598</v>
      </c>
      <c r="B10111" s="342" t="s">
        <v>10945</v>
      </c>
      <c r="C10111" s="341" t="s">
        <v>7338</v>
      </c>
      <c r="D10111" s="343">
        <v>5.31</v>
      </c>
    </row>
    <row r="10112" spans="1:4" ht="25.5">
      <c r="A10112" s="341">
        <v>39029</v>
      </c>
      <c r="B10112" s="342" t="s">
        <v>10946</v>
      </c>
      <c r="C10112" s="341" t="s">
        <v>7287</v>
      </c>
      <c r="D10112" s="343">
        <v>11.5</v>
      </c>
    </row>
    <row r="10113" spans="1:4" ht="25.5">
      <c r="A10113" s="341">
        <v>39028</v>
      </c>
      <c r="B10113" s="342" t="s">
        <v>10947</v>
      </c>
      <c r="C10113" s="341" t="s">
        <v>7287</v>
      </c>
      <c r="D10113" s="343">
        <v>6.69</v>
      </c>
    </row>
    <row r="10114" spans="1:4">
      <c r="A10114" s="341">
        <v>39328</v>
      </c>
      <c r="B10114" s="342" t="s">
        <v>10948</v>
      </c>
      <c r="C10114" s="341" t="s">
        <v>7287</v>
      </c>
      <c r="D10114" s="343">
        <v>3.68</v>
      </c>
    </row>
    <row r="10115" spans="1:4" ht="76.5">
      <c r="A10115" s="341">
        <v>38541</v>
      </c>
      <c r="B10115" s="342" t="s">
        <v>10949</v>
      </c>
      <c r="C10115" s="341" t="s">
        <v>7278</v>
      </c>
      <c r="D10115" s="344">
        <v>2110394.7200000002</v>
      </c>
    </row>
    <row r="10116" spans="1:4" ht="76.5">
      <c r="A10116" s="341">
        <v>38542</v>
      </c>
      <c r="B10116" s="342" t="s">
        <v>10950</v>
      </c>
      <c r="C10116" s="341" t="s">
        <v>7278</v>
      </c>
      <c r="D10116" s="344">
        <v>3281578.92</v>
      </c>
    </row>
    <row r="10117" spans="1:4" ht="76.5">
      <c r="A10117" s="341">
        <v>38543</v>
      </c>
      <c r="B10117" s="342" t="s">
        <v>10951</v>
      </c>
      <c r="C10117" s="341" t="s">
        <v>7278</v>
      </c>
      <c r="D10117" s="344">
        <v>803421.07</v>
      </c>
    </row>
    <row r="10118" spans="1:4" ht="38.25">
      <c r="A10118" s="341">
        <v>40406</v>
      </c>
      <c r="B10118" s="342" t="s">
        <v>10952</v>
      </c>
      <c r="C10118" s="341" t="s">
        <v>7278</v>
      </c>
      <c r="D10118" s="344">
        <v>56358.73</v>
      </c>
    </row>
    <row r="10119" spans="1:4" ht="38.25">
      <c r="A10119" s="341">
        <v>40789</v>
      </c>
      <c r="B10119" s="342" t="s">
        <v>10953</v>
      </c>
      <c r="C10119" s="341" t="s">
        <v>7278</v>
      </c>
      <c r="D10119" s="344">
        <v>8121.87</v>
      </c>
    </row>
    <row r="10120" spans="1:4" ht="51">
      <c r="A10120" s="341">
        <v>40791</v>
      </c>
      <c r="B10120" s="342" t="s">
        <v>10954</v>
      </c>
      <c r="C10120" s="341" t="s">
        <v>7278</v>
      </c>
      <c r="D10120" s="344">
        <v>25424.99</v>
      </c>
    </row>
    <row r="10121" spans="1:4" ht="38.25">
      <c r="A10121" s="341">
        <v>11651</v>
      </c>
      <c r="B10121" s="342" t="s">
        <v>10955</v>
      </c>
      <c r="C10121" s="341" t="s">
        <v>7278</v>
      </c>
      <c r="D10121" s="344">
        <v>13905.29</v>
      </c>
    </row>
    <row r="10122" spans="1:4" ht="38.25">
      <c r="A10122" s="341">
        <v>42002</v>
      </c>
      <c r="B10122" s="342" t="s">
        <v>10956</v>
      </c>
      <c r="C10122" s="341" t="s">
        <v>7278</v>
      </c>
      <c r="D10122" s="344">
        <v>688110.33</v>
      </c>
    </row>
    <row r="10123" spans="1:4" ht="38.25">
      <c r="A10123" s="341">
        <v>40435</v>
      </c>
      <c r="B10123" s="342" t="s">
        <v>10957</v>
      </c>
      <c r="C10123" s="341" t="s">
        <v>7278</v>
      </c>
      <c r="D10123" s="344">
        <v>440750</v>
      </c>
    </row>
    <row r="10124" spans="1:4" ht="38.25">
      <c r="A10124" s="341">
        <v>39012</v>
      </c>
      <c r="B10124" s="342" t="s">
        <v>10958</v>
      </c>
      <c r="C10124" s="341" t="s">
        <v>7278</v>
      </c>
      <c r="D10124" s="344">
        <v>459861.69</v>
      </c>
    </row>
    <row r="10125" spans="1:4" ht="25.5">
      <c r="A10125" s="341">
        <v>5327</v>
      </c>
      <c r="B10125" s="342" t="s">
        <v>10959</v>
      </c>
      <c r="C10125" s="341" t="s">
        <v>7338</v>
      </c>
      <c r="D10125" s="343">
        <v>27.67</v>
      </c>
    </row>
    <row r="10126" spans="1:4" ht="38.25">
      <c r="A10126" s="341">
        <v>35274</v>
      </c>
      <c r="B10126" s="342" t="s">
        <v>10960</v>
      </c>
      <c r="C10126" s="341" t="s">
        <v>7287</v>
      </c>
      <c r="D10126" s="343">
        <v>19.02</v>
      </c>
    </row>
    <row r="10127" spans="1:4" ht="38.25">
      <c r="A10127" s="341">
        <v>35275</v>
      </c>
      <c r="B10127" s="342" t="s">
        <v>10961</v>
      </c>
      <c r="C10127" s="341" t="s">
        <v>7287</v>
      </c>
      <c r="D10127" s="343">
        <v>40.619999999999997</v>
      </c>
    </row>
    <row r="10128" spans="1:4" ht="38.25">
      <c r="A10128" s="341">
        <v>35276</v>
      </c>
      <c r="B10128" s="342" t="s">
        <v>10962</v>
      </c>
      <c r="C10128" s="341" t="s">
        <v>7287</v>
      </c>
      <c r="D10128" s="343">
        <v>66.42</v>
      </c>
    </row>
    <row r="10129" spans="1:4" ht="25.5">
      <c r="A10129" s="341">
        <v>38386</v>
      </c>
      <c r="B10129" s="342" t="s">
        <v>10963</v>
      </c>
      <c r="C10129" s="341" t="s">
        <v>7278</v>
      </c>
      <c r="D10129" s="343">
        <v>3.91</v>
      </c>
    </row>
    <row r="10130" spans="1:4" ht="38.25">
      <c r="A10130" s="341">
        <v>11091</v>
      </c>
      <c r="B10130" s="342" t="s">
        <v>10964</v>
      </c>
      <c r="C10130" s="341" t="s">
        <v>7278</v>
      </c>
      <c r="D10130" s="343">
        <v>0.96</v>
      </c>
    </row>
    <row r="10131" spans="1:4" ht="38.25">
      <c r="A10131" s="341">
        <v>37586</v>
      </c>
      <c r="B10131" s="342" t="s">
        <v>10965</v>
      </c>
      <c r="C10131" s="341" t="s">
        <v>9521</v>
      </c>
      <c r="D10131" s="343">
        <v>46.22</v>
      </c>
    </row>
    <row r="10132" spans="1:4" ht="25.5">
      <c r="A10132" s="341">
        <v>37395</v>
      </c>
      <c r="B10132" s="342" t="s">
        <v>10966</v>
      </c>
      <c r="C10132" s="341" t="s">
        <v>9521</v>
      </c>
      <c r="D10132" s="343">
        <v>39.74</v>
      </c>
    </row>
    <row r="10133" spans="1:4" ht="38.25">
      <c r="A10133" s="341">
        <v>14147</v>
      </c>
      <c r="B10133" s="342" t="s">
        <v>10967</v>
      </c>
      <c r="C10133" s="341" t="s">
        <v>9521</v>
      </c>
      <c r="D10133" s="343">
        <v>52.72</v>
      </c>
    </row>
    <row r="10134" spans="1:4" ht="25.5">
      <c r="A10134" s="341">
        <v>37396</v>
      </c>
      <c r="B10134" s="342" t="s">
        <v>10968</v>
      </c>
      <c r="C10134" s="341" t="s">
        <v>9521</v>
      </c>
      <c r="D10134" s="343">
        <v>32.520000000000003</v>
      </c>
    </row>
    <row r="10135" spans="1:4" ht="25.5">
      <c r="A10135" s="341">
        <v>37397</v>
      </c>
      <c r="B10135" s="342" t="s">
        <v>10969</v>
      </c>
      <c r="C10135" s="341" t="s">
        <v>9521</v>
      </c>
      <c r="D10135" s="343">
        <v>34.07</v>
      </c>
    </row>
    <row r="10136" spans="1:4" ht="38.25">
      <c r="A10136" s="341">
        <v>11559</v>
      </c>
      <c r="B10136" s="342" t="s">
        <v>10970</v>
      </c>
      <c r="C10136" s="341" t="s">
        <v>7278</v>
      </c>
      <c r="D10136" s="343">
        <v>3.82</v>
      </c>
    </row>
    <row r="10137" spans="1:4" ht="38.25">
      <c r="A10137" s="341">
        <v>444</v>
      </c>
      <c r="B10137" s="342" t="s">
        <v>10971</v>
      </c>
      <c r="C10137" s="341" t="s">
        <v>7278</v>
      </c>
      <c r="D10137" s="343">
        <v>17.12</v>
      </c>
    </row>
    <row r="10138" spans="1:4" ht="38.25">
      <c r="A10138" s="341">
        <v>445</v>
      </c>
      <c r="B10138" s="342" t="s">
        <v>10972</v>
      </c>
      <c r="C10138" s="341" t="s">
        <v>7278</v>
      </c>
      <c r="D10138" s="343">
        <v>23.43</v>
      </c>
    </row>
    <row r="10139" spans="1:4">
      <c r="A10139" s="341">
        <v>4783</v>
      </c>
      <c r="B10139" s="342" t="s">
        <v>10973</v>
      </c>
      <c r="C10139" s="341" t="s">
        <v>7275</v>
      </c>
      <c r="D10139" s="343">
        <v>12.68</v>
      </c>
    </row>
    <row r="10140" spans="1:4">
      <c r="A10140" s="341">
        <v>41079</v>
      </c>
      <c r="B10140" s="342" t="s">
        <v>10974</v>
      </c>
      <c r="C10140" s="341" t="s">
        <v>7466</v>
      </c>
      <c r="D10140" s="344">
        <v>2236.52</v>
      </c>
    </row>
    <row r="10141" spans="1:4">
      <c r="A10141" s="341">
        <v>12874</v>
      </c>
      <c r="B10141" s="342" t="s">
        <v>10975</v>
      </c>
      <c r="C10141" s="341" t="s">
        <v>7275</v>
      </c>
      <c r="D10141" s="343">
        <v>14.61</v>
      </c>
    </row>
    <row r="10142" spans="1:4">
      <c r="A10142" s="341">
        <v>41082</v>
      </c>
      <c r="B10142" s="342" t="s">
        <v>10976</v>
      </c>
      <c r="C10142" s="341" t="s">
        <v>7466</v>
      </c>
      <c r="D10142" s="344">
        <v>2578.1999999999998</v>
      </c>
    </row>
    <row r="10143" spans="1:4">
      <c r="A10143" s="341">
        <v>4785</v>
      </c>
      <c r="B10143" s="342" t="s">
        <v>10977</v>
      </c>
      <c r="C10143" s="341" t="s">
        <v>7275</v>
      </c>
      <c r="D10143" s="343">
        <v>13.63</v>
      </c>
    </row>
    <row r="10144" spans="1:4">
      <c r="A10144" s="341">
        <v>41081</v>
      </c>
      <c r="B10144" s="342" t="s">
        <v>10978</v>
      </c>
      <c r="C10144" s="341" t="s">
        <v>7466</v>
      </c>
      <c r="D10144" s="344">
        <v>2405.6</v>
      </c>
    </row>
    <row r="10145" spans="1:4" ht="25.5">
      <c r="A10145" s="341">
        <v>4801</v>
      </c>
      <c r="B10145" s="342" t="s">
        <v>10979</v>
      </c>
      <c r="C10145" s="341" t="s">
        <v>7273</v>
      </c>
      <c r="D10145" s="343">
        <v>50.56</v>
      </c>
    </row>
    <row r="10146" spans="1:4" ht="25.5">
      <c r="A10146" s="341">
        <v>4794</v>
      </c>
      <c r="B10146" s="342" t="s">
        <v>10980</v>
      </c>
      <c r="C10146" s="341" t="s">
        <v>7273</v>
      </c>
      <c r="D10146" s="343">
        <v>230.29</v>
      </c>
    </row>
    <row r="10147" spans="1:4" ht="38.25">
      <c r="A10147" s="341">
        <v>4796</v>
      </c>
      <c r="B10147" s="342" t="s">
        <v>10981</v>
      </c>
      <c r="C10147" s="341" t="s">
        <v>7273</v>
      </c>
      <c r="D10147" s="343">
        <v>139.88</v>
      </c>
    </row>
    <row r="10148" spans="1:4" ht="25.5">
      <c r="A10148" s="341">
        <v>4800</v>
      </c>
      <c r="B10148" s="342" t="s">
        <v>10982</v>
      </c>
      <c r="C10148" s="341" t="s">
        <v>7273</v>
      </c>
      <c r="D10148" s="343">
        <v>38.46</v>
      </c>
    </row>
    <row r="10149" spans="1:4" ht="25.5">
      <c r="A10149" s="341">
        <v>4795</v>
      </c>
      <c r="B10149" s="342" t="s">
        <v>10983</v>
      </c>
      <c r="C10149" s="341" t="s">
        <v>7273</v>
      </c>
      <c r="D10149" s="343">
        <v>224.18</v>
      </c>
    </row>
    <row r="10150" spans="1:4" ht="63.75">
      <c r="A10150" s="341">
        <v>39694</v>
      </c>
      <c r="B10150" s="342" t="s">
        <v>10984</v>
      </c>
      <c r="C10150" s="341" t="s">
        <v>7273</v>
      </c>
      <c r="D10150" s="343">
        <v>234.03</v>
      </c>
    </row>
    <row r="10151" spans="1:4" ht="38.25">
      <c r="A10151" s="341">
        <v>1292</v>
      </c>
      <c r="B10151" s="342" t="s">
        <v>10985</v>
      </c>
      <c r="C10151" s="341" t="s">
        <v>7273</v>
      </c>
      <c r="D10151" s="343">
        <v>32.43</v>
      </c>
    </row>
    <row r="10152" spans="1:4" ht="38.25">
      <c r="A10152" s="341">
        <v>1287</v>
      </c>
      <c r="B10152" s="342" t="s">
        <v>10986</v>
      </c>
      <c r="C10152" s="341" t="s">
        <v>7273</v>
      </c>
      <c r="D10152" s="343">
        <v>15.91</v>
      </c>
    </row>
    <row r="10153" spans="1:4" ht="38.25">
      <c r="A10153" s="341">
        <v>1297</v>
      </c>
      <c r="B10153" s="342" t="s">
        <v>10987</v>
      </c>
      <c r="C10153" s="341" t="s">
        <v>7273</v>
      </c>
      <c r="D10153" s="343">
        <v>13.19</v>
      </c>
    </row>
    <row r="10154" spans="1:4" ht="38.25">
      <c r="A10154" s="341">
        <v>4786</v>
      </c>
      <c r="B10154" s="342" t="s">
        <v>10988</v>
      </c>
      <c r="C10154" s="341" t="s">
        <v>7273</v>
      </c>
      <c r="D10154" s="343">
        <v>70</v>
      </c>
    </row>
    <row r="10155" spans="1:4" ht="63.75">
      <c r="A10155" s="341">
        <v>10840</v>
      </c>
      <c r="B10155" s="342" t="s">
        <v>10989</v>
      </c>
      <c r="C10155" s="341" t="s">
        <v>7273</v>
      </c>
      <c r="D10155" s="343">
        <v>320</v>
      </c>
    </row>
    <row r="10156" spans="1:4" ht="51">
      <c r="A10156" s="341">
        <v>10841</v>
      </c>
      <c r="B10156" s="342" t="s">
        <v>10990</v>
      </c>
      <c r="C10156" s="341" t="s">
        <v>7273</v>
      </c>
      <c r="D10156" s="343">
        <v>241.5</v>
      </c>
    </row>
    <row r="10157" spans="1:4" ht="51">
      <c r="A10157" s="341">
        <v>25980</v>
      </c>
      <c r="B10157" s="342" t="s">
        <v>10991</v>
      </c>
      <c r="C10157" s="341" t="s">
        <v>7273</v>
      </c>
      <c r="D10157" s="343">
        <v>308.58999999999997</v>
      </c>
    </row>
    <row r="10158" spans="1:4" ht="51">
      <c r="A10158" s="341">
        <v>10842</v>
      </c>
      <c r="B10158" s="342" t="s">
        <v>10992</v>
      </c>
      <c r="C10158" s="341" t="s">
        <v>7273</v>
      </c>
      <c r="D10158" s="343">
        <v>348.84</v>
      </c>
    </row>
    <row r="10159" spans="1:4" ht="25.5">
      <c r="A10159" s="341">
        <v>21108</v>
      </c>
      <c r="B10159" s="342" t="s">
        <v>10993</v>
      </c>
      <c r="C10159" s="341" t="s">
        <v>7273</v>
      </c>
      <c r="D10159" s="343">
        <v>43.22</v>
      </c>
    </row>
    <row r="10160" spans="1:4" ht="25.5">
      <c r="A10160" s="341">
        <v>38180</v>
      </c>
      <c r="B10160" s="342" t="s">
        <v>10994</v>
      </c>
      <c r="C10160" s="341" t="s">
        <v>7273</v>
      </c>
      <c r="D10160" s="343">
        <v>112.62</v>
      </c>
    </row>
    <row r="10161" spans="1:4" ht="25.5">
      <c r="A10161" s="341">
        <v>40648</v>
      </c>
      <c r="B10161" s="342" t="s">
        <v>10995</v>
      </c>
      <c r="C10161" s="341" t="s">
        <v>7273</v>
      </c>
      <c r="D10161" s="343">
        <v>134.4</v>
      </c>
    </row>
    <row r="10162" spans="1:4" ht="25.5">
      <c r="A10162" s="341">
        <v>40649</v>
      </c>
      <c r="B10162" s="342" t="s">
        <v>10996</v>
      </c>
      <c r="C10162" s="341" t="s">
        <v>7273</v>
      </c>
      <c r="D10162" s="343">
        <v>78.28</v>
      </c>
    </row>
    <row r="10163" spans="1:4" ht="25.5">
      <c r="A10163" s="341">
        <v>40650</v>
      </c>
      <c r="B10163" s="342" t="s">
        <v>10997</v>
      </c>
      <c r="C10163" s="341" t="s">
        <v>7273</v>
      </c>
      <c r="D10163" s="343">
        <v>100.8</v>
      </c>
    </row>
    <row r="10164" spans="1:4" ht="25.5">
      <c r="A10164" s="341">
        <v>40651</v>
      </c>
      <c r="B10164" s="342" t="s">
        <v>10998</v>
      </c>
      <c r="C10164" s="341" t="s">
        <v>7273</v>
      </c>
      <c r="D10164" s="343">
        <v>185.92</v>
      </c>
    </row>
    <row r="10165" spans="1:4" ht="25.5">
      <c r="A10165" s="341">
        <v>40652</v>
      </c>
      <c r="B10165" s="342" t="s">
        <v>10999</v>
      </c>
      <c r="C10165" s="341" t="s">
        <v>7273</v>
      </c>
      <c r="D10165" s="343">
        <v>99.68</v>
      </c>
    </row>
    <row r="10166" spans="1:4" ht="38.25">
      <c r="A10166" s="341">
        <v>40647</v>
      </c>
      <c r="B10166" s="342" t="s">
        <v>11000</v>
      </c>
      <c r="C10166" s="341" t="s">
        <v>7273</v>
      </c>
      <c r="D10166" s="343">
        <v>109.76</v>
      </c>
    </row>
    <row r="10167" spans="1:4">
      <c r="A10167" s="341">
        <v>40653</v>
      </c>
      <c r="B10167" s="342" t="s">
        <v>11001</v>
      </c>
      <c r="C10167" s="341" t="s">
        <v>7273</v>
      </c>
      <c r="D10167" s="343">
        <v>84</v>
      </c>
    </row>
    <row r="10168" spans="1:4" ht="25.5">
      <c r="A10168" s="341">
        <v>36178</v>
      </c>
      <c r="B10168" s="342" t="s">
        <v>11002</v>
      </c>
      <c r="C10168" s="341" t="s">
        <v>7278</v>
      </c>
      <c r="D10168" s="343">
        <v>8.75</v>
      </c>
    </row>
    <row r="10169" spans="1:4" ht="25.5">
      <c r="A10169" s="341">
        <v>38195</v>
      </c>
      <c r="B10169" s="342" t="s">
        <v>11003</v>
      </c>
      <c r="C10169" s="341" t="s">
        <v>7273</v>
      </c>
      <c r="D10169" s="343">
        <v>51.05</v>
      </c>
    </row>
    <row r="10170" spans="1:4" ht="38.25">
      <c r="A10170" s="341">
        <v>38181</v>
      </c>
      <c r="B10170" s="342" t="s">
        <v>11004</v>
      </c>
      <c r="C10170" s="341" t="s">
        <v>7273</v>
      </c>
      <c r="D10170" s="343">
        <v>153.74</v>
      </c>
    </row>
    <row r="10171" spans="1:4" ht="38.25">
      <c r="A10171" s="341">
        <v>38182</v>
      </c>
      <c r="B10171" s="342" t="s">
        <v>11005</v>
      </c>
      <c r="C10171" s="341" t="s">
        <v>7273</v>
      </c>
      <c r="D10171" s="343">
        <v>146.44</v>
      </c>
    </row>
    <row r="10172" spans="1:4" ht="38.25">
      <c r="A10172" s="341">
        <v>38186</v>
      </c>
      <c r="B10172" s="342" t="s">
        <v>11006</v>
      </c>
      <c r="C10172" s="341" t="s">
        <v>7273</v>
      </c>
      <c r="D10172" s="343">
        <v>380.66</v>
      </c>
    </row>
    <row r="10173" spans="1:4" ht="38.25">
      <c r="A10173" s="341">
        <v>38185</v>
      </c>
      <c r="B10173" s="342" t="s">
        <v>11007</v>
      </c>
      <c r="C10173" s="341" t="s">
        <v>7273</v>
      </c>
      <c r="D10173" s="343">
        <v>338.92</v>
      </c>
    </row>
    <row r="10174" spans="1:4" ht="38.25">
      <c r="A10174" s="341">
        <v>40654</v>
      </c>
      <c r="B10174" s="342" t="s">
        <v>11008</v>
      </c>
      <c r="C10174" s="341" t="s">
        <v>7273</v>
      </c>
      <c r="D10174" s="343">
        <v>130.47999999999999</v>
      </c>
    </row>
    <row r="10175" spans="1:4" ht="51">
      <c r="A10175" s="341">
        <v>25981</v>
      </c>
      <c r="B10175" s="342" t="s">
        <v>11009</v>
      </c>
      <c r="C10175" s="341" t="s">
        <v>7273</v>
      </c>
      <c r="D10175" s="343">
        <v>254.92</v>
      </c>
    </row>
    <row r="10176" spans="1:4" ht="38.25">
      <c r="A10176" s="341">
        <v>4822</v>
      </c>
      <c r="B10176" s="342" t="s">
        <v>11010</v>
      </c>
      <c r="C10176" s="341" t="s">
        <v>7273</v>
      </c>
      <c r="D10176" s="343">
        <v>282.14</v>
      </c>
    </row>
    <row r="10177" spans="1:4" ht="38.25">
      <c r="A10177" s="341">
        <v>4818</v>
      </c>
      <c r="B10177" s="342" t="s">
        <v>11011</v>
      </c>
      <c r="C10177" s="341" t="s">
        <v>7273</v>
      </c>
      <c r="D10177" s="343">
        <v>290</v>
      </c>
    </row>
    <row r="10178" spans="1:4" ht="63.75">
      <c r="A10178" s="341">
        <v>39567</v>
      </c>
      <c r="B10178" s="342" t="s">
        <v>11012</v>
      </c>
      <c r="C10178" s="341" t="s">
        <v>7273</v>
      </c>
      <c r="D10178" s="343">
        <v>48.75</v>
      </c>
    </row>
    <row r="10179" spans="1:4" ht="63.75">
      <c r="A10179" s="341">
        <v>39566</v>
      </c>
      <c r="B10179" s="342" t="s">
        <v>11013</v>
      </c>
      <c r="C10179" s="341" t="s">
        <v>7273</v>
      </c>
      <c r="D10179" s="343">
        <v>56.31</v>
      </c>
    </row>
    <row r="10180" spans="1:4" ht="25.5">
      <c r="A10180" s="341">
        <v>11062</v>
      </c>
      <c r="B10180" s="342" t="s">
        <v>11014</v>
      </c>
      <c r="C10180" s="341" t="s">
        <v>7273</v>
      </c>
      <c r="D10180" s="343">
        <v>44.4</v>
      </c>
    </row>
    <row r="10181" spans="1:4" ht="25.5">
      <c r="A10181" s="341">
        <v>11063</v>
      </c>
      <c r="B10181" s="342" t="s">
        <v>11015</v>
      </c>
      <c r="C10181" s="341" t="s">
        <v>7273</v>
      </c>
      <c r="D10181" s="343">
        <v>42.99</v>
      </c>
    </row>
    <row r="10182" spans="1:4" ht="25.5">
      <c r="A10182" s="341">
        <v>13521</v>
      </c>
      <c r="B10182" s="342" t="s">
        <v>11016</v>
      </c>
      <c r="C10182" s="341" t="s">
        <v>7278</v>
      </c>
      <c r="D10182" s="343">
        <v>165</v>
      </c>
    </row>
    <row r="10183" spans="1:4" ht="51">
      <c r="A10183" s="341">
        <v>10851</v>
      </c>
      <c r="B10183" s="342" t="s">
        <v>11017</v>
      </c>
      <c r="C10183" s="341" t="s">
        <v>7278</v>
      </c>
      <c r="D10183" s="343">
        <v>46.45</v>
      </c>
    </row>
    <row r="10184" spans="1:4" ht="38.25">
      <c r="A10184" s="341">
        <v>39515</v>
      </c>
      <c r="B10184" s="342" t="s">
        <v>11018</v>
      </c>
      <c r="C10184" s="341" t="s">
        <v>7278</v>
      </c>
      <c r="D10184" s="343">
        <v>31.17</v>
      </c>
    </row>
    <row r="10185" spans="1:4" ht="51">
      <c r="A10185" s="341">
        <v>39516</v>
      </c>
      <c r="B10185" s="342" t="s">
        <v>11019</v>
      </c>
      <c r="C10185" s="341" t="s">
        <v>7278</v>
      </c>
      <c r="D10185" s="343">
        <v>26.28</v>
      </c>
    </row>
    <row r="10186" spans="1:4" ht="38.25">
      <c r="A10186" s="341">
        <v>39514</v>
      </c>
      <c r="B10186" s="342" t="s">
        <v>11020</v>
      </c>
      <c r="C10186" s="341" t="s">
        <v>7278</v>
      </c>
      <c r="D10186" s="343">
        <v>16.350000000000001</v>
      </c>
    </row>
    <row r="10187" spans="1:4" ht="38.25">
      <c r="A10187" s="341">
        <v>4812</v>
      </c>
      <c r="B10187" s="342" t="s">
        <v>11021</v>
      </c>
      <c r="C10187" s="341" t="s">
        <v>7273</v>
      </c>
      <c r="D10187" s="343">
        <v>13.47</v>
      </c>
    </row>
    <row r="10188" spans="1:4">
      <c r="A10188" s="341">
        <v>10849</v>
      </c>
      <c r="B10188" s="342" t="s">
        <v>11022</v>
      </c>
      <c r="C10188" s="341" t="s">
        <v>7278</v>
      </c>
      <c r="D10188" s="344">
        <v>2400.02</v>
      </c>
    </row>
    <row r="10189" spans="1:4" ht="25.5">
      <c r="A10189" s="341">
        <v>10848</v>
      </c>
      <c r="B10189" s="342" t="s">
        <v>11023</v>
      </c>
      <c r="C10189" s="341" t="s">
        <v>7278</v>
      </c>
      <c r="D10189" s="344">
        <v>1507.51</v>
      </c>
    </row>
    <row r="10190" spans="1:4" ht="25.5">
      <c r="A10190" s="341">
        <v>4813</v>
      </c>
      <c r="B10190" s="342" t="s">
        <v>11024</v>
      </c>
      <c r="C10190" s="341" t="s">
        <v>7273</v>
      </c>
      <c r="D10190" s="343">
        <v>500</v>
      </c>
    </row>
    <row r="10191" spans="1:4" ht="51">
      <c r="A10191" s="341">
        <v>37560</v>
      </c>
      <c r="B10191" s="342" t="s">
        <v>11025</v>
      </c>
      <c r="C10191" s="341" t="s">
        <v>7278</v>
      </c>
      <c r="D10191" s="343">
        <v>35.31</v>
      </c>
    </row>
    <row r="10192" spans="1:4" ht="63.75">
      <c r="A10192" s="341">
        <v>37557</v>
      </c>
      <c r="B10192" s="342" t="s">
        <v>11026</v>
      </c>
      <c r="C10192" s="341" t="s">
        <v>7278</v>
      </c>
      <c r="D10192" s="343">
        <v>10.72</v>
      </c>
    </row>
    <row r="10193" spans="1:4" ht="63.75">
      <c r="A10193" s="341">
        <v>37556</v>
      </c>
      <c r="B10193" s="342" t="s">
        <v>11027</v>
      </c>
      <c r="C10193" s="341" t="s">
        <v>7278</v>
      </c>
      <c r="D10193" s="343">
        <v>20.75</v>
      </c>
    </row>
    <row r="10194" spans="1:4" ht="63.75">
      <c r="A10194" s="341">
        <v>37559</v>
      </c>
      <c r="B10194" s="342" t="s">
        <v>11028</v>
      </c>
      <c r="C10194" s="341" t="s">
        <v>7278</v>
      </c>
      <c r="D10194" s="343">
        <v>25.45</v>
      </c>
    </row>
    <row r="10195" spans="1:4" ht="63.75">
      <c r="A10195" s="341">
        <v>37539</v>
      </c>
      <c r="B10195" s="342" t="s">
        <v>11029</v>
      </c>
      <c r="C10195" s="341" t="s">
        <v>7278</v>
      </c>
      <c r="D10195" s="343">
        <v>17.940000000000001</v>
      </c>
    </row>
    <row r="10196" spans="1:4" ht="63.75">
      <c r="A10196" s="341">
        <v>37558</v>
      </c>
      <c r="B10196" s="342" t="s">
        <v>11030</v>
      </c>
      <c r="C10196" s="341" t="s">
        <v>7278</v>
      </c>
      <c r="D10196" s="343">
        <v>33.450000000000003</v>
      </c>
    </row>
    <row r="10197" spans="1:4" ht="25.5">
      <c r="A10197" s="341">
        <v>34723</v>
      </c>
      <c r="B10197" s="342" t="s">
        <v>11031</v>
      </c>
      <c r="C10197" s="341" t="s">
        <v>7273</v>
      </c>
      <c r="D10197" s="344">
        <v>1155.01</v>
      </c>
    </row>
    <row r="10198" spans="1:4" ht="25.5">
      <c r="A10198" s="341">
        <v>34721</v>
      </c>
      <c r="B10198" s="342" t="s">
        <v>11032</v>
      </c>
      <c r="C10198" s="341" t="s">
        <v>7273</v>
      </c>
      <c r="D10198" s="344">
        <v>1440.01</v>
      </c>
    </row>
    <row r="10199" spans="1:4" ht="25.5">
      <c r="A10199" s="341">
        <v>4309</v>
      </c>
      <c r="B10199" s="342" t="s">
        <v>11033</v>
      </c>
      <c r="C10199" s="341" t="s">
        <v>7278</v>
      </c>
      <c r="D10199" s="343">
        <v>4.32</v>
      </c>
    </row>
    <row r="10200" spans="1:4" ht="25.5">
      <c r="A10200" s="341">
        <v>4307</v>
      </c>
      <c r="B10200" s="342" t="s">
        <v>11034</v>
      </c>
      <c r="C10200" s="341" t="s">
        <v>7278</v>
      </c>
      <c r="D10200" s="343">
        <v>7.39</v>
      </c>
    </row>
    <row r="10201" spans="1:4" ht="25.5">
      <c r="A10201" s="341">
        <v>10850</v>
      </c>
      <c r="B10201" s="342" t="s">
        <v>11035</v>
      </c>
      <c r="C10201" s="341" t="s">
        <v>7278</v>
      </c>
      <c r="D10201" s="343">
        <v>75</v>
      </c>
    </row>
    <row r="10202" spans="1:4" ht="63.75">
      <c r="A10202" s="341">
        <v>42467</v>
      </c>
      <c r="B10202" s="342" t="s">
        <v>11036</v>
      </c>
      <c r="C10202" s="341" t="s">
        <v>7278</v>
      </c>
      <c r="D10202" s="344">
        <v>1422.31</v>
      </c>
    </row>
    <row r="10203" spans="1:4" ht="25.5">
      <c r="A10203" s="341">
        <v>4792</v>
      </c>
      <c r="B10203" s="342" t="s">
        <v>11037</v>
      </c>
      <c r="C10203" s="341" t="s">
        <v>7273</v>
      </c>
      <c r="D10203" s="343">
        <v>108.11</v>
      </c>
    </row>
    <row r="10204" spans="1:4" ht="38.25">
      <c r="A10204" s="341">
        <v>4790</v>
      </c>
      <c r="B10204" s="342" t="s">
        <v>11038</v>
      </c>
      <c r="C10204" s="341" t="s">
        <v>7273</v>
      </c>
      <c r="D10204" s="343">
        <v>65</v>
      </c>
    </row>
    <row r="10205" spans="1:4" ht="51">
      <c r="A10205" s="341">
        <v>40671</v>
      </c>
      <c r="B10205" s="342" t="s">
        <v>11039</v>
      </c>
      <c r="C10205" s="341" t="s">
        <v>7273</v>
      </c>
      <c r="D10205" s="343">
        <v>49.92</v>
      </c>
    </row>
    <row r="10206" spans="1:4" ht="25.5">
      <c r="A10206" s="341">
        <v>7552</v>
      </c>
      <c r="B10206" s="342" t="s">
        <v>11040</v>
      </c>
      <c r="C10206" s="341" t="s">
        <v>7278</v>
      </c>
      <c r="D10206" s="343">
        <v>27.37</v>
      </c>
    </row>
    <row r="10207" spans="1:4" ht="25.5">
      <c r="A10207" s="341">
        <v>4893</v>
      </c>
      <c r="B10207" s="342" t="s">
        <v>11041</v>
      </c>
      <c r="C10207" s="341" t="s">
        <v>7278</v>
      </c>
      <c r="D10207" s="343">
        <v>7.13</v>
      </c>
    </row>
    <row r="10208" spans="1:4" ht="25.5">
      <c r="A10208" s="341">
        <v>4894</v>
      </c>
      <c r="B10208" s="342" t="s">
        <v>11042</v>
      </c>
      <c r="C10208" s="341" t="s">
        <v>7278</v>
      </c>
      <c r="D10208" s="343">
        <v>6.11</v>
      </c>
    </row>
    <row r="10209" spans="1:4" ht="25.5">
      <c r="A10209" s="341">
        <v>4888</v>
      </c>
      <c r="B10209" s="342" t="s">
        <v>11043</v>
      </c>
      <c r="C10209" s="341" t="s">
        <v>7278</v>
      </c>
      <c r="D10209" s="343">
        <v>2.08</v>
      </c>
    </row>
    <row r="10210" spans="1:4">
      <c r="A10210" s="341">
        <v>4890</v>
      </c>
      <c r="B10210" s="342" t="s">
        <v>11044</v>
      </c>
      <c r="C10210" s="341" t="s">
        <v>7278</v>
      </c>
      <c r="D10210" s="343">
        <v>3.91</v>
      </c>
    </row>
    <row r="10211" spans="1:4" ht="25.5">
      <c r="A10211" s="341">
        <v>12411</v>
      </c>
      <c r="B10211" s="342" t="s">
        <v>11045</v>
      </c>
      <c r="C10211" s="341" t="s">
        <v>7278</v>
      </c>
      <c r="D10211" s="343">
        <v>21.08</v>
      </c>
    </row>
    <row r="10212" spans="1:4">
      <c r="A10212" s="341">
        <v>4891</v>
      </c>
      <c r="B10212" s="342" t="s">
        <v>11046</v>
      </c>
      <c r="C10212" s="341" t="s">
        <v>7278</v>
      </c>
      <c r="D10212" s="343">
        <v>10.54</v>
      </c>
    </row>
    <row r="10213" spans="1:4" ht="25.5">
      <c r="A10213" s="341">
        <v>4889</v>
      </c>
      <c r="B10213" s="342" t="s">
        <v>11047</v>
      </c>
      <c r="C10213" s="341" t="s">
        <v>7278</v>
      </c>
      <c r="D10213" s="343">
        <v>2.81</v>
      </c>
    </row>
    <row r="10214" spans="1:4">
      <c r="A10214" s="341">
        <v>4892</v>
      </c>
      <c r="B10214" s="342" t="s">
        <v>11048</v>
      </c>
      <c r="C10214" s="341" t="s">
        <v>7278</v>
      </c>
      <c r="D10214" s="343">
        <v>29.52</v>
      </c>
    </row>
    <row r="10215" spans="1:4">
      <c r="A10215" s="341">
        <v>12412</v>
      </c>
      <c r="B10215" s="342" t="s">
        <v>11049</v>
      </c>
      <c r="C10215" s="341" t="s">
        <v>7278</v>
      </c>
      <c r="D10215" s="343">
        <v>54.86</v>
      </c>
    </row>
    <row r="10216" spans="1:4">
      <c r="A10216" s="341">
        <v>11073</v>
      </c>
      <c r="B10216" s="342" t="s">
        <v>11050</v>
      </c>
      <c r="C10216" s="341" t="s">
        <v>7278</v>
      </c>
      <c r="D10216" s="343">
        <v>6.73</v>
      </c>
    </row>
    <row r="10217" spans="1:4">
      <c r="A10217" s="341">
        <v>11071</v>
      </c>
      <c r="B10217" s="342" t="s">
        <v>11051</v>
      </c>
      <c r="C10217" s="341" t="s">
        <v>7278</v>
      </c>
      <c r="D10217" s="343">
        <v>8.0299999999999994</v>
      </c>
    </row>
    <row r="10218" spans="1:4">
      <c r="A10218" s="341">
        <v>11072</v>
      </c>
      <c r="B10218" s="342" t="s">
        <v>11052</v>
      </c>
      <c r="C10218" s="341" t="s">
        <v>7278</v>
      </c>
      <c r="D10218" s="343">
        <v>2.94</v>
      </c>
    </row>
    <row r="10219" spans="1:4" ht="25.5">
      <c r="A10219" s="341">
        <v>4895</v>
      </c>
      <c r="B10219" s="342" t="s">
        <v>11053</v>
      </c>
      <c r="C10219" s="341" t="s">
        <v>7278</v>
      </c>
      <c r="D10219" s="343">
        <v>0.49</v>
      </c>
    </row>
    <row r="10220" spans="1:4" ht="25.5">
      <c r="A10220" s="341">
        <v>4907</v>
      </c>
      <c r="B10220" s="342" t="s">
        <v>11054</v>
      </c>
      <c r="C10220" s="341" t="s">
        <v>7278</v>
      </c>
      <c r="D10220" s="343">
        <v>11.03</v>
      </c>
    </row>
    <row r="10221" spans="1:4" ht="25.5">
      <c r="A10221" s="341">
        <v>4904</v>
      </c>
      <c r="B10221" s="342" t="s">
        <v>11055</v>
      </c>
      <c r="C10221" s="341" t="s">
        <v>7278</v>
      </c>
      <c r="D10221" s="343">
        <v>89.06</v>
      </c>
    </row>
    <row r="10222" spans="1:4" ht="25.5">
      <c r="A10222" s="341">
        <v>4905</v>
      </c>
      <c r="B10222" s="342" t="s">
        <v>11056</v>
      </c>
      <c r="C10222" s="341" t="s">
        <v>7278</v>
      </c>
      <c r="D10222" s="343">
        <v>145.26</v>
      </c>
    </row>
    <row r="10223" spans="1:4" ht="25.5">
      <c r="A10223" s="341">
        <v>4902</v>
      </c>
      <c r="B10223" s="342" t="s">
        <v>11057</v>
      </c>
      <c r="C10223" s="341" t="s">
        <v>7278</v>
      </c>
      <c r="D10223" s="343">
        <v>24.98</v>
      </c>
    </row>
    <row r="10224" spans="1:4" ht="25.5">
      <c r="A10224" s="341">
        <v>4908</v>
      </c>
      <c r="B10224" s="342" t="s">
        <v>11058</v>
      </c>
      <c r="C10224" s="341" t="s">
        <v>7278</v>
      </c>
      <c r="D10224" s="343">
        <v>35.950000000000003</v>
      </c>
    </row>
    <row r="10225" spans="1:4" ht="25.5">
      <c r="A10225" s="341">
        <v>4909</v>
      </c>
      <c r="B10225" s="342" t="s">
        <v>11059</v>
      </c>
      <c r="C10225" s="341" t="s">
        <v>7278</v>
      </c>
      <c r="D10225" s="343">
        <v>65.900000000000006</v>
      </c>
    </row>
    <row r="10226" spans="1:4" ht="25.5">
      <c r="A10226" s="341">
        <v>4903</v>
      </c>
      <c r="B10226" s="342" t="s">
        <v>11060</v>
      </c>
      <c r="C10226" s="341" t="s">
        <v>7278</v>
      </c>
      <c r="D10226" s="343">
        <v>129.62</v>
      </c>
    </row>
    <row r="10227" spans="1:4" ht="25.5">
      <c r="A10227" s="341">
        <v>4897</v>
      </c>
      <c r="B10227" s="342" t="s">
        <v>11061</v>
      </c>
      <c r="C10227" s="341" t="s">
        <v>7278</v>
      </c>
      <c r="D10227" s="343">
        <v>1.28</v>
      </c>
    </row>
    <row r="10228" spans="1:4" ht="25.5">
      <c r="A10228" s="341">
        <v>4896</v>
      </c>
      <c r="B10228" s="342" t="s">
        <v>11062</v>
      </c>
      <c r="C10228" s="341" t="s">
        <v>7278</v>
      </c>
      <c r="D10228" s="343">
        <v>0.54</v>
      </c>
    </row>
    <row r="10229" spans="1:4" ht="25.5">
      <c r="A10229" s="341">
        <v>4900</v>
      </c>
      <c r="B10229" s="342" t="s">
        <v>11063</v>
      </c>
      <c r="C10229" s="341" t="s">
        <v>7278</v>
      </c>
      <c r="D10229" s="343">
        <v>3.72</v>
      </c>
    </row>
    <row r="10230" spans="1:4" ht="25.5">
      <c r="A10230" s="341">
        <v>4898</v>
      </c>
      <c r="B10230" s="342" t="s">
        <v>11064</v>
      </c>
      <c r="C10230" s="341" t="s">
        <v>7278</v>
      </c>
      <c r="D10230" s="343">
        <v>1.62</v>
      </c>
    </row>
    <row r="10231" spans="1:4">
      <c r="A10231" s="341">
        <v>4899</v>
      </c>
      <c r="B10231" s="342" t="s">
        <v>11065</v>
      </c>
      <c r="C10231" s="341" t="s">
        <v>7278</v>
      </c>
      <c r="D10231" s="343">
        <v>5.07</v>
      </c>
    </row>
    <row r="10232" spans="1:4" ht="25.5">
      <c r="A10232" s="341">
        <v>11096</v>
      </c>
      <c r="B10232" s="342" t="s">
        <v>11066</v>
      </c>
      <c r="C10232" s="341" t="s">
        <v>7338</v>
      </c>
      <c r="D10232" s="343">
        <v>0.32</v>
      </c>
    </row>
    <row r="10233" spans="1:4" ht="25.5">
      <c r="A10233" s="341">
        <v>4741</v>
      </c>
      <c r="B10233" s="342" t="s">
        <v>11067</v>
      </c>
      <c r="C10233" s="341" t="s">
        <v>7283</v>
      </c>
      <c r="D10233" s="343">
        <v>60.87</v>
      </c>
    </row>
    <row r="10234" spans="1:4">
      <c r="A10234" s="341">
        <v>4752</v>
      </c>
      <c r="B10234" s="342" t="s">
        <v>11068</v>
      </c>
      <c r="C10234" s="341" t="s">
        <v>7275</v>
      </c>
      <c r="D10234" s="343">
        <v>9.11</v>
      </c>
    </row>
    <row r="10235" spans="1:4" ht="25.5">
      <c r="A10235" s="341">
        <v>41091</v>
      </c>
      <c r="B10235" s="342" t="s">
        <v>11069</v>
      </c>
      <c r="C10235" s="341" t="s">
        <v>7466</v>
      </c>
      <c r="D10235" s="344">
        <v>1608.74</v>
      </c>
    </row>
    <row r="10236" spans="1:4" ht="38.25">
      <c r="A10236" s="341">
        <v>13954</v>
      </c>
      <c r="B10236" s="342" t="s">
        <v>11070</v>
      </c>
      <c r="C10236" s="341" t="s">
        <v>7278</v>
      </c>
      <c r="D10236" s="344">
        <v>6346.57</v>
      </c>
    </row>
    <row r="10237" spans="1:4" ht="25.5">
      <c r="A10237" s="341">
        <v>3411</v>
      </c>
      <c r="B10237" s="342" t="s">
        <v>11071</v>
      </c>
      <c r="C10237" s="341" t="s">
        <v>7338</v>
      </c>
      <c r="D10237" s="343">
        <v>45.12</v>
      </c>
    </row>
    <row r="10238" spans="1:4" ht="25.5">
      <c r="A10238" s="341">
        <v>39995</v>
      </c>
      <c r="B10238" s="342" t="s">
        <v>11072</v>
      </c>
      <c r="C10238" s="341" t="s">
        <v>7283</v>
      </c>
      <c r="D10238" s="343">
        <v>347.14</v>
      </c>
    </row>
    <row r="10239" spans="1:4" ht="38.25">
      <c r="A10239" s="341">
        <v>11615</v>
      </c>
      <c r="B10239" s="342" t="s">
        <v>11073</v>
      </c>
      <c r="C10239" s="341" t="s">
        <v>7273</v>
      </c>
      <c r="D10239" s="343">
        <v>2.94</v>
      </c>
    </row>
    <row r="10240" spans="1:4" ht="38.25">
      <c r="A10240" s="341">
        <v>3408</v>
      </c>
      <c r="B10240" s="342" t="s">
        <v>11074</v>
      </c>
      <c r="C10240" s="341" t="s">
        <v>7273</v>
      </c>
      <c r="D10240" s="343">
        <v>7.82</v>
      </c>
    </row>
    <row r="10241" spans="1:4" ht="38.25">
      <c r="A10241" s="341">
        <v>3409</v>
      </c>
      <c r="B10241" s="342" t="s">
        <v>11075</v>
      </c>
      <c r="C10241" s="341" t="s">
        <v>7273</v>
      </c>
      <c r="D10241" s="343">
        <v>19.55</v>
      </c>
    </row>
    <row r="10242" spans="1:4">
      <c r="A10242" s="341">
        <v>11427</v>
      </c>
      <c r="B10242" s="342" t="s">
        <v>11076</v>
      </c>
      <c r="C10242" s="341" t="s">
        <v>7338</v>
      </c>
      <c r="D10242" s="343">
        <v>61.79</v>
      </c>
    </row>
    <row r="10243" spans="1:4" ht="38.25">
      <c r="A10243" s="341">
        <v>26022</v>
      </c>
      <c r="B10243" s="342" t="s">
        <v>11077</v>
      </c>
      <c r="C10243" s="341" t="s">
        <v>7278</v>
      </c>
      <c r="D10243" s="343">
        <v>159.02000000000001</v>
      </c>
    </row>
    <row r="10244" spans="1:4" ht="25.5">
      <c r="A10244" s="341">
        <v>421</v>
      </c>
      <c r="B10244" s="342" t="s">
        <v>11078</v>
      </c>
      <c r="C10244" s="341" t="s">
        <v>7278</v>
      </c>
      <c r="D10244" s="343">
        <v>7.77</v>
      </c>
    </row>
    <row r="10245" spans="1:4" ht="25.5">
      <c r="A10245" s="341">
        <v>12362</v>
      </c>
      <c r="B10245" s="342" t="s">
        <v>11079</v>
      </c>
      <c r="C10245" s="341" t="s">
        <v>7278</v>
      </c>
      <c r="D10245" s="343">
        <v>9.3000000000000007</v>
      </c>
    </row>
    <row r="10246" spans="1:4" ht="25.5">
      <c r="A10246" s="341">
        <v>14148</v>
      </c>
      <c r="B10246" s="342" t="s">
        <v>11080</v>
      </c>
      <c r="C10246" s="341" t="s">
        <v>7278</v>
      </c>
      <c r="D10246" s="343">
        <v>0.89</v>
      </c>
    </row>
    <row r="10247" spans="1:4">
      <c r="A10247" s="341">
        <v>4341</v>
      </c>
      <c r="B10247" s="342" t="s">
        <v>11081</v>
      </c>
      <c r="C10247" s="341" t="s">
        <v>7278</v>
      </c>
      <c r="D10247" s="343">
        <v>0.53</v>
      </c>
    </row>
    <row r="10248" spans="1:4">
      <c r="A10248" s="341">
        <v>4337</v>
      </c>
      <c r="B10248" s="342" t="s">
        <v>11082</v>
      </c>
      <c r="C10248" s="341" t="s">
        <v>7278</v>
      </c>
      <c r="D10248" s="343">
        <v>1.36</v>
      </c>
    </row>
    <row r="10249" spans="1:4">
      <c r="A10249" s="341">
        <v>4339</v>
      </c>
      <c r="B10249" s="342" t="s">
        <v>11083</v>
      </c>
      <c r="C10249" s="341" t="s">
        <v>7278</v>
      </c>
      <c r="D10249" s="343">
        <v>0.28000000000000003</v>
      </c>
    </row>
    <row r="10250" spans="1:4">
      <c r="A10250" s="341">
        <v>39997</v>
      </c>
      <c r="B10250" s="342" t="s">
        <v>11084</v>
      </c>
      <c r="C10250" s="341" t="s">
        <v>7278</v>
      </c>
      <c r="D10250" s="343">
        <v>0.16</v>
      </c>
    </row>
    <row r="10251" spans="1:4">
      <c r="A10251" s="341">
        <v>11971</v>
      </c>
      <c r="B10251" s="342" t="s">
        <v>11085</v>
      </c>
      <c r="C10251" s="341" t="s">
        <v>7278</v>
      </c>
      <c r="D10251" s="343">
        <v>2.2400000000000002</v>
      </c>
    </row>
    <row r="10252" spans="1:4">
      <c r="A10252" s="341">
        <v>4342</v>
      </c>
      <c r="B10252" s="342" t="s">
        <v>11086</v>
      </c>
      <c r="C10252" s="341" t="s">
        <v>7278</v>
      </c>
      <c r="D10252" s="343">
        <v>0.11</v>
      </c>
    </row>
    <row r="10253" spans="1:4">
      <c r="A10253" s="341">
        <v>4330</v>
      </c>
      <c r="B10253" s="342" t="s">
        <v>11087</v>
      </c>
      <c r="C10253" s="341" t="s">
        <v>7278</v>
      </c>
      <c r="D10253" s="343">
        <v>7.0000000000000007E-2</v>
      </c>
    </row>
    <row r="10254" spans="1:4">
      <c r="A10254" s="341">
        <v>4340</v>
      </c>
      <c r="B10254" s="342" t="s">
        <v>11088</v>
      </c>
      <c r="C10254" s="341" t="s">
        <v>7278</v>
      </c>
      <c r="D10254" s="343">
        <v>0.63</v>
      </c>
    </row>
    <row r="10255" spans="1:4" ht="25.5">
      <c r="A10255" s="341">
        <v>5088</v>
      </c>
      <c r="B10255" s="342" t="s">
        <v>11089</v>
      </c>
      <c r="C10255" s="341" t="s">
        <v>7278</v>
      </c>
      <c r="D10255" s="343">
        <v>2.44</v>
      </c>
    </row>
    <row r="10256" spans="1:4" ht="38.25">
      <c r="A10256" s="341">
        <v>11154</v>
      </c>
      <c r="B10256" s="342" t="s">
        <v>11090</v>
      </c>
      <c r="C10256" s="341" t="s">
        <v>7278</v>
      </c>
      <c r="D10256" s="343">
        <v>814.18</v>
      </c>
    </row>
    <row r="10257" spans="1:4" ht="63.75">
      <c r="A10257" s="341">
        <v>39021</v>
      </c>
      <c r="B10257" s="342" t="s">
        <v>11091</v>
      </c>
      <c r="C10257" s="341" t="s">
        <v>7278</v>
      </c>
      <c r="D10257" s="343">
        <v>366.21</v>
      </c>
    </row>
    <row r="10258" spans="1:4" ht="38.25">
      <c r="A10258" s="341">
        <v>39022</v>
      </c>
      <c r="B10258" s="342" t="s">
        <v>11092</v>
      </c>
      <c r="C10258" s="341" t="s">
        <v>7278</v>
      </c>
      <c r="D10258" s="343">
        <v>452.9</v>
      </c>
    </row>
    <row r="10259" spans="1:4" ht="51">
      <c r="A10259" s="341">
        <v>39024</v>
      </c>
      <c r="B10259" s="342" t="s">
        <v>11093</v>
      </c>
      <c r="C10259" s="341" t="s">
        <v>7278</v>
      </c>
      <c r="D10259" s="343">
        <v>943.24</v>
      </c>
    </row>
    <row r="10260" spans="1:4" ht="51">
      <c r="A10260" s="341">
        <v>4914</v>
      </c>
      <c r="B10260" s="342" t="s">
        <v>11094</v>
      </c>
      <c r="C10260" s="341" t="s">
        <v>7273</v>
      </c>
      <c r="D10260" s="343">
        <v>764.8</v>
      </c>
    </row>
    <row r="10261" spans="1:4" ht="38.25">
      <c r="A10261" s="341">
        <v>4917</v>
      </c>
      <c r="B10261" s="342" t="s">
        <v>11095</v>
      </c>
      <c r="C10261" s="341" t="s">
        <v>7273</v>
      </c>
      <c r="D10261" s="343">
        <v>528.17999999999995</v>
      </c>
    </row>
    <row r="10262" spans="1:4" ht="38.25">
      <c r="A10262" s="341">
        <v>39025</v>
      </c>
      <c r="B10262" s="342" t="s">
        <v>11096</v>
      </c>
      <c r="C10262" s="341" t="s">
        <v>7278</v>
      </c>
      <c r="D10262" s="343">
        <v>967.2</v>
      </c>
    </row>
    <row r="10263" spans="1:4" ht="38.25">
      <c r="A10263" s="341">
        <v>4930</v>
      </c>
      <c r="B10263" s="342" t="s">
        <v>11097</v>
      </c>
      <c r="C10263" s="341" t="s">
        <v>7273</v>
      </c>
      <c r="D10263" s="343">
        <v>393.57</v>
      </c>
    </row>
    <row r="10264" spans="1:4" ht="51">
      <c r="A10264" s="341">
        <v>4922</v>
      </c>
      <c r="B10264" s="342" t="s">
        <v>11098</v>
      </c>
      <c r="C10264" s="341" t="s">
        <v>7273</v>
      </c>
      <c r="D10264" s="343">
        <v>489.93</v>
      </c>
    </row>
    <row r="10265" spans="1:4" ht="51">
      <c r="A10265" s="341">
        <v>4911</v>
      </c>
      <c r="B10265" s="342" t="s">
        <v>11099</v>
      </c>
      <c r="C10265" s="341" t="s">
        <v>7273</v>
      </c>
      <c r="D10265" s="343">
        <v>117.72</v>
      </c>
    </row>
    <row r="10266" spans="1:4" ht="51">
      <c r="A10266" s="341">
        <v>37518</v>
      </c>
      <c r="B10266" s="342" t="s">
        <v>11100</v>
      </c>
      <c r="C10266" s="341" t="s">
        <v>7273</v>
      </c>
      <c r="D10266" s="343">
        <v>150.28</v>
      </c>
    </row>
    <row r="10267" spans="1:4" ht="38.25">
      <c r="A10267" s="341">
        <v>4910</v>
      </c>
      <c r="B10267" s="342" t="s">
        <v>11101</v>
      </c>
      <c r="C10267" s="341" t="s">
        <v>7273</v>
      </c>
      <c r="D10267" s="343">
        <v>117.72</v>
      </c>
    </row>
    <row r="10268" spans="1:4" ht="51">
      <c r="A10268" s="341">
        <v>4943</v>
      </c>
      <c r="B10268" s="342" t="s">
        <v>11102</v>
      </c>
      <c r="C10268" s="341" t="s">
        <v>7273</v>
      </c>
      <c r="D10268" s="343">
        <v>186.84</v>
      </c>
    </row>
    <row r="10269" spans="1:4" ht="38.25">
      <c r="A10269" s="341">
        <v>5002</v>
      </c>
      <c r="B10269" s="342" t="s">
        <v>11103</v>
      </c>
      <c r="C10269" s="341" t="s">
        <v>7273</v>
      </c>
      <c r="D10269" s="343">
        <v>228.03</v>
      </c>
    </row>
    <row r="10270" spans="1:4" ht="25.5">
      <c r="A10270" s="341">
        <v>4977</v>
      </c>
      <c r="B10270" s="342" t="s">
        <v>11104</v>
      </c>
      <c r="C10270" s="341" t="s">
        <v>7273</v>
      </c>
      <c r="D10270" s="343">
        <v>153.91999999999999</v>
      </c>
    </row>
    <row r="10271" spans="1:4" ht="38.25">
      <c r="A10271" s="341">
        <v>5028</v>
      </c>
      <c r="B10271" s="342" t="s">
        <v>11105</v>
      </c>
      <c r="C10271" s="341" t="s">
        <v>7273</v>
      </c>
      <c r="D10271" s="343">
        <v>376.63</v>
      </c>
    </row>
    <row r="10272" spans="1:4" ht="38.25">
      <c r="A10272" s="341">
        <v>4998</v>
      </c>
      <c r="B10272" s="342" t="s">
        <v>11106</v>
      </c>
      <c r="C10272" s="341" t="s">
        <v>7273</v>
      </c>
      <c r="D10272" s="343">
        <v>312.8</v>
      </c>
    </row>
    <row r="10273" spans="1:4" ht="38.25">
      <c r="A10273" s="341">
        <v>4969</v>
      </c>
      <c r="B10273" s="342" t="s">
        <v>11107</v>
      </c>
      <c r="C10273" s="341" t="s">
        <v>7273</v>
      </c>
      <c r="D10273" s="343">
        <v>217.7</v>
      </c>
    </row>
    <row r="10274" spans="1:4" ht="51">
      <c r="A10274" s="341">
        <v>11364</v>
      </c>
      <c r="B10274" s="342" t="s">
        <v>11108</v>
      </c>
      <c r="C10274" s="341" t="s">
        <v>7278</v>
      </c>
      <c r="D10274" s="343">
        <v>110.07</v>
      </c>
    </row>
    <row r="10275" spans="1:4" ht="51">
      <c r="A10275" s="341">
        <v>11365</v>
      </c>
      <c r="B10275" s="342" t="s">
        <v>11109</v>
      </c>
      <c r="C10275" s="341" t="s">
        <v>7278</v>
      </c>
      <c r="D10275" s="343">
        <v>118.54</v>
      </c>
    </row>
    <row r="10276" spans="1:4" ht="51">
      <c r="A10276" s="341">
        <v>11366</v>
      </c>
      <c r="B10276" s="342" t="s">
        <v>11110</v>
      </c>
      <c r="C10276" s="341" t="s">
        <v>7278</v>
      </c>
      <c r="D10276" s="343">
        <v>125.45</v>
      </c>
    </row>
    <row r="10277" spans="1:4" ht="51">
      <c r="A10277" s="341">
        <v>11367</v>
      </c>
      <c r="B10277" s="342" t="s">
        <v>11111</v>
      </c>
      <c r="C10277" s="341" t="s">
        <v>7273</v>
      </c>
      <c r="D10277" s="343">
        <v>96.64</v>
      </c>
    </row>
    <row r="10278" spans="1:4" ht="51">
      <c r="A10278" s="341">
        <v>4989</v>
      </c>
      <c r="B10278" s="342" t="s">
        <v>11112</v>
      </c>
      <c r="C10278" s="341" t="s">
        <v>7278</v>
      </c>
      <c r="D10278" s="343">
        <v>250.76</v>
      </c>
    </row>
    <row r="10279" spans="1:4" ht="51">
      <c r="A10279" s="341">
        <v>4982</v>
      </c>
      <c r="B10279" s="342" t="s">
        <v>11113</v>
      </c>
      <c r="C10279" s="341" t="s">
        <v>7278</v>
      </c>
      <c r="D10279" s="343">
        <v>217.7</v>
      </c>
    </row>
    <row r="10280" spans="1:4" ht="63.75">
      <c r="A10280" s="341">
        <v>20322</v>
      </c>
      <c r="B10280" s="342" t="s">
        <v>11114</v>
      </c>
      <c r="C10280" s="341" t="s">
        <v>7278</v>
      </c>
      <c r="D10280" s="343">
        <v>191.87</v>
      </c>
    </row>
    <row r="10281" spans="1:4" ht="51">
      <c r="A10281" s="341">
        <v>10553</v>
      </c>
      <c r="B10281" s="342" t="s">
        <v>11115</v>
      </c>
      <c r="C10281" s="341" t="s">
        <v>7278</v>
      </c>
      <c r="D10281" s="343">
        <v>204.56</v>
      </c>
    </row>
    <row r="10282" spans="1:4" ht="51">
      <c r="A10282" s="341">
        <v>5020</v>
      </c>
      <c r="B10282" s="342" t="s">
        <v>11116</v>
      </c>
      <c r="C10282" s="341" t="s">
        <v>7278</v>
      </c>
      <c r="D10282" s="343">
        <v>212.09</v>
      </c>
    </row>
    <row r="10283" spans="1:4" ht="63.75">
      <c r="A10283" s="341">
        <v>4962</v>
      </c>
      <c r="B10283" s="342" t="s">
        <v>11117</v>
      </c>
      <c r="C10283" s="341" t="s">
        <v>7278</v>
      </c>
      <c r="D10283" s="343">
        <v>206.63</v>
      </c>
    </row>
    <row r="10284" spans="1:4" ht="51">
      <c r="A10284" s="341">
        <v>4981</v>
      </c>
      <c r="B10284" s="342" t="s">
        <v>11118</v>
      </c>
      <c r="C10284" s="341" t="s">
        <v>7278</v>
      </c>
      <c r="D10284" s="343">
        <v>146.12</v>
      </c>
    </row>
    <row r="10285" spans="1:4" ht="51">
      <c r="A10285" s="341">
        <v>10554</v>
      </c>
      <c r="B10285" s="342" t="s">
        <v>11119</v>
      </c>
      <c r="C10285" s="341" t="s">
        <v>7278</v>
      </c>
      <c r="D10285" s="343">
        <v>228.62</v>
      </c>
    </row>
    <row r="10286" spans="1:4" ht="63.75">
      <c r="A10286" s="341">
        <v>4964</v>
      </c>
      <c r="B10286" s="342" t="s">
        <v>11120</v>
      </c>
      <c r="C10286" s="341" t="s">
        <v>7278</v>
      </c>
      <c r="D10286" s="343">
        <v>250.91</v>
      </c>
    </row>
    <row r="10287" spans="1:4" ht="51">
      <c r="A10287" s="341">
        <v>4992</v>
      </c>
      <c r="B10287" s="342" t="s">
        <v>11121</v>
      </c>
      <c r="C10287" s="341" t="s">
        <v>7278</v>
      </c>
      <c r="D10287" s="343">
        <v>248.84</v>
      </c>
    </row>
    <row r="10288" spans="1:4" ht="51">
      <c r="A10288" s="341">
        <v>10555</v>
      </c>
      <c r="B10288" s="342" t="s">
        <v>11122</v>
      </c>
      <c r="C10288" s="341" t="s">
        <v>7278</v>
      </c>
      <c r="D10288" s="343">
        <v>220.65</v>
      </c>
    </row>
    <row r="10289" spans="1:4" ht="51">
      <c r="A10289" s="341">
        <v>4987</v>
      </c>
      <c r="B10289" s="342" t="s">
        <v>11123</v>
      </c>
      <c r="C10289" s="341" t="s">
        <v>7278</v>
      </c>
      <c r="D10289" s="343">
        <v>228.62</v>
      </c>
    </row>
    <row r="10290" spans="1:4" ht="51">
      <c r="A10290" s="341">
        <v>10556</v>
      </c>
      <c r="B10290" s="342" t="s">
        <v>11124</v>
      </c>
      <c r="C10290" s="341" t="s">
        <v>7278</v>
      </c>
      <c r="D10290" s="343">
        <v>234.41</v>
      </c>
    </row>
    <row r="10291" spans="1:4" ht="51">
      <c r="A10291" s="341">
        <v>4958</v>
      </c>
      <c r="B10291" s="342" t="s">
        <v>11125</v>
      </c>
      <c r="C10291" s="341" t="s">
        <v>7273</v>
      </c>
      <c r="D10291" s="343">
        <v>133.97</v>
      </c>
    </row>
    <row r="10292" spans="1:4" ht="51">
      <c r="A10292" s="341">
        <v>39502</v>
      </c>
      <c r="B10292" s="342" t="s">
        <v>11126</v>
      </c>
      <c r="C10292" s="341" t="s">
        <v>7278</v>
      </c>
      <c r="D10292" s="343">
        <v>324.70999999999998</v>
      </c>
    </row>
    <row r="10293" spans="1:4" ht="51">
      <c r="A10293" s="341">
        <v>39504</v>
      </c>
      <c r="B10293" s="342" t="s">
        <v>11127</v>
      </c>
      <c r="C10293" s="341" t="s">
        <v>7278</v>
      </c>
      <c r="D10293" s="343">
        <v>230.25</v>
      </c>
    </row>
    <row r="10294" spans="1:4" ht="51">
      <c r="A10294" s="341">
        <v>39503</v>
      </c>
      <c r="B10294" s="342" t="s">
        <v>11128</v>
      </c>
      <c r="C10294" s="341" t="s">
        <v>7278</v>
      </c>
      <c r="D10294" s="343">
        <v>352.75</v>
      </c>
    </row>
    <row r="10295" spans="1:4" ht="51">
      <c r="A10295" s="341">
        <v>39505</v>
      </c>
      <c r="B10295" s="342" t="s">
        <v>11129</v>
      </c>
      <c r="C10295" s="341" t="s">
        <v>7278</v>
      </c>
      <c r="D10295" s="343">
        <v>250.91</v>
      </c>
    </row>
    <row r="10296" spans="1:4">
      <c r="A10296" s="341">
        <v>25969</v>
      </c>
      <c r="B10296" s="342" t="s">
        <v>11130</v>
      </c>
      <c r="C10296" s="341" t="s">
        <v>7278</v>
      </c>
      <c r="D10296" s="343">
        <v>291.24</v>
      </c>
    </row>
    <row r="10297" spans="1:4" ht="38.25">
      <c r="A10297" s="341">
        <v>4944</v>
      </c>
      <c r="B10297" s="342" t="s">
        <v>11131</v>
      </c>
      <c r="C10297" s="341" t="s">
        <v>7273</v>
      </c>
      <c r="D10297" s="343">
        <v>229.14</v>
      </c>
    </row>
    <row r="10298" spans="1:4" ht="25.5">
      <c r="A10298" s="341">
        <v>21102</v>
      </c>
      <c r="B10298" s="342" t="s">
        <v>11132</v>
      </c>
      <c r="C10298" s="341" t="s">
        <v>7278</v>
      </c>
      <c r="D10298" s="343">
        <v>54.79</v>
      </c>
    </row>
    <row r="10299" spans="1:4" ht="25.5">
      <c r="A10299" s="341">
        <v>21101</v>
      </c>
      <c r="B10299" s="342" t="s">
        <v>11133</v>
      </c>
      <c r="C10299" s="341" t="s">
        <v>7278</v>
      </c>
      <c r="D10299" s="343">
        <v>35.18</v>
      </c>
    </row>
    <row r="10300" spans="1:4" ht="38.25">
      <c r="A10300" s="341">
        <v>34713</v>
      </c>
      <c r="B10300" s="342" t="s">
        <v>11134</v>
      </c>
      <c r="C10300" s="341" t="s">
        <v>7273</v>
      </c>
      <c r="D10300" s="343">
        <v>227.51</v>
      </c>
    </row>
    <row r="10301" spans="1:4" ht="51">
      <c r="A10301" s="341">
        <v>4947</v>
      </c>
      <c r="B10301" s="342" t="s">
        <v>11135</v>
      </c>
      <c r="C10301" s="341" t="s">
        <v>7273</v>
      </c>
      <c r="D10301" s="343">
        <v>505.78</v>
      </c>
    </row>
    <row r="10302" spans="1:4" ht="38.25">
      <c r="A10302" s="341">
        <v>37563</v>
      </c>
      <c r="B10302" s="342" t="s">
        <v>11136</v>
      </c>
      <c r="C10302" s="341" t="s">
        <v>7273</v>
      </c>
      <c r="D10302" s="343">
        <v>388.35</v>
      </c>
    </row>
    <row r="10303" spans="1:4" ht="38.25">
      <c r="A10303" s="341">
        <v>4948</v>
      </c>
      <c r="B10303" s="342" t="s">
        <v>11137</v>
      </c>
      <c r="C10303" s="341" t="s">
        <v>7273</v>
      </c>
      <c r="D10303" s="343">
        <v>352.45</v>
      </c>
    </row>
    <row r="10304" spans="1:4" ht="63.75">
      <c r="A10304" s="341">
        <v>37561</v>
      </c>
      <c r="B10304" s="342" t="s">
        <v>11138</v>
      </c>
      <c r="C10304" s="341" t="s">
        <v>7273</v>
      </c>
      <c r="D10304" s="343">
        <v>724.96</v>
      </c>
    </row>
    <row r="10305" spans="1:4" ht="51">
      <c r="A10305" s="341">
        <v>37562</v>
      </c>
      <c r="B10305" s="342" t="s">
        <v>11139</v>
      </c>
      <c r="C10305" s="341" t="s">
        <v>7273</v>
      </c>
      <c r="D10305" s="343">
        <v>464.98</v>
      </c>
    </row>
    <row r="10306" spans="1:4" ht="38.25">
      <c r="A10306" s="341">
        <v>37585</v>
      </c>
      <c r="B10306" s="342" t="s">
        <v>11140</v>
      </c>
      <c r="C10306" s="341" t="s">
        <v>7278</v>
      </c>
      <c r="D10306" s="343">
        <v>263.35000000000002</v>
      </c>
    </row>
    <row r="10307" spans="1:4" ht="51">
      <c r="A10307" s="341">
        <v>14164</v>
      </c>
      <c r="B10307" s="342" t="s">
        <v>11141</v>
      </c>
      <c r="C10307" s="341" t="s">
        <v>7278</v>
      </c>
      <c r="D10307" s="343">
        <v>981.48</v>
      </c>
    </row>
    <row r="10308" spans="1:4" ht="51">
      <c r="A10308" s="341">
        <v>14163</v>
      </c>
      <c r="B10308" s="342" t="s">
        <v>11142</v>
      </c>
      <c r="C10308" s="341" t="s">
        <v>7278</v>
      </c>
      <c r="D10308" s="344">
        <v>1115.51</v>
      </c>
    </row>
    <row r="10309" spans="1:4" ht="51">
      <c r="A10309" s="341">
        <v>5051</v>
      </c>
      <c r="B10309" s="342" t="s">
        <v>11143</v>
      </c>
      <c r="C10309" s="341" t="s">
        <v>7278</v>
      </c>
      <c r="D10309" s="343">
        <v>948.73</v>
      </c>
    </row>
    <row r="10310" spans="1:4" ht="51">
      <c r="A10310" s="341">
        <v>14162</v>
      </c>
      <c r="B10310" s="342" t="s">
        <v>11144</v>
      </c>
      <c r="C10310" s="341" t="s">
        <v>7278</v>
      </c>
      <c r="D10310" s="343">
        <v>947.35</v>
      </c>
    </row>
    <row r="10311" spans="1:4" ht="51">
      <c r="A10311" s="341">
        <v>5052</v>
      </c>
      <c r="B10311" s="342" t="s">
        <v>11145</v>
      </c>
      <c r="C10311" s="341" t="s">
        <v>7278</v>
      </c>
      <c r="D10311" s="343">
        <v>706.86</v>
      </c>
    </row>
    <row r="10312" spans="1:4" ht="38.25">
      <c r="A10312" s="341">
        <v>14166</v>
      </c>
      <c r="B10312" s="342" t="s">
        <v>11146</v>
      </c>
      <c r="C10312" s="341" t="s">
        <v>7278</v>
      </c>
      <c r="D10312" s="343">
        <v>715.83</v>
      </c>
    </row>
    <row r="10313" spans="1:4" ht="38.25">
      <c r="A10313" s="341">
        <v>14165</v>
      </c>
      <c r="B10313" s="342" t="s">
        <v>11147</v>
      </c>
      <c r="C10313" s="341" t="s">
        <v>7278</v>
      </c>
      <c r="D10313" s="343">
        <v>991.69</v>
      </c>
    </row>
    <row r="10314" spans="1:4" ht="38.25">
      <c r="A10314" s="341">
        <v>5050</v>
      </c>
      <c r="B10314" s="342" t="s">
        <v>11148</v>
      </c>
      <c r="C10314" s="341" t="s">
        <v>7278</v>
      </c>
      <c r="D10314" s="343">
        <v>244.07</v>
      </c>
    </row>
    <row r="10315" spans="1:4" ht="38.25">
      <c r="A10315" s="341">
        <v>12378</v>
      </c>
      <c r="B10315" s="342" t="s">
        <v>11149</v>
      </c>
      <c r="C10315" s="341" t="s">
        <v>7278</v>
      </c>
      <c r="D10315" s="343">
        <v>580.16</v>
      </c>
    </row>
    <row r="10316" spans="1:4" ht="25.5">
      <c r="A10316" s="341">
        <v>5040</v>
      </c>
      <c r="B10316" s="342" t="s">
        <v>11150</v>
      </c>
      <c r="C10316" s="341" t="s">
        <v>7278</v>
      </c>
      <c r="D10316" s="343">
        <v>207.96</v>
      </c>
    </row>
    <row r="10317" spans="1:4" ht="25.5">
      <c r="A10317" s="341">
        <v>5054</v>
      </c>
      <c r="B10317" s="342" t="s">
        <v>11151</v>
      </c>
      <c r="C10317" s="341" t="s">
        <v>7278</v>
      </c>
      <c r="D10317" s="343">
        <v>303.37</v>
      </c>
    </row>
    <row r="10318" spans="1:4" ht="25.5">
      <c r="A10318" s="341">
        <v>12366</v>
      </c>
      <c r="B10318" s="342" t="s">
        <v>11152</v>
      </c>
      <c r="C10318" s="341" t="s">
        <v>7278</v>
      </c>
      <c r="D10318" s="343">
        <v>540.11</v>
      </c>
    </row>
    <row r="10319" spans="1:4" ht="25.5">
      <c r="A10319" s="341">
        <v>5045</v>
      </c>
      <c r="B10319" s="342" t="s">
        <v>11153</v>
      </c>
      <c r="C10319" s="341" t="s">
        <v>7278</v>
      </c>
      <c r="D10319" s="343">
        <v>752.13</v>
      </c>
    </row>
    <row r="10320" spans="1:4" ht="25.5">
      <c r="A10320" s="341">
        <v>12367</v>
      </c>
      <c r="B10320" s="342" t="s">
        <v>11154</v>
      </c>
      <c r="C10320" s="341" t="s">
        <v>7278</v>
      </c>
      <c r="D10320" s="344">
        <v>2302.65</v>
      </c>
    </row>
    <row r="10321" spans="1:4" ht="25.5">
      <c r="A10321" s="341">
        <v>12368</v>
      </c>
      <c r="B10321" s="342" t="s">
        <v>11155</v>
      </c>
      <c r="C10321" s="341" t="s">
        <v>7278</v>
      </c>
      <c r="D10321" s="344">
        <v>4556</v>
      </c>
    </row>
    <row r="10322" spans="1:4" ht="25.5">
      <c r="A10322" s="341">
        <v>5042</v>
      </c>
      <c r="B10322" s="342" t="s">
        <v>11156</v>
      </c>
      <c r="C10322" s="341" t="s">
        <v>7278</v>
      </c>
      <c r="D10322" s="343">
        <v>392.35</v>
      </c>
    </row>
    <row r="10323" spans="1:4" ht="25.5">
      <c r="A10323" s="341">
        <v>5044</v>
      </c>
      <c r="B10323" s="342" t="s">
        <v>11157</v>
      </c>
      <c r="C10323" s="341" t="s">
        <v>7278</v>
      </c>
      <c r="D10323" s="343">
        <v>530.64</v>
      </c>
    </row>
    <row r="10324" spans="1:4" ht="25.5">
      <c r="A10324" s="341">
        <v>5055</v>
      </c>
      <c r="B10324" s="342" t="s">
        <v>11158</v>
      </c>
      <c r="C10324" s="341" t="s">
        <v>7278</v>
      </c>
      <c r="D10324" s="343">
        <v>754.43</v>
      </c>
    </row>
    <row r="10325" spans="1:4" ht="25.5">
      <c r="A10325" s="341">
        <v>5041</v>
      </c>
      <c r="B10325" s="342" t="s">
        <v>11159</v>
      </c>
      <c r="C10325" s="341" t="s">
        <v>7278</v>
      </c>
      <c r="D10325" s="343">
        <v>278.72000000000003</v>
      </c>
    </row>
    <row r="10326" spans="1:4" ht="25.5">
      <c r="A10326" s="341">
        <v>5043</v>
      </c>
      <c r="B10326" s="342" t="s">
        <v>11160</v>
      </c>
      <c r="C10326" s="341" t="s">
        <v>7278</v>
      </c>
      <c r="D10326" s="343">
        <v>481.32</v>
      </c>
    </row>
    <row r="10327" spans="1:4" ht="25.5">
      <c r="A10327" s="341">
        <v>5053</v>
      </c>
      <c r="B10327" s="342" t="s">
        <v>11161</v>
      </c>
      <c r="C10327" s="341" t="s">
        <v>7278</v>
      </c>
      <c r="D10327" s="343">
        <v>587.19000000000005</v>
      </c>
    </row>
    <row r="10328" spans="1:4" ht="25.5">
      <c r="A10328" s="341">
        <v>5035</v>
      </c>
      <c r="B10328" s="342" t="s">
        <v>11162</v>
      </c>
      <c r="C10328" s="341" t="s">
        <v>7278</v>
      </c>
      <c r="D10328" s="343">
        <v>960.05</v>
      </c>
    </row>
    <row r="10329" spans="1:4" ht="25.5">
      <c r="A10329" s="341">
        <v>5036</v>
      </c>
      <c r="B10329" s="342" t="s">
        <v>11163</v>
      </c>
      <c r="C10329" s="341" t="s">
        <v>7278</v>
      </c>
      <c r="D10329" s="344">
        <v>1602.64</v>
      </c>
    </row>
    <row r="10330" spans="1:4" ht="25.5">
      <c r="A10330" s="341">
        <v>5059</v>
      </c>
      <c r="B10330" s="342" t="s">
        <v>11164</v>
      </c>
      <c r="C10330" s="341" t="s">
        <v>7278</v>
      </c>
      <c r="D10330" s="343">
        <v>750.85</v>
      </c>
    </row>
    <row r="10331" spans="1:4" ht="25.5">
      <c r="A10331" s="341">
        <v>5034</v>
      </c>
      <c r="B10331" s="342" t="s">
        <v>11165</v>
      </c>
      <c r="C10331" s="341" t="s">
        <v>7278</v>
      </c>
      <c r="D10331" s="344">
        <v>1036.0999999999999</v>
      </c>
    </row>
    <row r="10332" spans="1:4" ht="25.5">
      <c r="A10332" s="341">
        <v>5056</v>
      </c>
      <c r="B10332" s="342" t="s">
        <v>11166</v>
      </c>
      <c r="C10332" s="341" t="s">
        <v>7278</v>
      </c>
      <c r="D10332" s="343">
        <v>805.07</v>
      </c>
    </row>
    <row r="10333" spans="1:4" ht="25.5">
      <c r="A10333" s="341">
        <v>5057</v>
      </c>
      <c r="B10333" s="342" t="s">
        <v>11167</v>
      </c>
      <c r="C10333" s="341" t="s">
        <v>7278</v>
      </c>
      <c r="D10333" s="343">
        <v>645.66</v>
      </c>
    </row>
    <row r="10334" spans="1:4" ht="25.5">
      <c r="A10334" s="341">
        <v>5033</v>
      </c>
      <c r="B10334" s="342" t="s">
        <v>11168</v>
      </c>
      <c r="C10334" s="341" t="s">
        <v>7278</v>
      </c>
      <c r="D10334" s="343">
        <v>536</v>
      </c>
    </row>
    <row r="10335" spans="1:4" ht="25.5">
      <c r="A10335" s="341">
        <v>5037</v>
      </c>
      <c r="B10335" s="342" t="s">
        <v>11169</v>
      </c>
      <c r="C10335" s="341" t="s">
        <v>7278</v>
      </c>
      <c r="D10335" s="343">
        <v>271.93</v>
      </c>
    </row>
    <row r="10336" spans="1:4" ht="25.5">
      <c r="A10336" s="341">
        <v>5038</v>
      </c>
      <c r="B10336" s="342" t="s">
        <v>11170</v>
      </c>
      <c r="C10336" s="341" t="s">
        <v>7278</v>
      </c>
      <c r="D10336" s="343">
        <v>436.84</v>
      </c>
    </row>
    <row r="10337" spans="1:4" ht="25.5">
      <c r="A10337" s="341">
        <v>12374</v>
      </c>
      <c r="B10337" s="342" t="s">
        <v>11171</v>
      </c>
      <c r="C10337" s="341" t="s">
        <v>7278</v>
      </c>
      <c r="D10337" s="343">
        <v>268</v>
      </c>
    </row>
    <row r="10338" spans="1:4" ht="25.5">
      <c r="A10338" s="341">
        <v>12372</v>
      </c>
      <c r="B10338" s="342" t="s">
        <v>11172</v>
      </c>
      <c r="C10338" s="341" t="s">
        <v>7278</v>
      </c>
      <c r="D10338" s="343">
        <v>575.66</v>
      </c>
    </row>
    <row r="10339" spans="1:4" ht="25.5">
      <c r="A10339" s="341">
        <v>13335</v>
      </c>
      <c r="B10339" s="342" t="s">
        <v>11173</v>
      </c>
      <c r="C10339" s="341" t="s">
        <v>7278</v>
      </c>
      <c r="D10339" s="343">
        <v>346.67</v>
      </c>
    </row>
    <row r="10340" spans="1:4" ht="25.5">
      <c r="A10340" s="341">
        <v>13339</v>
      </c>
      <c r="B10340" s="342" t="s">
        <v>11174</v>
      </c>
      <c r="C10340" s="341" t="s">
        <v>7278</v>
      </c>
      <c r="D10340" s="343">
        <v>855.78</v>
      </c>
    </row>
    <row r="10341" spans="1:4" ht="25.5">
      <c r="A10341" s="341">
        <v>12373</v>
      </c>
      <c r="B10341" s="342" t="s">
        <v>11175</v>
      </c>
      <c r="C10341" s="341" t="s">
        <v>7278</v>
      </c>
      <c r="D10341" s="343">
        <v>896.19</v>
      </c>
    </row>
    <row r="10342" spans="1:4" ht="25.5">
      <c r="A10342" s="341">
        <v>34712</v>
      </c>
      <c r="B10342" s="342" t="s">
        <v>11176</v>
      </c>
      <c r="C10342" s="341" t="s">
        <v>7278</v>
      </c>
      <c r="D10342" s="343">
        <v>653.91999999999996</v>
      </c>
    </row>
    <row r="10343" spans="1:4" ht="25.5">
      <c r="A10343" s="341">
        <v>34711</v>
      </c>
      <c r="B10343" s="342" t="s">
        <v>11177</v>
      </c>
      <c r="C10343" s="341" t="s">
        <v>7278</v>
      </c>
      <c r="D10343" s="343">
        <v>857.6</v>
      </c>
    </row>
    <row r="10344" spans="1:4" ht="25.5">
      <c r="A10344" s="341">
        <v>34706</v>
      </c>
      <c r="B10344" s="342" t="s">
        <v>11178</v>
      </c>
      <c r="C10344" s="341" t="s">
        <v>7278</v>
      </c>
      <c r="D10344" s="344">
        <v>1469.71</v>
      </c>
    </row>
    <row r="10345" spans="1:4" ht="25.5">
      <c r="A10345" s="341">
        <v>34703</v>
      </c>
      <c r="B10345" s="342" t="s">
        <v>11179</v>
      </c>
      <c r="C10345" s="341" t="s">
        <v>7278</v>
      </c>
      <c r="D10345" s="344">
        <v>2465.6</v>
      </c>
    </row>
    <row r="10346" spans="1:4" ht="25.5">
      <c r="A10346" s="341">
        <v>12388</v>
      </c>
      <c r="B10346" s="342" t="s">
        <v>11180</v>
      </c>
      <c r="C10346" s="341" t="s">
        <v>7278</v>
      </c>
      <c r="D10346" s="343">
        <v>144.47</v>
      </c>
    </row>
    <row r="10347" spans="1:4">
      <c r="A10347" s="341">
        <v>34695</v>
      </c>
      <c r="B10347" s="342" t="s">
        <v>11181</v>
      </c>
      <c r="C10347" s="341" t="s">
        <v>7278</v>
      </c>
      <c r="D10347" s="343">
        <v>616.4</v>
      </c>
    </row>
    <row r="10348" spans="1:4">
      <c r="A10348" s="341">
        <v>34692</v>
      </c>
      <c r="B10348" s="342" t="s">
        <v>11182</v>
      </c>
      <c r="C10348" s="341" t="s">
        <v>7278</v>
      </c>
      <c r="D10348" s="344">
        <v>1479.36</v>
      </c>
    </row>
    <row r="10349" spans="1:4">
      <c r="A10349" s="341">
        <v>26028</v>
      </c>
      <c r="B10349" s="342" t="s">
        <v>11183</v>
      </c>
      <c r="C10349" s="341" t="s">
        <v>8429</v>
      </c>
      <c r="D10349" s="343">
        <v>256.76</v>
      </c>
    </row>
    <row r="10350" spans="1:4" ht="38.25">
      <c r="A10350" s="341">
        <v>11844</v>
      </c>
      <c r="B10350" s="342" t="s">
        <v>11184</v>
      </c>
      <c r="C10350" s="341" t="s">
        <v>7287</v>
      </c>
      <c r="D10350" s="343">
        <v>26.63</v>
      </c>
    </row>
    <row r="10351" spans="1:4" ht="38.25">
      <c r="A10351" s="341">
        <v>4465</v>
      </c>
      <c r="B10351" s="342" t="s">
        <v>11185</v>
      </c>
      <c r="C10351" s="341" t="s">
        <v>7287</v>
      </c>
      <c r="D10351" s="343">
        <v>24.75</v>
      </c>
    </row>
    <row r="10352" spans="1:4" ht="38.25">
      <c r="A10352" s="341">
        <v>35273</v>
      </c>
      <c r="B10352" s="342" t="s">
        <v>11186</v>
      </c>
      <c r="C10352" s="341" t="s">
        <v>7287</v>
      </c>
      <c r="D10352" s="343">
        <v>27.34</v>
      </c>
    </row>
    <row r="10353" spans="1:4" ht="38.25">
      <c r="A10353" s="341">
        <v>4470</v>
      </c>
      <c r="B10353" s="342" t="s">
        <v>11187</v>
      </c>
      <c r="C10353" s="341" t="s">
        <v>7287</v>
      </c>
      <c r="D10353" s="343">
        <v>40.86</v>
      </c>
    </row>
    <row r="10354" spans="1:4" ht="38.25">
      <c r="A10354" s="341">
        <v>20204</v>
      </c>
      <c r="B10354" s="342" t="s">
        <v>11188</v>
      </c>
      <c r="C10354" s="341" t="s">
        <v>7287</v>
      </c>
      <c r="D10354" s="343">
        <v>37.61</v>
      </c>
    </row>
    <row r="10355" spans="1:4" ht="38.25">
      <c r="A10355" s="341">
        <v>20208</v>
      </c>
      <c r="B10355" s="342" t="s">
        <v>11189</v>
      </c>
      <c r="C10355" s="341" t="s">
        <v>7287</v>
      </c>
      <c r="D10355" s="343">
        <v>44.16</v>
      </c>
    </row>
    <row r="10356" spans="1:4" ht="38.25">
      <c r="A10356" s="341">
        <v>4437</v>
      </c>
      <c r="B10356" s="342" t="s">
        <v>11190</v>
      </c>
      <c r="C10356" s="341" t="s">
        <v>7287</v>
      </c>
      <c r="D10356" s="343">
        <v>29.59</v>
      </c>
    </row>
    <row r="10357" spans="1:4" ht="38.25">
      <c r="A10357" s="341">
        <v>14580</v>
      </c>
      <c r="B10357" s="342" t="s">
        <v>11191</v>
      </c>
      <c r="C10357" s="341" t="s">
        <v>7287</v>
      </c>
      <c r="D10357" s="343">
        <v>32.22</v>
      </c>
    </row>
    <row r="10358" spans="1:4" ht="25.5">
      <c r="A10358" s="341">
        <v>40304</v>
      </c>
      <c r="B10358" s="342" t="s">
        <v>11192</v>
      </c>
      <c r="C10358" s="341" t="s">
        <v>7338</v>
      </c>
      <c r="D10358" s="343">
        <v>11.62</v>
      </c>
    </row>
    <row r="10359" spans="1:4" ht="25.5">
      <c r="A10359" s="341">
        <v>5065</v>
      </c>
      <c r="B10359" s="342" t="s">
        <v>11193</v>
      </c>
      <c r="C10359" s="341" t="s">
        <v>7338</v>
      </c>
      <c r="D10359" s="343">
        <v>17.91</v>
      </c>
    </row>
    <row r="10360" spans="1:4" ht="25.5">
      <c r="A10360" s="341">
        <v>5072</v>
      </c>
      <c r="B10360" s="342" t="s">
        <v>11194</v>
      </c>
      <c r="C10360" s="341" t="s">
        <v>7338</v>
      </c>
      <c r="D10360" s="343">
        <v>16.57</v>
      </c>
    </row>
    <row r="10361" spans="1:4">
      <c r="A10361" s="341">
        <v>5066</v>
      </c>
      <c r="B10361" s="342" t="s">
        <v>11195</v>
      </c>
      <c r="C10361" s="341" t="s">
        <v>7338</v>
      </c>
      <c r="D10361" s="343">
        <v>12.41</v>
      </c>
    </row>
    <row r="10362" spans="1:4" ht="25.5">
      <c r="A10362" s="341">
        <v>5063</v>
      </c>
      <c r="B10362" s="342" t="s">
        <v>11196</v>
      </c>
      <c r="C10362" s="341" t="s">
        <v>7338</v>
      </c>
      <c r="D10362" s="343">
        <v>11.24</v>
      </c>
    </row>
    <row r="10363" spans="1:4" ht="25.5">
      <c r="A10363" s="341">
        <v>20247</v>
      </c>
      <c r="B10363" s="342" t="s">
        <v>11197</v>
      </c>
      <c r="C10363" s="341" t="s">
        <v>7338</v>
      </c>
      <c r="D10363" s="343">
        <v>10.43</v>
      </c>
    </row>
    <row r="10364" spans="1:4" ht="25.5">
      <c r="A10364" s="341">
        <v>5074</v>
      </c>
      <c r="B10364" s="342" t="s">
        <v>11198</v>
      </c>
      <c r="C10364" s="341" t="s">
        <v>7338</v>
      </c>
      <c r="D10364" s="343">
        <v>10.55</v>
      </c>
    </row>
    <row r="10365" spans="1:4" ht="25.5">
      <c r="A10365" s="341">
        <v>5067</v>
      </c>
      <c r="B10365" s="342" t="s">
        <v>11199</v>
      </c>
      <c r="C10365" s="341" t="s">
        <v>7338</v>
      </c>
      <c r="D10365" s="343">
        <v>10.039999999999999</v>
      </c>
    </row>
    <row r="10366" spans="1:4" ht="25.5">
      <c r="A10366" s="341">
        <v>5078</v>
      </c>
      <c r="B10366" s="342" t="s">
        <v>11200</v>
      </c>
      <c r="C10366" s="341" t="s">
        <v>7338</v>
      </c>
      <c r="D10366" s="343">
        <v>9.92</v>
      </c>
    </row>
    <row r="10367" spans="1:4" ht="25.5">
      <c r="A10367" s="341">
        <v>5068</v>
      </c>
      <c r="B10367" s="342" t="s">
        <v>11201</v>
      </c>
      <c r="C10367" s="341" t="s">
        <v>7338</v>
      </c>
      <c r="D10367" s="343">
        <v>9.42</v>
      </c>
    </row>
    <row r="10368" spans="1:4" ht="25.5">
      <c r="A10368" s="341">
        <v>5073</v>
      </c>
      <c r="B10368" s="342" t="s">
        <v>11202</v>
      </c>
      <c r="C10368" s="341" t="s">
        <v>7338</v>
      </c>
      <c r="D10368" s="343">
        <v>9.6</v>
      </c>
    </row>
    <row r="10369" spans="1:4" ht="25.5">
      <c r="A10369" s="341">
        <v>5069</v>
      </c>
      <c r="B10369" s="342" t="s">
        <v>11203</v>
      </c>
      <c r="C10369" s="341" t="s">
        <v>7338</v>
      </c>
      <c r="D10369" s="343">
        <v>9.6</v>
      </c>
    </row>
    <row r="10370" spans="1:4" ht="25.5">
      <c r="A10370" s="341">
        <v>5070</v>
      </c>
      <c r="B10370" s="342" t="s">
        <v>11204</v>
      </c>
      <c r="C10370" s="341" t="s">
        <v>7338</v>
      </c>
      <c r="D10370" s="343">
        <v>9.6999999999999993</v>
      </c>
    </row>
    <row r="10371" spans="1:4" ht="25.5">
      <c r="A10371" s="341">
        <v>5071</v>
      </c>
      <c r="B10371" s="342" t="s">
        <v>11205</v>
      </c>
      <c r="C10371" s="341" t="s">
        <v>7338</v>
      </c>
      <c r="D10371" s="343">
        <v>9.42</v>
      </c>
    </row>
    <row r="10372" spans="1:4" ht="25.5">
      <c r="A10372" s="341">
        <v>5061</v>
      </c>
      <c r="B10372" s="342" t="s">
        <v>11206</v>
      </c>
      <c r="C10372" s="341" t="s">
        <v>7338</v>
      </c>
      <c r="D10372" s="343">
        <v>9.26</v>
      </c>
    </row>
    <row r="10373" spans="1:4" ht="25.5">
      <c r="A10373" s="341">
        <v>5075</v>
      </c>
      <c r="B10373" s="342" t="s">
        <v>11207</v>
      </c>
      <c r="C10373" s="341" t="s">
        <v>7338</v>
      </c>
      <c r="D10373" s="343">
        <v>9.42</v>
      </c>
    </row>
    <row r="10374" spans="1:4" ht="25.5">
      <c r="A10374" s="341">
        <v>39027</v>
      </c>
      <c r="B10374" s="342" t="s">
        <v>11208</v>
      </c>
      <c r="C10374" s="341" t="s">
        <v>7338</v>
      </c>
      <c r="D10374" s="343">
        <v>9.41</v>
      </c>
    </row>
    <row r="10375" spans="1:4" ht="25.5">
      <c r="A10375" s="341">
        <v>5062</v>
      </c>
      <c r="B10375" s="342" t="s">
        <v>11209</v>
      </c>
      <c r="C10375" s="341" t="s">
        <v>7338</v>
      </c>
      <c r="D10375" s="343">
        <v>9.5399999999999991</v>
      </c>
    </row>
    <row r="10376" spans="1:4" ht="25.5">
      <c r="A10376" s="341">
        <v>40568</v>
      </c>
      <c r="B10376" s="342" t="s">
        <v>11210</v>
      </c>
      <c r="C10376" s="341" t="s">
        <v>7338</v>
      </c>
      <c r="D10376" s="343">
        <v>9.49</v>
      </c>
    </row>
    <row r="10377" spans="1:4" ht="25.5">
      <c r="A10377" s="341">
        <v>39026</v>
      </c>
      <c r="B10377" s="342" t="s">
        <v>11211</v>
      </c>
      <c r="C10377" s="341" t="s">
        <v>7338</v>
      </c>
      <c r="D10377" s="343">
        <v>10.59</v>
      </c>
    </row>
    <row r="10378" spans="1:4" ht="25.5">
      <c r="A10378" s="341">
        <v>11572</v>
      </c>
      <c r="B10378" s="342" t="s">
        <v>11212</v>
      </c>
      <c r="C10378" s="341" t="s">
        <v>7278</v>
      </c>
      <c r="D10378" s="343">
        <v>15.33</v>
      </c>
    </row>
    <row r="10379" spans="1:4" ht="63.75">
      <c r="A10379" s="341">
        <v>42460</v>
      </c>
      <c r="B10379" s="342" t="s">
        <v>11213</v>
      </c>
      <c r="C10379" s="341" t="s">
        <v>7278</v>
      </c>
      <c r="D10379" s="344">
        <v>2756.08</v>
      </c>
    </row>
    <row r="10380" spans="1:4">
      <c r="A10380" s="341">
        <v>11149</v>
      </c>
      <c r="B10380" s="342" t="s">
        <v>11214</v>
      </c>
      <c r="C10380" s="341" t="s">
        <v>9603</v>
      </c>
      <c r="D10380" s="343">
        <v>162.4</v>
      </c>
    </row>
    <row r="10381" spans="1:4" ht="38.25">
      <c r="A10381" s="341">
        <v>511</v>
      </c>
      <c r="B10381" s="342" t="s">
        <v>11215</v>
      </c>
      <c r="C10381" s="341" t="s">
        <v>7340</v>
      </c>
      <c r="D10381" s="343">
        <v>11.08</v>
      </c>
    </row>
    <row r="10382" spans="1:4" ht="25.5">
      <c r="A10382" s="341">
        <v>11174</v>
      </c>
      <c r="B10382" s="342" t="s">
        <v>11216</v>
      </c>
      <c r="C10382" s="341" t="s">
        <v>7453</v>
      </c>
      <c r="D10382" s="343">
        <v>461.11</v>
      </c>
    </row>
    <row r="10383" spans="1:4" ht="38.25">
      <c r="A10383" s="341">
        <v>37540</v>
      </c>
      <c r="B10383" s="342" t="s">
        <v>11217</v>
      </c>
      <c r="C10383" s="341" t="s">
        <v>7278</v>
      </c>
      <c r="D10383" s="344">
        <v>55610.66</v>
      </c>
    </row>
    <row r="10384" spans="1:4" ht="38.25">
      <c r="A10384" s="341">
        <v>37548</v>
      </c>
      <c r="B10384" s="342" t="s">
        <v>11218</v>
      </c>
      <c r="C10384" s="341" t="s">
        <v>7278</v>
      </c>
      <c r="D10384" s="344">
        <v>73711.649999999994</v>
      </c>
    </row>
    <row r="10385" spans="1:4" ht="51">
      <c r="A10385" s="341">
        <v>39828</v>
      </c>
      <c r="B10385" s="342" t="s">
        <v>11219</v>
      </c>
      <c r="C10385" s="341" t="s">
        <v>7278</v>
      </c>
      <c r="D10385" s="343">
        <v>442.19</v>
      </c>
    </row>
    <row r="10386" spans="1:4" ht="76.5">
      <c r="A10386" s="341">
        <v>12273</v>
      </c>
      <c r="B10386" s="342" t="s">
        <v>11220</v>
      </c>
      <c r="C10386" s="341" t="s">
        <v>7278</v>
      </c>
      <c r="D10386" s="343">
        <v>44.96</v>
      </c>
    </row>
    <row r="10387" spans="1:4" ht="25.5">
      <c r="A10387" s="341">
        <v>38392</v>
      </c>
      <c r="B10387" s="342" t="s">
        <v>11221</v>
      </c>
      <c r="C10387" s="341" t="s">
        <v>7278</v>
      </c>
      <c r="D10387" s="343">
        <v>43.2</v>
      </c>
    </row>
    <row r="10388" spans="1:4" ht="25.5">
      <c r="A10388" s="341">
        <v>11735</v>
      </c>
      <c r="B10388" s="342" t="s">
        <v>11222</v>
      </c>
      <c r="C10388" s="341" t="s">
        <v>7278</v>
      </c>
      <c r="D10388" s="343">
        <v>3.35</v>
      </c>
    </row>
    <row r="10389" spans="1:4" ht="25.5">
      <c r="A10389" s="341">
        <v>11733</v>
      </c>
      <c r="B10389" s="342" t="s">
        <v>11223</v>
      </c>
      <c r="C10389" s="341" t="s">
        <v>7278</v>
      </c>
      <c r="D10389" s="343">
        <v>1.64</v>
      </c>
    </row>
    <row r="10390" spans="1:4" ht="25.5">
      <c r="A10390" s="341">
        <v>11734</v>
      </c>
      <c r="B10390" s="342" t="s">
        <v>11224</v>
      </c>
      <c r="C10390" s="341" t="s">
        <v>7278</v>
      </c>
      <c r="D10390" s="343">
        <v>2.5299999999999998</v>
      </c>
    </row>
    <row r="10391" spans="1:4" ht="25.5">
      <c r="A10391" s="341">
        <v>11737</v>
      </c>
      <c r="B10391" s="342" t="s">
        <v>11225</v>
      </c>
      <c r="C10391" s="341" t="s">
        <v>7278</v>
      </c>
      <c r="D10391" s="343">
        <v>4.4800000000000004</v>
      </c>
    </row>
    <row r="10392" spans="1:4" ht="25.5">
      <c r="A10392" s="341">
        <v>11738</v>
      </c>
      <c r="B10392" s="342" t="s">
        <v>11226</v>
      </c>
      <c r="C10392" s="341" t="s">
        <v>7278</v>
      </c>
      <c r="D10392" s="343">
        <v>7.28</v>
      </c>
    </row>
    <row r="10393" spans="1:4" ht="38.25">
      <c r="A10393" s="341">
        <v>36143</v>
      </c>
      <c r="B10393" s="342" t="s">
        <v>11227</v>
      </c>
      <c r="C10393" s="341" t="s">
        <v>7278</v>
      </c>
      <c r="D10393" s="343">
        <v>28.33</v>
      </c>
    </row>
    <row r="10394" spans="1:4" ht="25.5">
      <c r="A10394" s="341">
        <v>36142</v>
      </c>
      <c r="B10394" s="342" t="s">
        <v>11228</v>
      </c>
      <c r="C10394" s="341" t="s">
        <v>7278</v>
      </c>
      <c r="D10394" s="343">
        <v>2.0699999999999998</v>
      </c>
    </row>
    <row r="10395" spans="1:4">
      <c r="A10395" s="341">
        <v>36146</v>
      </c>
      <c r="B10395" s="342" t="s">
        <v>11229</v>
      </c>
      <c r="C10395" s="341" t="s">
        <v>7278</v>
      </c>
      <c r="D10395" s="343">
        <v>234.94</v>
      </c>
    </row>
    <row r="10396" spans="1:4" ht="38.25">
      <c r="A10396" s="341">
        <v>39015</v>
      </c>
      <c r="B10396" s="342" t="s">
        <v>11230</v>
      </c>
      <c r="C10396" s="341" t="s">
        <v>7278</v>
      </c>
      <c r="D10396" s="343">
        <v>0.55000000000000004</v>
      </c>
    </row>
    <row r="10397" spans="1:4">
      <c r="A10397" s="341">
        <v>38377</v>
      </c>
      <c r="B10397" s="342" t="s">
        <v>11231</v>
      </c>
      <c r="C10397" s="341" t="s">
        <v>7278</v>
      </c>
      <c r="D10397" s="343">
        <v>20.079999999999998</v>
      </c>
    </row>
    <row r="10398" spans="1:4">
      <c r="A10398" s="341">
        <v>38376</v>
      </c>
      <c r="B10398" s="342" t="s">
        <v>11232</v>
      </c>
      <c r="C10398" s="341" t="s">
        <v>7278</v>
      </c>
      <c r="D10398" s="343">
        <v>22.89</v>
      </c>
    </row>
    <row r="10399" spans="1:4" ht="25.5">
      <c r="A10399" s="341">
        <v>38116</v>
      </c>
      <c r="B10399" s="342" t="s">
        <v>11233</v>
      </c>
      <c r="C10399" s="341" t="s">
        <v>7278</v>
      </c>
      <c r="D10399" s="343">
        <v>3.32</v>
      </c>
    </row>
    <row r="10400" spans="1:4" ht="38.25">
      <c r="A10400" s="341">
        <v>38066</v>
      </c>
      <c r="B10400" s="342" t="s">
        <v>11234</v>
      </c>
      <c r="C10400" s="341" t="s">
        <v>7278</v>
      </c>
      <c r="D10400" s="343">
        <v>5.48</v>
      </c>
    </row>
    <row r="10401" spans="1:4" ht="25.5">
      <c r="A10401" s="341">
        <v>38117</v>
      </c>
      <c r="B10401" s="342" t="s">
        <v>11235</v>
      </c>
      <c r="C10401" s="341" t="s">
        <v>7278</v>
      </c>
      <c r="D10401" s="343">
        <v>5.65</v>
      </c>
    </row>
    <row r="10402" spans="1:4" ht="38.25">
      <c r="A10402" s="341">
        <v>38067</v>
      </c>
      <c r="B10402" s="342" t="s">
        <v>11236</v>
      </c>
      <c r="C10402" s="341" t="s">
        <v>7278</v>
      </c>
      <c r="D10402" s="343">
        <v>7.71</v>
      </c>
    </row>
    <row r="10403" spans="1:4" ht="38.25">
      <c r="A10403" s="341">
        <v>41757</v>
      </c>
      <c r="B10403" s="342" t="s">
        <v>11237</v>
      </c>
      <c r="C10403" s="341" t="s">
        <v>7278</v>
      </c>
      <c r="D10403" s="344">
        <v>11813.54</v>
      </c>
    </row>
    <row r="10404" spans="1:4" ht="51">
      <c r="A10404" s="341">
        <v>5080</v>
      </c>
      <c r="B10404" s="342" t="s">
        <v>11238</v>
      </c>
      <c r="C10404" s="341" t="s">
        <v>7278</v>
      </c>
      <c r="D10404" s="343">
        <v>10.87</v>
      </c>
    </row>
    <row r="10405" spans="1:4" ht="63.75">
      <c r="A10405" s="341">
        <v>11522</v>
      </c>
      <c r="B10405" s="342" t="s">
        <v>11239</v>
      </c>
      <c r="C10405" s="341" t="s">
        <v>7278</v>
      </c>
      <c r="D10405" s="343">
        <v>13.59</v>
      </c>
    </row>
    <row r="10406" spans="1:4" ht="63.75">
      <c r="A10406" s="341">
        <v>11523</v>
      </c>
      <c r="B10406" s="342" t="s">
        <v>11240</v>
      </c>
      <c r="C10406" s="341" t="s">
        <v>7278</v>
      </c>
      <c r="D10406" s="343">
        <v>12.72</v>
      </c>
    </row>
    <row r="10407" spans="1:4" ht="51">
      <c r="A10407" s="341">
        <v>11524</v>
      </c>
      <c r="B10407" s="342" t="s">
        <v>11241</v>
      </c>
      <c r="C10407" s="341" t="s">
        <v>7278</v>
      </c>
      <c r="D10407" s="343">
        <v>26.18</v>
      </c>
    </row>
    <row r="10408" spans="1:4" ht="51">
      <c r="A10408" s="341">
        <v>38168</v>
      </c>
      <c r="B10408" s="342" t="s">
        <v>11242</v>
      </c>
      <c r="C10408" s="341" t="s">
        <v>7278</v>
      </c>
      <c r="D10408" s="343">
        <v>126.38</v>
      </c>
    </row>
    <row r="10409" spans="1:4" ht="38.25">
      <c r="A10409" s="341">
        <v>13393</v>
      </c>
      <c r="B10409" s="342" t="s">
        <v>11243</v>
      </c>
      <c r="C10409" s="341" t="s">
        <v>7278</v>
      </c>
      <c r="D10409" s="343">
        <v>240.69</v>
      </c>
    </row>
    <row r="10410" spans="1:4" ht="38.25">
      <c r="A10410" s="341">
        <v>13395</v>
      </c>
      <c r="B10410" s="342" t="s">
        <v>11244</v>
      </c>
      <c r="C10410" s="341" t="s">
        <v>7278</v>
      </c>
      <c r="D10410" s="343">
        <v>288.61</v>
      </c>
    </row>
    <row r="10411" spans="1:4" ht="38.25">
      <c r="A10411" s="341">
        <v>12039</v>
      </c>
      <c r="B10411" s="342" t="s">
        <v>11245</v>
      </c>
      <c r="C10411" s="341" t="s">
        <v>7278</v>
      </c>
      <c r="D10411" s="343">
        <v>386.2</v>
      </c>
    </row>
    <row r="10412" spans="1:4" ht="38.25">
      <c r="A10412" s="341">
        <v>13396</v>
      </c>
      <c r="B10412" s="342" t="s">
        <v>11246</v>
      </c>
      <c r="C10412" s="341" t="s">
        <v>7278</v>
      </c>
      <c r="D10412" s="343">
        <v>617.70000000000005</v>
      </c>
    </row>
    <row r="10413" spans="1:4" ht="38.25">
      <c r="A10413" s="341">
        <v>13397</v>
      </c>
      <c r="B10413" s="342" t="s">
        <v>11247</v>
      </c>
      <c r="C10413" s="341" t="s">
        <v>7278</v>
      </c>
      <c r="D10413" s="343">
        <v>624.32000000000005</v>
      </c>
    </row>
    <row r="10414" spans="1:4" ht="38.25">
      <c r="A10414" s="341">
        <v>12041</v>
      </c>
      <c r="B10414" s="342" t="s">
        <v>11248</v>
      </c>
      <c r="C10414" s="341" t="s">
        <v>7278</v>
      </c>
      <c r="D10414" s="343">
        <v>844.9</v>
      </c>
    </row>
    <row r="10415" spans="1:4" ht="38.25">
      <c r="A10415" s="341">
        <v>12043</v>
      </c>
      <c r="B10415" s="342" t="s">
        <v>11249</v>
      </c>
      <c r="C10415" s="341" t="s">
        <v>7278</v>
      </c>
      <c r="D10415" s="343">
        <v>974.24</v>
      </c>
    </row>
    <row r="10416" spans="1:4" ht="38.25">
      <c r="A10416" s="341">
        <v>39762</v>
      </c>
      <c r="B10416" s="342" t="s">
        <v>11250</v>
      </c>
      <c r="C10416" s="341" t="s">
        <v>7278</v>
      </c>
      <c r="D10416" s="343">
        <v>658.21</v>
      </c>
    </row>
    <row r="10417" spans="1:4" ht="38.25">
      <c r="A10417" s="341">
        <v>12042</v>
      </c>
      <c r="B10417" s="342" t="s">
        <v>11251</v>
      </c>
      <c r="C10417" s="341" t="s">
        <v>7278</v>
      </c>
      <c r="D10417" s="343">
        <v>658.38</v>
      </c>
    </row>
    <row r="10418" spans="1:4" ht="38.25">
      <c r="A10418" s="341">
        <v>39763</v>
      </c>
      <c r="B10418" s="342" t="s">
        <v>11252</v>
      </c>
      <c r="C10418" s="341" t="s">
        <v>7278</v>
      </c>
      <c r="D10418" s="343">
        <v>993.37</v>
      </c>
    </row>
    <row r="10419" spans="1:4" ht="38.25">
      <c r="A10419" s="341">
        <v>39756</v>
      </c>
      <c r="B10419" s="342" t="s">
        <v>11253</v>
      </c>
      <c r="C10419" s="341" t="s">
        <v>7278</v>
      </c>
      <c r="D10419" s="343">
        <v>301.17</v>
      </c>
    </row>
    <row r="10420" spans="1:4" ht="38.25">
      <c r="A10420" s="341">
        <v>12038</v>
      </c>
      <c r="B10420" s="342" t="s">
        <v>11254</v>
      </c>
      <c r="C10420" s="341" t="s">
        <v>7278</v>
      </c>
      <c r="D10420" s="343">
        <v>336.23</v>
      </c>
    </row>
    <row r="10421" spans="1:4" ht="38.25">
      <c r="A10421" s="341">
        <v>12040</v>
      </c>
      <c r="B10421" s="342" t="s">
        <v>11255</v>
      </c>
      <c r="C10421" s="341" t="s">
        <v>7278</v>
      </c>
      <c r="D10421" s="343">
        <v>429.61</v>
      </c>
    </row>
    <row r="10422" spans="1:4" ht="38.25">
      <c r="A10422" s="341">
        <v>39757</v>
      </c>
      <c r="B10422" s="342" t="s">
        <v>11256</v>
      </c>
      <c r="C10422" s="341" t="s">
        <v>7278</v>
      </c>
      <c r="D10422" s="343">
        <v>459.38</v>
      </c>
    </row>
    <row r="10423" spans="1:4" ht="38.25">
      <c r="A10423" s="341">
        <v>39758</v>
      </c>
      <c r="B10423" s="342" t="s">
        <v>11257</v>
      </c>
      <c r="C10423" s="341" t="s">
        <v>7278</v>
      </c>
      <c r="D10423" s="343">
        <v>596.29</v>
      </c>
    </row>
    <row r="10424" spans="1:4" ht="38.25">
      <c r="A10424" s="341">
        <v>39759</v>
      </c>
      <c r="B10424" s="342" t="s">
        <v>11258</v>
      </c>
      <c r="C10424" s="341" t="s">
        <v>7278</v>
      </c>
      <c r="D10424" s="343">
        <v>814.71</v>
      </c>
    </row>
    <row r="10425" spans="1:4" ht="38.25">
      <c r="A10425" s="341">
        <v>39760</v>
      </c>
      <c r="B10425" s="342" t="s">
        <v>11259</v>
      </c>
      <c r="C10425" s="341" t="s">
        <v>7278</v>
      </c>
      <c r="D10425" s="343">
        <v>818.45</v>
      </c>
    </row>
    <row r="10426" spans="1:4" ht="38.25">
      <c r="A10426" s="341">
        <v>39761</v>
      </c>
      <c r="B10426" s="342" t="s">
        <v>11260</v>
      </c>
      <c r="C10426" s="341" t="s">
        <v>7278</v>
      </c>
      <c r="D10426" s="344">
        <v>1047.49</v>
      </c>
    </row>
    <row r="10427" spans="1:4" ht="38.25">
      <c r="A10427" s="341">
        <v>39765</v>
      </c>
      <c r="B10427" s="342" t="s">
        <v>11261</v>
      </c>
      <c r="C10427" s="341" t="s">
        <v>7278</v>
      </c>
      <c r="D10427" s="343">
        <v>46.51</v>
      </c>
    </row>
    <row r="10428" spans="1:4" ht="38.25">
      <c r="A10428" s="341">
        <v>13399</v>
      </c>
      <c r="B10428" s="342" t="s">
        <v>11262</v>
      </c>
      <c r="C10428" s="341" t="s">
        <v>7278</v>
      </c>
      <c r="D10428" s="343">
        <v>26.45</v>
      </c>
    </row>
    <row r="10429" spans="1:4" ht="38.25">
      <c r="A10429" s="341">
        <v>39764</v>
      </c>
      <c r="B10429" s="342" t="s">
        <v>11263</v>
      </c>
      <c r="C10429" s="341" t="s">
        <v>7278</v>
      </c>
      <c r="D10429" s="343">
        <v>36.369999999999997</v>
      </c>
    </row>
    <row r="10430" spans="1:4" ht="38.25">
      <c r="A10430" s="341">
        <v>39805</v>
      </c>
      <c r="B10430" s="342" t="s">
        <v>11264</v>
      </c>
      <c r="C10430" s="341" t="s">
        <v>7278</v>
      </c>
      <c r="D10430" s="343">
        <v>102.65</v>
      </c>
    </row>
    <row r="10431" spans="1:4" ht="38.25">
      <c r="A10431" s="341">
        <v>39806</v>
      </c>
      <c r="B10431" s="342" t="s">
        <v>11265</v>
      </c>
      <c r="C10431" s="341" t="s">
        <v>7278</v>
      </c>
      <c r="D10431" s="343">
        <v>193.86</v>
      </c>
    </row>
    <row r="10432" spans="1:4" ht="38.25">
      <c r="A10432" s="341">
        <v>39807</v>
      </c>
      <c r="B10432" s="342" t="s">
        <v>11266</v>
      </c>
      <c r="C10432" s="341" t="s">
        <v>7278</v>
      </c>
      <c r="D10432" s="343">
        <v>273.29000000000002</v>
      </c>
    </row>
    <row r="10433" spans="1:4" ht="38.25">
      <c r="A10433" s="341">
        <v>39804</v>
      </c>
      <c r="B10433" s="342" t="s">
        <v>11267</v>
      </c>
      <c r="C10433" s="341" t="s">
        <v>7278</v>
      </c>
      <c r="D10433" s="343">
        <v>57.64</v>
      </c>
    </row>
    <row r="10434" spans="1:4" ht="25.5">
      <c r="A10434" s="341">
        <v>39796</v>
      </c>
      <c r="B10434" s="342" t="s">
        <v>11268</v>
      </c>
      <c r="C10434" s="341" t="s">
        <v>7278</v>
      </c>
      <c r="D10434" s="343">
        <v>58.74</v>
      </c>
    </row>
    <row r="10435" spans="1:4" ht="25.5">
      <c r="A10435" s="341">
        <v>39797</v>
      </c>
      <c r="B10435" s="342" t="s">
        <v>11269</v>
      </c>
      <c r="C10435" s="341" t="s">
        <v>7278</v>
      </c>
      <c r="D10435" s="343">
        <v>78</v>
      </c>
    </row>
    <row r="10436" spans="1:4" ht="25.5">
      <c r="A10436" s="341">
        <v>39798</v>
      </c>
      <c r="B10436" s="342" t="s">
        <v>11270</v>
      </c>
      <c r="C10436" s="341" t="s">
        <v>7278</v>
      </c>
      <c r="D10436" s="343">
        <v>130.03</v>
      </c>
    </row>
    <row r="10437" spans="1:4" ht="25.5">
      <c r="A10437" s="341">
        <v>39794</v>
      </c>
      <c r="B10437" s="342" t="s">
        <v>11271</v>
      </c>
      <c r="C10437" s="341" t="s">
        <v>7278</v>
      </c>
      <c r="D10437" s="343">
        <v>18.48</v>
      </c>
    </row>
    <row r="10438" spans="1:4" ht="25.5">
      <c r="A10438" s="341">
        <v>39795</v>
      </c>
      <c r="B10438" s="342" t="s">
        <v>11272</v>
      </c>
      <c r="C10438" s="341" t="s">
        <v>7278</v>
      </c>
      <c r="D10438" s="343">
        <v>25.88</v>
      </c>
    </row>
    <row r="10439" spans="1:4" ht="38.25">
      <c r="A10439" s="341">
        <v>39801</v>
      </c>
      <c r="B10439" s="342" t="s">
        <v>11273</v>
      </c>
      <c r="C10439" s="341" t="s">
        <v>7278</v>
      </c>
      <c r="D10439" s="343">
        <v>66.22</v>
      </c>
    </row>
    <row r="10440" spans="1:4" ht="38.25">
      <c r="A10440" s="341">
        <v>39802</v>
      </c>
      <c r="B10440" s="342" t="s">
        <v>11274</v>
      </c>
      <c r="C10440" s="341" t="s">
        <v>7278</v>
      </c>
      <c r="D10440" s="343">
        <v>109.97</v>
      </c>
    </row>
    <row r="10441" spans="1:4" ht="38.25">
      <c r="A10441" s="341">
        <v>39803</v>
      </c>
      <c r="B10441" s="342" t="s">
        <v>11275</v>
      </c>
      <c r="C10441" s="341" t="s">
        <v>7278</v>
      </c>
      <c r="D10441" s="343">
        <v>152.38999999999999</v>
      </c>
    </row>
    <row r="10442" spans="1:4" ht="38.25">
      <c r="A10442" s="341">
        <v>39799</v>
      </c>
      <c r="B10442" s="342" t="s">
        <v>11276</v>
      </c>
      <c r="C10442" s="341" t="s">
        <v>7278</v>
      </c>
      <c r="D10442" s="343">
        <v>25.04</v>
      </c>
    </row>
    <row r="10443" spans="1:4" ht="38.25">
      <c r="A10443" s="341">
        <v>39800</v>
      </c>
      <c r="B10443" s="342" t="s">
        <v>11277</v>
      </c>
      <c r="C10443" s="341" t="s">
        <v>7278</v>
      </c>
      <c r="D10443" s="343">
        <v>42.13</v>
      </c>
    </row>
    <row r="10444" spans="1:4">
      <c r="A10444" s="341">
        <v>4224</v>
      </c>
      <c r="B10444" s="342" t="s">
        <v>11278</v>
      </c>
      <c r="C10444" s="341" t="s">
        <v>7340</v>
      </c>
      <c r="D10444" s="343">
        <v>12.07</v>
      </c>
    </row>
    <row r="10445" spans="1:4" ht="25.5">
      <c r="A10445" s="341">
        <v>21059</v>
      </c>
      <c r="B10445" s="342" t="s">
        <v>11279</v>
      </c>
      <c r="C10445" s="341" t="s">
        <v>7278</v>
      </c>
      <c r="D10445" s="343">
        <v>38.659999999999997</v>
      </c>
    </row>
    <row r="10446" spans="1:4" ht="25.5">
      <c r="A10446" s="341">
        <v>11234</v>
      </c>
      <c r="B10446" s="342" t="s">
        <v>11280</v>
      </c>
      <c r="C10446" s="341" t="s">
        <v>7278</v>
      </c>
      <c r="D10446" s="343">
        <v>58.27</v>
      </c>
    </row>
    <row r="10447" spans="1:4" ht="25.5">
      <c r="A10447" s="341">
        <v>21060</v>
      </c>
      <c r="B10447" s="342" t="s">
        <v>11281</v>
      </c>
      <c r="C10447" s="341" t="s">
        <v>7278</v>
      </c>
      <c r="D10447" s="343">
        <v>71.72</v>
      </c>
    </row>
    <row r="10448" spans="1:4" ht="25.5">
      <c r="A10448" s="341">
        <v>21061</v>
      </c>
      <c r="B10448" s="342" t="s">
        <v>11282</v>
      </c>
      <c r="C10448" s="341" t="s">
        <v>7278</v>
      </c>
      <c r="D10448" s="343">
        <v>89.65</v>
      </c>
    </row>
    <row r="10449" spans="1:4" ht="25.5">
      <c r="A10449" s="341">
        <v>21062</v>
      </c>
      <c r="B10449" s="342" t="s">
        <v>11283</v>
      </c>
      <c r="C10449" s="341" t="s">
        <v>7278</v>
      </c>
      <c r="D10449" s="343">
        <v>141.19999999999999</v>
      </c>
    </row>
    <row r="10450" spans="1:4" ht="25.5">
      <c r="A10450" s="341">
        <v>11708</v>
      </c>
      <c r="B10450" s="342" t="s">
        <v>11284</v>
      </c>
      <c r="C10450" s="341" t="s">
        <v>7278</v>
      </c>
      <c r="D10450" s="343">
        <v>15.4</v>
      </c>
    </row>
    <row r="10451" spans="1:4" ht="25.5">
      <c r="A10451" s="341">
        <v>11709</v>
      </c>
      <c r="B10451" s="342" t="s">
        <v>11285</v>
      </c>
      <c r="C10451" s="341" t="s">
        <v>7278</v>
      </c>
      <c r="D10451" s="343">
        <v>36.19</v>
      </c>
    </row>
    <row r="10452" spans="1:4" ht="25.5">
      <c r="A10452" s="341">
        <v>11710</v>
      </c>
      <c r="B10452" s="342" t="s">
        <v>11286</v>
      </c>
      <c r="C10452" s="341" t="s">
        <v>7278</v>
      </c>
      <c r="D10452" s="343">
        <v>83.21</v>
      </c>
    </row>
    <row r="10453" spans="1:4" ht="25.5">
      <c r="A10453" s="341">
        <v>11707</v>
      </c>
      <c r="B10453" s="342" t="s">
        <v>11287</v>
      </c>
      <c r="C10453" s="341" t="s">
        <v>7278</v>
      </c>
      <c r="D10453" s="343">
        <v>11.54</v>
      </c>
    </row>
    <row r="10454" spans="1:4" ht="25.5">
      <c r="A10454" s="341">
        <v>11739</v>
      </c>
      <c r="B10454" s="342" t="s">
        <v>11288</v>
      </c>
      <c r="C10454" s="341" t="s">
        <v>7278</v>
      </c>
      <c r="D10454" s="343">
        <v>4.88</v>
      </c>
    </row>
    <row r="10455" spans="1:4" ht="25.5">
      <c r="A10455" s="341">
        <v>11711</v>
      </c>
      <c r="B10455" s="342" t="s">
        <v>11289</v>
      </c>
      <c r="C10455" s="341" t="s">
        <v>7278</v>
      </c>
      <c r="D10455" s="343">
        <v>7.14</v>
      </c>
    </row>
    <row r="10456" spans="1:4" ht="25.5">
      <c r="A10456" s="341">
        <v>5102</v>
      </c>
      <c r="B10456" s="342" t="s">
        <v>11290</v>
      </c>
      <c r="C10456" s="341" t="s">
        <v>7278</v>
      </c>
      <c r="D10456" s="343">
        <v>6.91</v>
      </c>
    </row>
    <row r="10457" spans="1:4" ht="25.5">
      <c r="A10457" s="341">
        <v>11741</v>
      </c>
      <c r="B10457" s="342" t="s">
        <v>11291</v>
      </c>
      <c r="C10457" s="341" t="s">
        <v>7278</v>
      </c>
      <c r="D10457" s="343">
        <v>5.03</v>
      </c>
    </row>
    <row r="10458" spans="1:4" ht="25.5">
      <c r="A10458" s="341">
        <v>11743</v>
      </c>
      <c r="B10458" s="342" t="s">
        <v>11292</v>
      </c>
      <c r="C10458" s="341" t="s">
        <v>7278</v>
      </c>
      <c r="D10458" s="343">
        <v>4.57</v>
      </c>
    </row>
    <row r="10459" spans="1:4" ht="25.5">
      <c r="A10459" s="341">
        <v>11745</v>
      </c>
      <c r="B10459" s="342" t="s">
        <v>11293</v>
      </c>
      <c r="C10459" s="341" t="s">
        <v>7278</v>
      </c>
      <c r="D10459" s="343">
        <v>6.49</v>
      </c>
    </row>
    <row r="10460" spans="1:4">
      <c r="A10460" s="341">
        <v>25961</v>
      </c>
      <c r="B10460" s="342" t="s">
        <v>11294</v>
      </c>
      <c r="C10460" s="341" t="s">
        <v>7275</v>
      </c>
      <c r="D10460" s="343">
        <v>8.2100000000000009</v>
      </c>
    </row>
    <row r="10461" spans="1:4">
      <c r="A10461" s="341">
        <v>40985</v>
      </c>
      <c r="B10461" s="342" t="s">
        <v>11295</v>
      </c>
      <c r="C10461" s="341" t="s">
        <v>7466</v>
      </c>
      <c r="D10461" s="344">
        <v>1450.01</v>
      </c>
    </row>
    <row r="10462" spans="1:4" ht="25.5">
      <c r="A10462" s="341">
        <v>1088</v>
      </c>
      <c r="B10462" s="342" t="s">
        <v>11296</v>
      </c>
      <c r="C10462" s="341" t="s">
        <v>7278</v>
      </c>
      <c r="D10462" s="343">
        <v>11.94</v>
      </c>
    </row>
    <row r="10463" spans="1:4" ht="25.5">
      <c r="A10463" s="341">
        <v>1087</v>
      </c>
      <c r="B10463" s="342" t="s">
        <v>11297</v>
      </c>
      <c r="C10463" s="341" t="s">
        <v>7278</v>
      </c>
      <c r="D10463" s="343">
        <v>14.92</v>
      </c>
    </row>
    <row r="10464" spans="1:4" ht="25.5">
      <c r="A10464" s="341">
        <v>38777</v>
      </c>
      <c r="B10464" s="342" t="s">
        <v>11298</v>
      </c>
      <c r="C10464" s="341" t="s">
        <v>7278</v>
      </c>
      <c r="D10464" s="343">
        <v>29.71</v>
      </c>
    </row>
    <row r="10465" spans="1:4" ht="25.5">
      <c r="A10465" s="341">
        <v>1086</v>
      </c>
      <c r="B10465" s="342" t="s">
        <v>11299</v>
      </c>
      <c r="C10465" s="341" t="s">
        <v>7278</v>
      </c>
      <c r="D10465" s="343">
        <v>15.68</v>
      </c>
    </row>
    <row r="10466" spans="1:4" ht="25.5">
      <c r="A10466" s="341">
        <v>1079</v>
      </c>
      <c r="B10466" s="342" t="s">
        <v>11300</v>
      </c>
      <c r="C10466" s="341" t="s">
        <v>7278</v>
      </c>
      <c r="D10466" s="343">
        <v>16.21</v>
      </c>
    </row>
    <row r="10467" spans="1:4" ht="38.25">
      <c r="A10467" s="341">
        <v>39374</v>
      </c>
      <c r="B10467" s="342" t="s">
        <v>11301</v>
      </c>
      <c r="C10467" s="341" t="s">
        <v>7278</v>
      </c>
      <c r="D10467" s="343">
        <v>92.5</v>
      </c>
    </row>
    <row r="10468" spans="1:4" ht="25.5">
      <c r="A10468" s="341">
        <v>1082</v>
      </c>
      <c r="B10468" s="342" t="s">
        <v>11302</v>
      </c>
      <c r="C10468" s="341" t="s">
        <v>7278</v>
      </c>
      <c r="D10468" s="343">
        <v>101.91</v>
      </c>
    </row>
    <row r="10469" spans="1:4" ht="25.5">
      <c r="A10469" s="341">
        <v>12316</v>
      </c>
      <c r="B10469" s="342" t="s">
        <v>11303</v>
      </c>
      <c r="C10469" s="341" t="s">
        <v>7278</v>
      </c>
      <c r="D10469" s="343">
        <v>46.71</v>
      </c>
    </row>
    <row r="10470" spans="1:4" ht="25.5">
      <c r="A10470" s="341">
        <v>12317</v>
      </c>
      <c r="B10470" s="342" t="s">
        <v>11304</v>
      </c>
      <c r="C10470" s="341" t="s">
        <v>7278</v>
      </c>
      <c r="D10470" s="343">
        <v>55.7</v>
      </c>
    </row>
    <row r="10471" spans="1:4" ht="25.5">
      <c r="A10471" s="341">
        <v>12318</v>
      </c>
      <c r="B10471" s="342" t="s">
        <v>11305</v>
      </c>
      <c r="C10471" s="341" t="s">
        <v>7278</v>
      </c>
      <c r="D10471" s="343">
        <v>64.17</v>
      </c>
    </row>
    <row r="10472" spans="1:4" ht="25.5">
      <c r="A10472" s="341">
        <v>5104</v>
      </c>
      <c r="B10472" s="342" t="s">
        <v>11306</v>
      </c>
      <c r="C10472" s="341" t="s">
        <v>7338</v>
      </c>
      <c r="D10472" s="343">
        <v>38.04</v>
      </c>
    </row>
    <row r="10473" spans="1:4" ht="25.5">
      <c r="A10473" s="341">
        <v>26023</v>
      </c>
      <c r="B10473" s="342" t="s">
        <v>11307</v>
      </c>
      <c r="C10473" s="341" t="s">
        <v>7278</v>
      </c>
      <c r="D10473" s="343">
        <v>56.49</v>
      </c>
    </row>
    <row r="10474" spans="1:4" ht="25.5">
      <c r="A10474" s="341">
        <v>2710</v>
      </c>
      <c r="B10474" s="342" t="s">
        <v>11308</v>
      </c>
      <c r="C10474" s="341" t="s">
        <v>7278</v>
      </c>
      <c r="D10474" s="343">
        <v>45.11</v>
      </c>
    </row>
    <row r="10475" spans="1:4" ht="38.25">
      <c r="A10475" s="341">
        <v>14575</v>
      </c>
      <c r="B10475" s="342" t="s">
        <v>11309</v>
      </c>
      <c r="C10475" s="341" t="s">
        <v>7278</v>
      </c>
      <c r="D10475" s="344">
        <v>2941741.03</v>
      </c>
    </row>
    <row r="10476" spans="1:4" ht="25.5">
      <c r="A10476" s="341">
        <v>20033</v>
      </c>
      <c r="B10476" s="342" t="s">
        <v>11310</v>
      </c>
      <c r="C10476" s="341" t="s">
        <v>7278</v>
      </c>
      <c r="D10476" s="343">
        <v>34.24</v>
      </c>
    </row>
    <row r="10477" spans="1:4" ht="25.5">
      <c r="A10477" s="341">
        <v>20034</v>
      </c>
      <c r="B10477" s="342" t="s">
        <v>11311</v>
      </c>
      <c r="C10477" s="341" t="s">
        <v>7278</v>
      </c>
      <c r="D10477" s="343">
        <v>56.11</v>
      </c>
    </row>
    <row r="10478" spans="1:4" ht="25.5">
      <c r="A10478" s="341">
        <v>20035</v>
      </c>
      <c r="B10478" s="342" t="s">
        <v>11312</v>
      </c>
      <c r="C10478" s="341" t="s">
        <v>7278</v>
      </c>
      <c r="D10478" s="343">
        <v>62.45</v>
      </c>
    </row>
    <row r="10479" spans="1:4" ht="25.5">
      <c r="A10479" s="341">
        <v>20036</v>
      </c>
      <c r="B10479" s="342" t="s">
        <v>11313</v>
      </c>
      <c r="C10479" s="341" t="s">
        <v>7278</v>
      </c>
      <c r="D10479" s="343">
        <v>90.31</v>
      </c>
    </row>
    <row r="10480" spans="1:4" ht="25.5">
      <c r="A10480" s="341">
        <v>20037</v>
      </c>
      <c r="B10480" s="342" t="s">
        <v>11314</v>
      </c>
      <c r="C10480" s="341" t="s">
        <v>7278</v>
      </c>
      <c r="D10480" s="343">
        <v>184.25</v>
      </c>
    </row>
    <row r="10481" spans="1:4" ht="25.5">
      <c r="A10481" s="341">
        <v>20038</v>
      </c>
      <c r="B10481" s="342" t="s">
        <v>11315</v>
      </c>
      <c r="C10481" s="341" t="s">
        <v>7278</v>
      </c>
      <c r="D10481" s="343">
        <v>339.97</v>
      </c>
    </row>
    <row r="10482" spans="1:4" ht="25.5">
      <c r="A10482" s="341">
        <v>20039</v>
      </c>
      <c r="B10482" s="342" t="s">
        <v>11316</v>
      </c>
      <c r="C10482" s="341" t="s">
        <v>7278</v>
      </c>
      <c r="D10482" s="343">
        <v>480.21</v>
      </c>
    </row>
    <row r="10483" spans="1:4" ht="25.5">
      <c r="A10483" s="341">
        <v>20040</v>
      </c>
      <c r="B10483" s="342" t="s">
        <v>11317</v>
      </c>
      <c r="C10483" s="341" t="s">
        <v>7278</v>
      </c>
      <c r="D10483" s="343">
        <v>612.45000000000005</v>
      </c>
    </row>
    <row r="10484" spans="1:4" ht="25.5">
      <c r="A10484" s="341">
        <v>20041</v>
      </c>
      <c r="B10484" s="342" t="s">
        <v>11318</v>
      </c>
      <c r="C10484" s="341" t="s">
        <v>7278</v>
      </c>
      <c r="D10484" s="343">
        <v>618.16</v>
      </c>
    </row>
    <row r="10485" spans="1:4" ht="25.5">
      <c r="A10485" s="341">
        <v>20043</v>
      </c>
      <c r="B10485" s="342" t="s">
        <v>11319</v>
      </c>
      <c r="C10485" s="341" t="s">
        <v>7278</v>
      </c>
      <c r="D10485" s="343">
        <v>3.38</v>
      </c>
    </row>
    <row r="10486" spans="1:4" ht="25.5">
      <c r="A10486" s="341">
        <v>20044</v>
      </c>
      <c r="B10486" s="342" t="s">
        <v>11320</v>
      </c>
      <c r="C10486" s="341" t="s">
        <v>7278</v>
      </c>
      <c r="D10486" s="343">
        <v>4.13</v>
      </c>
    </row>
    <row r="10487" spans="1:4" ht="25.5">
      <c r="A10487" s="341">
        <v>20042</v>
      </c>
      <c r="B10487" s="342" t="s">
        <v>11321</v>
      </c>
      <c r="C10487" s="341" t="s">
        <v>7278</v>
      </c>
      <c r="D10487" s="343">
        <v>3.11</v>
      </c>
    </row>
    <row r="10488" spans="1:4" ht="25.5">
      <c r="A10488" s="341">
        <v>20046</v>
      </c>
      <c r="B10488" s="342" t="s">
        <v>11322</v>
      </c>
      <c r="C10488" s="341" t="s">
        <v>7278</v>
      </c>
      <c r="D10488" s="343">
        <v>10.91</v>
      </c>
    </row>
    <row r="10489" spans="1:4" ht="25.5">
      <c r="A10489" s="341">
        <v>20047</v>
      </c>
      <c r="B10489" s="342" t="s">
        <v>11323</v>
      </c>
      <c r="C10489" s="341" t="s">
        <v>7278</v>
      </c>
      <c r="D10489" s="343">
        <v>31.59</v>
      </c>
    </row>
    <row r="10490" spans="1:4" ht="25.5">
      <c r="A10490" s="341">
        <v>20045</v>
      </c>
      <c r="B10490" s="342" t="s">
        <v>11324</v>
      </c>
      <c r="C10490" s="341" t="s">
        <v>7278</v>
      </c>
      <c r="D10490" s="343">
        <v>5.17</v>
      </c>
    </row>
    <row r="10491" spans="1:4" ht="38.25">
      <c r="A10491" s="341">
        <v>20972</v>
      </c>
      <c r="B10491" s="342" t="s">
        <v>11325</v>
      </c>
      <c r="C10491" s="341" t="s">
        <v>7278</v>
      </c>
      <c r="D10491" s="343">
        <v>102.49</v>
      </c>
    </row>
    <row r="10492" spans="1:4" ht="25.5">
      <c r="A10492" s="341">
        <v>20032</v>
      </c>
      <c r="B10492" s="342" t="s">
        <v>11326</v>
      </c>
      <c r="C10492" s="341" t="s">
        <v>7278</v>
      </c>
      <c r="D10492" s="343">
        <v>38.340000000000003</v>
      </c>
    </row>
    <row r="10493" spans="1:4" ht="25.5">
      <c r="A10493" s="341">
        <v>11321</v>
      </c>
      <c r="B10493" s="342" t="s">
        <v>11327</v>
      </c>
      <c r="C10493" s="341" t="s">
        <v>7278</v>
      </c>
      <c r="D10493" s="343">
        <v>17.829999999999998</v>
      </c>
    </row>
    <row r="10494" spans="1:4" ht="25.5">
      <c r="A10494" s="341">
        <v>11323</v>
      </c>
      <c r="B10494" s="342" t="s">
        <v>11328</v>
      </c>
      <c r="C10494" s="341" t="s">
        <v>7278</v>
      </c>
      <c r="D10494" s="343">
        <v>21.31</v>
      </c>
    </row>
    <row r="10495" spans="1:4" ht="25.5">
      <c r="A10495" s="341">
        <v>20327</v>
      </c>
      <c r="B10495" s="342" t="s">
        <v>11329</v>
      </c>
      <c r="C10495" s="341" t="s">
        <v>7278</v>
      </c>
      <c r="D10495" s="343">
        <v>12.6</v>
      </c>
    </row>
    <row r="10496" spans="1:4">
      <c r="A10496" s="341">
        <v>25966</v>
      </c>
      <c r="B10496" s="342" t="s">
        <v>11330</v>
      </c>
      <c r="C10496" s="341" t="s">
        <v>7340</v>
      </c>
      <c r="D10496" s="343">
        <v>15.43</v>
      </c>
    </row>
    <row r="10497" spans="1:4" ht="63.75">
      <c r="A10497" s="341">
        <v>13390</v>
      </c>
      <c r="B10497" s="342" t="s">
        <v>11331</v>
      </c>
      <c r="C10497" s="341" t="s">
        <v>7278</v>
      </c>
      <c r="D10497" s="343">
        <v>58.95</v>
      </c>
    </row>
    <row r="10498" spans="1:4" ht="25.5">
      <c r="A10498" s="341">
        <v>6034</v>
      </c>
      <c r="B10498" s="342" t="s">
        <v>11332</v>
      </c>
      <c r="C10498" s="341" t="s">
        <v>7278</v>
      </c>
      <c r="D10498" s="343">
        <v>8.25</v>
      </c>
    </row>
    <row r="10499" spans="1:4" ht="25.5">
      <c r="A10499" s="341">
        <v>6036</v>
      </c>
      <c r="B10499" s="342" t="s">
        <v>11333</v>
      </c>
      <c r="C10499" s="341" t="s">
        <v>7278</v>
      </c>
      <c r="D10499" s="343">
        <v>11.24</v>
      </c>
    </row>
    <row r="10500" spans="1:4" ht="25.5">
      <c r="A10500" s="341">
        <v>6031</v>
      </c>
      <c r="B10500" s="342" t="s">
        <v>11334</v>
      </c>
      <c r="C10500" s="341" t="s">
        <v>7278</v>
      </c>
      <c r="D10500" s="343">
        <v>13.2</v>
      </c>
    </row>
    <row r="10501" spans="1:4" ht="25.5">
      <c r="A10501" s="341">
        <v>6029</v>
      </c>
      <c r="B10501" s="342" t="s">
        <v>11335</v>
      </c>
      <c r="C10501" s="341" t="s">
        <v>7278</v>
      </c>
      <c r="D10501" s="343">
        <v>13.35</v>
      </c>
    </row>
    <row r="10502" spans="1:4" ht="25.5">
      <c r="A10502" s="341">
        <v>6033</v>
      </c>
      <c r="B10502" s="342" t="s">
        <v>11336</v>
      </c>
      <c r="C10502" s="341" t="s">
        <v>7278</v>
      </c>
      <c r="D10502" s="343">
        <v>17.59</v>
      </c>
    </row>
    <row r="10503" spans="1:4" ht="25.5">
      <c r="A10503" s="341">
        <v>11672</v>
      </c>
      <c r="B10503" s="342" t="s">
        <v>11337</v>
      </c>
      <c r="C10503" s="341" t="s">
        <v>7278</v>
      </c>
      <c r="D10503" s="343">
        <v>38.270000000000003</v>
      </c>
    </row>
    <row r="10504" spans="1:4" ht="25.5">
      <c r="A10504" s="341">
        <v>11669</v>
      </c>
      <c r="B10504" s="342" t="s">
        <v>11338</v>
      </c>
      <c r="C10504" s="341" t="s">
        <v>7278</v>
      </c>
      <c r="D10504" s="343">
        <v>36.44</v>
      </c>
    </row>
    <row r="10505" spans="1:4" ht="25.5">
      <c r="A10505" s="341">
        <v>11670</v>
      </c>
      <c r="B10505" s="342" t="s">
        <v>11339</v>
      </c>
      <c r="C10505" s="341" t="s">
        <v>7278</v>
      </c>
      <c r="D10505" s="343">
        <v>13.96</v>
      </c>
    </row>
    <row r="10506" spans="1:4" ht="25.5">
      <c r="A10506" s="341">
        <v>20055</v>
      </c>
      <c r="B10506" s="342" t="s">
        <v>11340</v>
      </c>
      <c r="C10506" s="341" t="s">
        <v>7278</v>
      </c>
      <c r="D10506" s="343">
        <v>27.29</v>
      </c>
    </row>
    <row r="10507" spans="1:4" ht="25.5">
      <c r="A10507" s="341">
        <v>11671</v>
      </c>
      <c r="B10507" s="342" t="s">
        <v>11341</v>
      </c>
      <c r="C10507" s="341" t="s">
        <v>7278</v>
      </c>
      <c r="D10507" s="343">
        <v>58.57</v>
      </c>
    </row>
    <row r="10508" spans="1:4" ht="25.5">
      <c r="A10508" s="341">
        <v>6032</v>
      </c>
      <c r="B10508" s="342" t="s">
        <v>11342</v>
      </c>
      <c r="C10508" s="341" t="s">
        <v>7278</v>
      </c>
      <c r="D10508" s="343">
        <v>16.73</v>
      </c>
    </row>
    <row r="10509" spans="1:4" ht="25.5">
      <c r="A10509" s="341">
        <v>11673</v>
      </c>
      <c r="B10509" s="342" t="s">
        <v>11343</v>
      </c>
      <c r="C10509" s="341" t="s">
        <v>7278</v>
      </c>
      <c r="D10509" s="343">
        <v>13.17</v>
      </c>
    </row>
    <row r="10510" spans="1:4" ht="25.5">
      <c r="A10510" s="341">
        <v>11674</v>
      </c>
      <c r="B10510" s="342" t="s">
        <v>11344</v>
      </c>
      <c r="C10510" s="341" t="s">
        <v>7278</v>
      </c>
      <c r="D10510" s="343">
        <v>16.96</v>
      </c>
    </row>
    <row r="10511" spans="1:4" ht="25.5">
      <c r="A10511" s="341">
        <v>11675</v>
      </c>
      <c r="B10511" s="342" t="s">
        <v>11345</v>
      </c>
      <c r="C10511" s="341" t="s">
        <v>7278</v>
      </c>
      <c r="D10511" s="343">
        <v>26.93</v>
      </c>
    </row>
    <row r="10512" spans="1:4" ht="25.5">
      <c r="A10512" s="341">
        <v>11676</v>
      </c>
      <c r="B10512" s="342" t="s">
        <v>11346</v>
      </c>
      <c r="C10512" s="341" t="s">
        <v>7278</v>
      </c>
      <c r="D10512" s="343">
        <v>36.020000000000003</v>
      </c>
    </row>
    <row r="10513" spans="1:4" ht="25.5">
      <c r="A10513" s="341">
        <v>11677</v>
      </c>
      <c r="B10513" s="342" t="s">
        <v>11347</v>
      </c>
      <c r="C10513" s="341" t="s">
        <v>7278</v>
      </c>
      <c r="D10513" s="343">
        <v>37.200000000000003</v>
      </c>
    </row>
    <row r="10514" spans="1:4" ht="25.5">
      <c r="A10514" s="341">
        <v>11678</v>
      </c>
      <c r="B10514" s="342" t="s">
        <v>11348</v>
      </c>
      <c r="C10514" s="341" t="s">
        <v>7278</v>
      </c>
      <c r="D10514" s="343">
        <v>68.13</v>
      </c>
    </row>
    <row r="10515" spans="1:4" ht="25.5">
      <c r="A10515" s="341">
        <v>6038</v>
      </c>
      <c r="B10515" s="342" t="s">
        <v>11349</v>
      </c>
      <c r="C10515" s="341" t="s">
        <v>7278</v>
      </c>
      <c r="D10515" s="343">
        <v>4.32</v>
      </c>
    </row>
    <row r="10516" spans="1:4" ht="25.5">
      <c r="A10516" s="341">
        <v>11718</v>
      </c>
      <c r="B10516" s="342" t="s">
        <v>11350</v>
      </c>
      <c r="C10516" s="341" t="s">
        <v>7278</v>
      </c>
      <c r="D10516" s="343">
        <v>12.32</v>
      </c>
    </row>
    <row r="10517" spans="1:4" ht="25.5">
      <c r="A10517" s="341">
        <v>6037</v>
      </c>
      <c r="B10517" s="342" t="s">
        <v>11351</v>
      </c>
      <c r="C10517" s="341" t="s">
        <v>7278</v>
      </c>
      <c r="D10517" s="343">
        <v>8.99</v>
      </c>
    </row>
    <row r="10518" spans="1:4" ht="25.5">
      <c r="A10518" s="341">
        <v>11719</v>
      </c>
      <c r="B10518" s="342" t="s">
        <v>11352</v>
      </c>
      <c r="C10518" s="341" t="s">
        <v>7278</v>
      </c>
      <c r="D10518" s="343">
        <v>10</v>
      </c>
    </row>
    <row r="10519" spans="1:4" ht="25.5">
      <c r="A10519" s="341">
        <v>6019</v>
      </c>
      <c r="B10519" s="342" t="s">
        <v>11353</v>
      </c>
      <c r="C10519" s="341" t="s">
        <v>7278</v>
      </c>
      <c r="D10519" s="343">
        <v>17.47</v>
      </c>
    </row>
    <row r="10520" spans="1:4" ht="25.5">
      <c r="A10520" s="341">
        <v>6010</v>
      </c>
      <c r="B10520" s="342" t="s">
        <v>11354</v>
      </c>
      <c r="C10520" s="341" t="s">
        <v>7278</v>
      </c>
      <c r="D10520" s="343">
        <v>30.05</v>
      </c>
    </row>
    <row r="10521" spans="1:4" ht="25.5">
      <c r="A10521" s="341">
        <v>6017</v>
      </c>
      <c r="B10521" s="342" t="s">
        <v>11355</v>
      </c>
      <c r="C10521" s="341" t="s">
        <v>7278</v>
      </c>
      <c r="D10521" s="343">
        <v>23.8</v>
      </c>
    </row>
    <row r="10522" spans="1:4" ht="25.5">
      <c r="A10522" s="341">
        <v>6020</v>
      </c>
      <c r="B10522" s="342" t="s">
        <v>11356</v>
      </c>
      <c r="C10522" s="341" t="s">
        <v>7278</v>
      </c>
      <c r="D10522" s="343">
        <v>10.49</v>
      </c>
    </row>
    <row r="10523" spans="1:4" ht="25.5">
      <c r="A10523" s="341">
        <v>6028</v>
      </c>
      <c r="B10523" s="342" t="s">
        <v>11357</v>
      </c>
      <c r="C10523" s="341" t="s">
        <v>7278</v>
      </c>
      <c r="D10523" s="343">
        <v>41.86</v>
      </c>
    </row>
    <row r="10524" spans="1:4" ht="25.5">
      <c r="A10524" s="341">
        <v>6011</v>
      </c>
      <c r="B10524" s="342" t="s">
        <v>11358</v>
      </c>
      <c r="C10524" s="341" t="s">
        <v>7278</v>
      </c>
      <c r="D10524" s="343">
        <v>86.82</v>
      </c>
    </row>
    <row r="10525" spans="1:4" ht="25.5">
      <c r="A10525" s="341">
        <v>6012</v>
      </c>
      <c r="B10525" s="342" t="s">
        <v>11359</v>
      </c>
      <c r="C10525" s="341" t="s">
        <v>7278</v>
      </c>
      <c r="D10525" s="343">
        <v>105.12</v>
      </c>
    </row>
    <row r="10526" spans="1:4" ht="25.5">
      <c r="A10526" s="341">
        <v>6016</v>
      </c>
      <c r="B10526" s="342" t="s">
        <v>11360</v>
      </c>
      <c r="C10526" s="341" t="s">
        <v>7278</v>
      </c>
      <c r="D10526" s="343">
        <v>11.06</v>
      </c>
    </row>
    <row r="10527" spans="1:4" ht="25.5">
      <c r="A10527" s="341">
        <v>6027</v>
      </c>
      <c r="B10527" s="342" t="s">
        <v>11361</v>
      </c>
      <c r="C10527" s="341" t="s">
        <v>7278</v>
      </c>
      <c r="D10527" s="343">
        <v>219.03</v>
      </c>
    </row>
    <row r="10528" spans="1:4" ht="38.25">
      <c r="A10528" s="341">
        <v>6013</v>
      </c>
      <c r="B10528" s="342" t="s">
        <v>11362</v>
      </c>
      <c r="C10528" s="341" t="s">
        <v>7278</v>
      </c>
      <c r="D10528" s="343">
        <v>33.049999999999997</v>
      </c>
    </row>
    <row r="10529" spans="1:4" ht="38.25">
      <c r="A10529" s="341">
        <v>6015</v>
      </c>
      <c r="B10529" s="342" t="s">
        <v>11363</v>
      </c>
      <c r="C10529" s="341" t="s">
        <v>7278</v>
      </c>
      <c r="D10529" s="343">
        <v>48.06</v>
      </c>
    </row>
    <row r="10530" spans="1:4" ht="38.25">
      <c r="A10530" s="341">
        <v>6014</v>
      </c>
      <c r="B10530" s="342" t="s">
        <v>11364</v>
      </c>
      <c r="C10530" s="341" t="s">
        <v>7278</v>
      </c>
      <c r="D10530" s="343">
        <v>45.95</v>
      </c>
    </row>
    <row r="10531" spans="1:4" ht="38.25">
      <c r="A10531" s="341">
        <v>6006</v>
      </c>
      <c r="B10531" s="342" t="s">
        <v>11365</v>
      </c>
      <c r="C10531" s="341" t="s">
        <v>7278</v>
      </c>
      <c r="D10531" s="343">
        <v>23.93</v>
      </c>
    </row>
    <row r="10532" spans="1:4" ht="38.25">
      <c r="A10532" s="341">
        <v>6005</v>
      </c>
      <c r="B10532" s="342" t="s">
        <v>11366</v>
      </c>
      <c r="C10532" s="341" t="s">
        <v>7278</v>
      </c>
      <c r="D10532" s="343">
        <v>27</v>
      </c>
    </row>
    <row r="10533" spans="1:4" ht="25.5">
      <c r="A10533" s="341">
        <v>11756</v>
      </c>
      <c r="B10533" s="342" t="s">
        <v>11367</v>
      </c>
      <c r="C10533" s="341" t="s">
        <v>7278</v>
      </c>
      <c r="D10533" s="343">
        <v>12.89</v>
      </c>
    </row>
    <row r="10534" spans="1:4" ht="63.75">
      <c r="A10534" s="341">
        <v>10904</v>
      </c>
      <c r="B10534" s="342" t="s">
        <v>11368</v>
      </c>
      <c r="C10534" s="341" t="s">
        <v>7278</v>
      </c>
      <c r="D10534" s="343">
        <v>143.5</v>
      </c>
    </row>
    <row r="10535" spans="1:4" ht="25.5">
      <c r="A10535" s="341">
        <v>11752</v>
      </c>
      <c r="B10535" s="342" t="s">
        <v>11369</v>
      </c>
      <c r="C10535" s="341" t="s">
        <v>7278</v>
      </c>
      <c r="D10535" s="343">
        <v>7.43</v>
      </c>
    </row>
    <row r="10536" spans="1:4" ht="25.5">
      <c r="A10536" s="341">
        <v>11753</v>
      </c>
      <c r="B10536" s="342" t="s">
        <v>11370</v>
      </c>
      <c r="C10536" s="341" t="s">
        <v>7278</v>
      </c>
      <c r="D10536" s="343">
        <v>8.8699999999999992</v>
      </c>
    </row>
    <row r="10537" spans="1:4" ht="38.25">
      <c r="A10537" s="341">
        <v>6021</v>
      </c>
      <c r="B10537" s="342" t="s">
        <v>11371</v>
      </c>
      <c r="C10537" s="341" t="s">
        <v>7278</v>
      </c>
      <c r="D10537" s="343">
        <v>24.63</v>
      </c>
    </row>
    <row r="10538" spans="1:4" ht="38.25">
      <c r="A10538" s="341">
        <v>6024</v>
      </c>
      <c r="B10538" s="342" t="s">
        <v>11372</v>
      </c>
      <c r="C10538" s="341" t="s">
        <v>7278</v>
      </c>
      <c r="D10538" s="343">
        <v>25.46</v>
      </c>
    </row>
    <row r="10539" spans="1:4">
      <c r="A10539" s="341">
        <v>38379</v>
      </c>
      <c r="B10539" s="342" t="s">
        <v>11373</v>
      </c>
      <c r="C10539" s="341" t="s">
        <v>7287</v>
      </c>
      <c r="D10539" s="343">
        <v>26.87</v>
      </c>
    </row>
    <row r="10540" spans="1:4" ht="38.25">
      <c r="A10540" s="341">
        <v>13897</v>
      </c>
      <c r="B10540" s="342" t="s">
        <v>11374</v>
      </c>
      <c r="C10540" s="341" t="s">
        <v>7278</v>
      </c>
      <c r="D10540" s="344">
        <v>5788.07</v>
      </c>
    </row>
    <row r="10541" spans="1:4" ht="25.5">
      <c r="A10541" s="341">
        <v>10640</v>
      </c>
      <c r="B10541" s="342" t="s">
        <v>11375</v>
      </c>
      <c r="C10541" s="341" t="s">
        <v>7278</v>
      </c>
      <c r="D10541" s="344">
        <v>12535.76</v>
      </c>
    </row>
    <row r="10542" spans="1:4" ht="38.25">
      <c r="A10542" s="341">
        <v>11086</v>
      </c>
      <c r="B10542" s="342" t="s">
        <v>11376</v>
      </c>
      <c r="C10542" s="341" t="s">
        <v>7283</v>
      </c>
      <c r="D10542" s="343">
        <v>57.33</v>
      </c>
    </row>
    <row r="10543" spans="1:4">
      <c r="A10543" s="341">
        <v>34356</v>
      </c>
      <c r="B10543" s="342" t="s">
        <v>11377</v>
      </c>
      <c r="C10543" s="341" t="s">
        <v>7338</v>
      </c>
      <c r="D10543" s="343">
        <v>3.15</v>
      </c>
    </row>
    <row r="10544" spans="1:4">
      <c r="A10544" s="341">
        <v>34357</v>
      </c>
      <c r="B10544" s="342" t="s">
        <v>11378</v>
      </c>
      <c r="C10544" s="341" t="s">
        <v>7338</v>
      </c>
      <c r="D10544" s="343">
        <v>3.5</v>
      </c>
    </row>
    <row r="10545" spans="1:4">
      <c r="A10545" s="341">
        <v>37329</v>
      </c>
      <c r="B10545" s="342" t="s">
        <v>11379</v>
      </c>
      <c r="C10545" s="341" t="s">
        <v>7338</v>
      </c>
      <c r="D10545" s="343">
        <v>48.73</v>
      </c>
    </row>
    <row r="10546" spans="1:4">
      <c r="A10546" s="341">
        <v>37398</v>
      </c>
      <c r="B10546" s="342" t="s">
        <v>11380</v>
      </c>
      <c r="C10546" s="341" t="s">
        <v>7338</v>
      </c>
      <c r="D10546" s="343">
        <v>62.37</v>
      </c>
    </row>
    <row r="10547" spans="1:4" ht="25.5">
      <c r="A10547" s="341">
        <v>2510</v>
      </c>
      <c r="B10547" s="342" t="s">
        <v>11381</v>
      </c>
      <c r="C10547" s="341" t="s">
        <v>7278</v>
      </c>
      <c r="D10547" s="343">
        <v>14.76</v>
      </c>
    </row>
    <row r="10548" spans="1:4" ht="38.25">
      <c r="A10548" s="341">
        <v>12359</v>
      </c>
      <c r="B10548" s="342" t="s">
        <v>11382</v>
      </c>
      <c r="C10548" s="341" t="s">
        <v>7278</v>
      </c>
      <c r="D10548" s="343">
        <v>87.16</v>
      </c>
    </row>
    <row r="10549" spans="1:4">
      <c r="A10549" s="341">
        <v>5320</v>
      </c>
      <c r="B10549" s="342" t="s">
        <v>11383</v>
      </c>
      <c r="C10549" s="341" t="s">
        <v>7340</v>
      </c>
      <c r="D10549" s="343">
        <v>30.87</v>
      </c>
    </row>
    <row r="10550" spans="1:4">
      <c r="A10550" s="341">
        <v>7353</v>
      </c>
      <c r="B10550" s="342" t="s">
        <v>11384</v>
      </c>
      <c r="C10550" s="341" t="s">
        <v>7340</v>
      </c>
      <c r="D10550" s="343">
        <v>19.100000000000001</v>
      </c>
    </row>
    <row r="10551" spans="1:4" ht="25.5">
      <c r="A10551" s="341">
        <v>36144</v>
      </c>
      <c r="B10551" s="342" t="s">
        <v>11385</v>
      </c>
      <c r="C10551" s="341" t="s">
        <v>7278</v>
      </c>
      <c r="D10551" s="343">
        <v>1.54</v>
      </c>
    </row>
    <row r="10552" spans="1:4">
      <c r="A10552" s="341">
        <v>10518</v>
      </c>
      <c r="B10552" s="342" t="s">
        <v>11386</v>
      </c>
      <c r="C10552" s="341" t="s">
        <v>7278</v>
      </c>
      <c r="D10552" s="343">
        <v>53.52</v>
      </c>
    </row>
    <row r="10553" spans="1:4" ht="89.25">
      <c r="A10553" s="341">
        <v>36530</v>
      </c>
      <c r="B10553" s="342" t="s">
        <v>11387</v>
      </c>
      <c r="C10553" s="341" t="s">
        <v>7278</v>
      </c>
      <c r="D10553" s="344">
        <v>216658.53</v>
      </c>
    </row>
    <row r="10554" spans="1:4" ht="102">
      <c r="A10554" s="341">
        <v>6046</v>
      </c>
      <c r="B10554" s="342" t="s">
        <v>11388</v>
      </c>
      <c r="C10554" s="341" t="s">
        <v>7278</v>
      </c>
      <c r="D10554" s="344">
        <v>235000</v>
      </c>
    </row>
    <row r="10555" spans="1:4" ht="89.25">
      <c r="A10555" s="341">
        <v>36531</v>
      </c>
      <c r="B10555" s="342" t="s">
        <v>11389</v>
      </c>
      <c r="C10555" s="341" t="s">
        <v>7278</v>
      </c>
      <c r="D10555" s="344">
        <v>243597.54</v>
      </c>
    </row>
    <row r="10556" spans="1:4" ht="38.25">
      <c r="A10556" s="341">
        <v>34684</v>
      </c>
      <c r="B10556" s="342" t="s">
        <v>11390</v>
      </c>
      <c r="C10556" s="341" t="s">
        <v>7273</v>
      </c>
      <c r="D10556" s="343">
        <v>165.56</v>
      </c>
    </row>
    <row r="10557" spans="1:4" ht="38.25">
      <c r="A10557" s="341">
        <v>34683</v>
      </c>
      <c r="B10557" s="342" t="s">
        <v>11391</v>
      </c>
      <c r="C10557" s="341" t="s">
        <v>7273</v>
      </c>
      <c r="D10557" s="343">
        <v>103.47</v>
      </c>
    </row>
    <row r="10558" spans="1:4" ht="38.25">
      <c r="A10558" s="341">
        <v>533</v>
      </c>
      <c r="B10558" s="342" t="s">
        <v>11392</v>
      </c>
      <c r="C10558" s="341" t="s">
        <v>7273</v>
      </c>
      <c r="D10558" s="343">
        <v>16.82</v>
      </c>
    </row>
    <row r="10559" spans="1:4" ht="38.25">
      <c r="A10559" s="341">
        <v>10515</v>
      </c>
      <c r="B10559" s="342" t="s">
        <v>11393</v>
      </c>
      <c r="C10559" s="341" t="s">
        <v>7273</v>
      </c>
      <c r="D10559" s="343">
        <v>43.37</v>
      </c>
    </row>
    <row r="10560" spans="1:4" ht="38.25">
      <c r="A10560" s="341">
        <v>536</v>
      </c>
      <c r="B10560" s="342" t="s">
        <v>11394</v>
      </c>
      <c r="C10560" s="341" t="s">
        <v>7273</v>
      </c>
      <c r="D10560" s="343">
        <v>28.5</v>
      </c>
    </row>
    <row r="10561" spans="1:4" ht="38.25">
      <c r="A10561" s="341">
        <v>153</v>
      </c>
      <c r="B10561" s="342" t="s">
        <v>11395</v>
      </c>
      <c r="C10561" s="341" t="s">
        <v>7340</v>
      </c>
      <c r="D10561" s="343">
        <v>87.09</v>
      </c>
    </row>
    <row r="10562" spans="1:4" ht="38.25">
      <c r="A10562" s="341">
        <v>34682</v>
      </c>
      <c r="B10562" s="342" t="s">
        <v>11396</v>
      </c>
      <c r="C10562" s="341" t="s">
        <v>7273</v>
      </c>
      <c r="D10562" s="343">
        <v>79.13</v>
      </c>
    </row>
    <row r="10563" spans="1:4" ht="38.25">
      <c r="A10563" s="341">
        <v>20205</v>
      </c>
      <c r="B10563" s="342" t="s">
        <v>11397</v>
      </c>
      <c r="C10563" s="341" t="s">
        <v>7287</v>
      </c>
      <c r="D10563" s="343">
        <v>1.35</v>
      </c>
    </row>
    <row r="10564" spans="1:4" ht="38.25">
      <c r="A10564" s="341">
        <v>4408</v>
      </c>
      <c r="B10564" s="342" t="s">
        <v>11398</v>
      </c>
      <c r="C10564" s="341" t="s">
        <v>7287</v>
      </c>
      <c r="D10564" s="343">
        <v>1.1200000000000001</v>
      </c>
    </row>
    <row r="10565" spans="1:4" ht="38.25">
      <c r="A10565" s="341">
        <v>4412</v>
      </c>
      <c r="B10565" s="342" t="s">
        <v>11399</v>
      </c>
      <c r="C10565" s="341" t="s">
        <v>7287</v>
      </c>
      <c r="D10565" s="343">
        <v>0.83</v>
      </c>
    </row>
    <row r="10566" spans="1:4" ht="25.5">
      <c r="A10566" s="341">
        <v>10559</v>
      </c>
      <c r="B10566" s="342" t="s">
        <v>11400</v>
      </c>
      <c r="C10566" s="341" t="s">
        <v>7278</v>
      </c>
      <c r="D10566" s="344">
        <v>1913.78</v>
      </c>
    </row>
    <row r="10567" spans="1:4" ht="25.5">
      <c r="A10567" s="341">
        <v>10664</v>
      </c>
      <c r="B10567" s="342" t="s">
        <v>11401</v>
      </c>
      <c r="C10567" s="341" t="s">
        <v>7278</v>
      </c>
      <c r="D10567" s="344">
        <v>5201.24</v>
      </c>
    </row>
    <row r="10568" spans="1:4" ht="25.5">
      <c r="A10568" s="341">
        <v>36250</v>
      </c>
      <c r="B10568" s="342" t="s">
        <v>11402</v>
      </c>
      <c r="C10568" s="341" t="s">
        <v>7287</v>
      </c>
      <c r="D10568" s="343">
        <v>2.77</v>
      </c>
    </row>
    <row r="10569" spans="1:4">
      <c r="A10569" s="341">
        <v>10857</v>
      </c>
      <c r="B10569" s="342" t="s">
        <v>11403</v>
      </c>
      <c r="C10569" s="341" t="s">
        <v>7287</v>
      </c>
      <c r="D10569" s="343">
        <v>10.3</v>
      </c>
    </row>
    <row r="10570" spans="1:4" ht="25.5">
      <c r="A10570" s="341">
        <v>4803</v>
      </c>
      <c r="B10570" s="342" t="s">
        <v>11404</v>
      </c>
      <c r="C10570" s="341" t="s">
        <v>7287</v>
      </c>
      <c r="D10570" s="343">
        <v>20.56</v>
      </c>
    </row>
    <row r="10571" spans="1:4" ht="38.25">
      <c r="A10571" s="341">
        <v>6186</v>
      </c>
      <c r="B10571" s="342" t="s">
        <v>11405</v>
      </c>
      <c r="C10571" s="341" t="s">
        <v>7287</v>
      </c>
      <c r="D10571" s="343">
        <v>10</v>
      </c>
    </row>
    <row r="10572" spans="1:4" ht="25.5">
      <c r="A10572" s="341">
        <v>4829</v>
      </c>
      <c r="B10572" s="342" t="s">
        <v>11406</v>
      </c>
      <c r="C10572" s="341" t="s">
        <v>7287</v>
      </c>
      <c r="D10572" s="343">
        <v>34.520000000000003</v>
      </c>
    </row>
    <row r="10573" spans="1:4" ht="25.5">
      <c r="A10573" s="341">
        <v>39829</v>
      </c>
      <c r="B10573" s="342" t="s">
        <v>11407</v>
      </c>
      <c r="C10573" s="341" t="s">
        <v>7287</v>
      </c>
      <c r="D10573" s="343">
        <v>16.559999999999999</v>
      </c>
    </row>
    <row r="10574" spans="1:4" ht="51">
      <c r="A10574" s="341">
        <v>20231</v>
      </c>
      <c r="B10574" s="342" t="s">
        <v>11408</v>
      </c>
      <c r="C10574" s="341" t="s">
        <v>7287</v>
      </c>
      <c r="D10574" s="343">
        <v>47.63</v>
      </c>
    </row>
    <row r="10575" spans="1:4">
      <c r="A10575" s="341">
        <v>4804</v>
      </c>
      <c r="B10575" s="342" t="s">
        <v>11409</v>
      </c>
      <c r="C10575" s="341" t="s">
        <v>7287</v>
      </c>
      <c r="D10575" s="343">
        <v>15.78</v>
      </c>
    </row>
    <row r="10576" spans="1:4" ht="25.5">
      <c r="A10576" s="341">
        <v>34680</v>
      </c>
      <c r="B10576" s="342" t="s">
        <v>11410</v>
      </c>
      <c r="C10576" s="341" t="s">
        <v>7287</v>
      </c>
      <c r="D10576" s="343">
        <v>24.34</v>
      </c>
    </row>
    <row r="10577" spans="1:4" ht="38.25">
      <c r="A10577" s="341">
        <v>11573</v>
      </c>
      <c r="B10577" s="342" t="s">
        <v>11411</v>
      </c>
      <c r="C10577" s="341" t="s">
        <v>7278</v>
      </c>
      <c r="D10577" s="343">
        <v>6.15</v>
      </c>
    </row>
    <row r="10578" spans="1:4">
      <c r="A10578" s="341">
        <v>38401</v>
      </c>
      <c r="B10578" s="342" t="s">
        <v>11412</v>
      </c>
      <c r="C10578" s="341" t="s">
        <v>7278</v>
      </c>
      <c r="D10578" s="343">
        <v>7.17</v>
      </c>
    </row>
    <row r="10579" spans="1:4" ht="38.25">
      <c r="A10579" s="341">
        <v>38179</v>
      </c>
      <c r="B10579" s="342" t="s">
        <v>11413</v>
      </c>
      <c r="C10579" s="341" t="s">
        <v>7278</v>
      </c>
      <c r="D10579" s="343">
        <v>26.95</v>
      </c>
    </row>
    <row r="10580" spans="1:4" ht="38.25">
      <c r="A10580" s="341">
        <v>11575</v>
      </c>
      <c r="B10580" s="342" t="s">
        <v>11414</v>
      </c>
      <c r="C10580" s="341" t="s">
        <v>7278</v>
      </c>
      <c r="D10580" s="343">
        <v>29.08</v>
      </c>
    </row>
    <row r="10581" spans="1:4" ht="25.5">
      <c r="A10581" s="341">
        <v>20256</v>
      </c>
      <c r="B10581" s="342" t="s">
        <v>11415</v>
      </c>
      <c r="C10581" s="341" t="s">
        <v>7278</v>
      </c>
      <c r="D10581" s="343">
        <v>0.3</v>
      </c>
    </row>
    <row r="10582" spans="1:4" ht="51">
      <c r="A10582" s="341">
        <v>14511</v>
      </c>
      <c r="B10582" s="342" t="s">
        <v>11416</v>
      </c>
      <c r="C10582" s="341" t="s">
        <v>7278</v>
      </c>
      <c r="D10582" s="344">
        <v>436156.87</v>
      </c>
    </row>
    <row r="10583" spans="1:4" ht="51">
      <c r="A10583" s="341">
        <v>10642</v>
      </c>
      <c r="B10583" s="342" t="s">
        <v>11417</v>
      </c>
      <c r="C10583" s="341" t="s">
        <v>7278</v>
      </c>
      <c r="D10583" s="344">
        <v>410880.96</v>
      </c>
    </row>
    <row r="10584" spans="1:4" ht="63.75">
      <c r="A10584" s="341">
        <v>14489</v>
      </c>
      <c r="B10584" s="342" t="s">
        <v>11418</v>
      </c>
      <c r="C10584" s="341" t="s">
        <v>7278</v>
      </c>
      <c r="D10584" s="344">
        <v>364443.76</v>
      </c>
    </row>
    <row r="10585" spans="1:4" ht="51">
      <c r="A10585" s="341">
        <v>14513</v>
      </c>
      <c r="B10585" s="342" t="s">
        <v>11419</v>
      </c>
      <c r="C10585" s="341" t="s">
        <v>7278</v>
      </c>
      <c r="D10585" s="344">
        <v>273341.46999999997</v>
      </c>
    </row>
    <row r="10586" spans="1:4" ht="51">
      <c r="A10586" s="341">
        <v>13600</v>
      </c>
      <c r="B10586" s="342" t="s">
        <v>11420</v>
      </c>
      <c r="C10586" s="341" t="s">
        <v>7278</v>
      </c>
      <c r="D10586" s="344">
        <v>352687.47</v>
      </c>
    </row>
    <row r="10587" spans="1:4" ht="51">
      <c r="A10587" s="341">
        <v>10646</v>
      </c>
      <c r="B10587" s="342" t="s">
        <v>11421</v>
      </c>
      <c r="C10587" s="341" t="s">
        <v>7278</v>
      </c>
      <c r="D10587" s="344">
        <v>262905.01</v>
      </c>
    </row>
    <row r="10588" spans="1:4" ht="51">
      <c r="A10588" s="341">
        <v>6070</v>
      </c>
      <c r="B10588" s="342" t="s">
        <v>11422</v>
      </c>
      <c r="C10588" s="341" t="s">
        <v>7278</v>
      </c>
      <c r="D10588" s="344">
        <v>359227.34</v>
      </c>
    </row>
    <row r="10589" spans="1:4" ht="51">
      <c r="A10589" s="341">
        <v>6069</v>
      </c>
      <c r="B10589" s="342" t="s">
        <v>11423</v>
      </c>
      <c r="C10589" s="341" t="s">
        <v>7278</v>
      </c>
      <c r="D10589" s="344">
        <v>79358.740000000005</v>
      </c>
    </row>
    <row r="10590" spans="1:4" ht="38.25">
      <c r="A10590" s="341">
        <v>14626</v>
      </c>
      <c r="B10590" s="342" t="s">
        <v>11424</v>
      </c>
      <c r="C10590" s="341" t="s">
        <v>7278</v>
      </c>
      <c r="D10590" s="344">
        <v>393271.79</v>
      </c>
    </row>
    <row r="10591" spans="1:4" ht="38.25">
      <c r="A10591" s="341">
        <v>6067</v>
      </c>
      <c r="B10591" s="342" t="s">
        <v>11425</v>
      </c>
      <c r="C10591" s="341" t="s">
        <v>7278</v>
      </c>
      <c r="D10591" s="344">
        <v>322835.03999999998</v>
      </c>
    </row>
    <row r="10592" spans="1:4">
      <c r="A10592" s="341">
        <v>38393</v>
      </c>
      <c r="B10592" s="342" t="s">
        <v>11426</v>
      </c>
      <c r="C10592" s="341" t="s">
        <v>7278</v>
      </c>
      <c r="D10592" s="343">
        <v>12.1</v>
      </c>
    </row>
    <row r="10593" spans="1:4">
      <c r="A10593" s="341">
        <v>38390</v>
      </c>
      <c r="B10593" s="342" t="s">
        <v>11427</v>
      </c>
      <c r="C10593" s="341" t="s">
        <v>7278</v>
      </c>
      <c r="D10593" s="343">
        <v>26.83</v>
      </c>
    </row>
    <row r="10594" spans="1:4" ht="25.5">
      <c r="A10594" s="341">
        <v>36532</v>
      </c>
      <c r="B10594" s="342" t="s">
        <v>11428</v>
      </c>
      <c r="C10594" s="341" t="s">
        <v>7278</v>
      </c>
      <c r="D10594" s="344">
        <v>21745.69</v>
      </c>
    </row>
    <row r="10595" spans="1:4" ht="38.25">
      <c r="A10595" s="341">
        <v>11578</v>
      </c>
      <c r="B10595" s="342" t="s">
        <v>11429</v>
      </c>
      <c r="C10595" s="341" t="s">
        <v>7278</v>
      </c>
      <c r="D10595" s="343">
        <v>9.34</v>
      </c>
    </row>
    <row r="10596" spans="1:4" ht="51">
      <c r="A10596" s="341">
        <v>11577</v>
      </c>
      <c r="B10596" s="342" t="s">
        <v>11430</v>
      </c>
      <c r="C10596" s="341" t="s">
        <v>7278</v>
      </c>
      <c r="D10596" s="343">
        <v>8.91</v>
      </c>
    </row>
    <row r="10597" spans="1:4" ht="76.5">
      <c r="A10597" s="341">
        <v>42461</v>
      </c>
      <c r="B10597" s="342" t="s">
        <v>11431</v>
      </c>
      <c r="C10597" s="341" t="s">
        <v>7278</v>
      </c>
      <c r="D10597" s="344">
        <v>2203.2800000000002</v>
      </c>
    </row>
    <row r="10598" spans="1:4" ht="63.75">
      <c r="A10598" s="341">
        <v>42466</v>
      </c>
      <c r="B10598" s="342" t="s">
        <v>11432</v>
      </c>
      <c r="C10598" s="341" t="s">
        <v>7278</v>
      </c>
      <c r="D10598" s="344">
        <v>1221.3399999999999</v>
      </c>
    </row>
    <row r="10599" spans="1:4" ht="25.5">
      <c r="A10599" s="341">
        <v>1116</v>
      </c>
      <c r="B10599" s="342" t="s">
        <v>11433</v>
      </c>
      <c r="C10599" s="341" t="s">
        <v>7287</v>
      </c>
      <c r="D10599" s="343">
        <v>15.14</v>
      </c>
    </row>
    <row r="10600" spans="1:4" ht="25.5">
      <c r="A10600" s="341">
        <v>1115</v>
      </c>
      <c r="B10600" s="342" t="s">
        <v>11434</v>
      </c>
      <c r="C10600" s="341" t="s">
        <v>7287</v>
      </c>
      <c r="D10600" s="343">
        <v>18.41</v>
      </c>
    </row>
    <row r="10601" spans="1:4" ht="25.5">
      <c r="A10601" s="341">
        <v>1113</v>
      </c>
      <c r="B10601" s="342" t="s">
        <v>11435</v>
      </c>
      <c r="C10601" s="341" t="s">
        <v>7287</v>
      </c>
      <c r="D10601" s="343">
        <v>20.190000000000001</v>
      </c>
    </row>
    <row r="10602" spans="1:4" ht="25.5">
      <c r="A10602" s="341">
        <v>1114</v>
      </c>
      <c r="B10602" s="342" t="s">
        <v>11436</v>
      </c>
      <c r="C10602" s="341" t="s">
        <v>7287</v>
      </c>
      <c r="D10602" s="343">
        <v>30.29</v>
      </c>
    </row>
    <row r="10603" spans="1:4" ht="38.25">
      <c r="A10603" s="341">
        <v>40872</v>
      </c>
      <c r="B10603" s="342" t="s">
        <v>11437</v>
      </c>
      <c r="C10603" s="341" t="s">
        <v>7287</v>
      </c>
      <c r="D10603" s="343">
        <v>14.27</v>
      </c>
    </row>
    <row r="10604" spans="1:4" ht="25.5">
      <c r="A10604" s="341">
        <v>20214</v>
      </c>
      <c r="B10604" s="342" t="s">
        <v>11438</v>
      </c>
      <c r="C10604" s="341" t="s">
        <v>7278</v>
      </c>
      <c r="D10604" s="343">
        <v>29.18</v>
      </c>
    </row>
    <row r="10605" spans="1:4" ht="38.25">
      <c r="A10605" s="341">
        <v>11064</v>
      </c>
      <c r="B10605" s="342" t="s">
        <v>11439</v>
      </c>
      <c r="C10605" s="341" t="s">
        <v>7278</v>
      </c>
      <c r="D10605" s="343">
        <v>12.37</v>
      </c>
    </row>
    <row r="10606" spans="1:4" ht="38.25">
      <c r="A10606" s="341">
        <v>7237</v>
      </c>
      <c r="B10606" s="342" t="s">
        <v>11440</v>
      </c>
      <c r="C10606" s="341" t="s">
        <v>7278</v>
      </c>
      <c r="D10606" s="343">
        <v>16.88</v>
      </c>
    </row>
    <row r="10607" spans="1:4">
      <c r="A10607" s="341">
        <v>16</v>
      </c>
      <c r="B10607" s="342" t="s">
        <v>11441</v>
      </c>
      <c r="C10607" s="341" t="s">
        <v>7338</v>
      </c>
      <c r="D10607" s="343">
        <v>21.43</v>
      </c>
    </row>
    <row r="10608" spans="1:4">
      <c r="A10608" s="341">
        <v>11757</v>
      </c>
      <c r="B10608" s="342" t="s">
        <v>11442</v>
      </c>
      <c r="C10608" s="341" t="s">
        <v>7278</v>
      </c>
      <c r="D10608" s="343">
        <v>44.9</v>
      </c>
    </row>
    <row r="10609" spans="1:4" ht="38.25">
      <c r="A10609" s="341">
        <v>11758</v>
      </c>
      <c r="B10609" s="342" t="s">
        <v>11443</v>
      </c>
      <c r="C10609" s="341" t="s">
        <v>7278</v>
      </c>
      <c r="D10609" s="343">
        <v>39.69</v>
      </c>
    </row>
    <row r="10610" spans="1:4" ht="25.5">
      <c r="A10610" s="341">
        <v>37526</v>
      </c>
      <c r="B10610" s="342" t="s">
        <v>11444</v>
      </c>
      <c r="C10610" s="341" t="s">
        <v>7278</v>
      </c>
      <c r="D10610" s="343">
        <v>2.2200000000000002</v>
      </c>
    </row>
    <row r="10611" spans="1:4" ht="25.5">
      <c r="A10611" s="341">
        <v>6076</v>
      </c>
      <c r="B10611" s="342" t="s">
        <v>11445</v>
      </c>
      <c r="C10611" s="341" t="s">
        <v>7283</v>
      </c>
      <c r="D10611" s="343">
        <v>54.68</v>
      </c>
    </row>
    <row r="10612" spans="1:4">
      <c r="A10612" s="341">
        <v>13109</v>
      </c>
      <c r="B10612" s="342" t="s">
        <v>11446</v>
      </c>
      <c r="C10612" s="341" t="s">
        <v>7278</v>
      </c>
      <c r="D10612" s="343">
        <v>173.98</v>
      </c>
    </row>
    <row r="10613" spans="1:4">
      <c r="A10613" s="341">
        <v>13110</v>
      </c>
      <c r="B10613" s="342" t="s">
        <v>11447</v>
      </c>
      <c r="C10613" s="341" t="s">
        <v>7278</v>
      </c>
      <c r="D10613" s="343">
        <v>228.97</v>
      </c>
    </row>
    <row r="10614" spans="1:4" ht="25.5">
      <c r="A10614" s="341">
        <v>7581</v>
      </c>
      <c r="B10614" s="342" t="s">
        <v>11448</v>
      </c>
      <c r="C10614" s="341" t="s">
        <v>7278</v>
      </c>
      <c r="D10614" s="343">
        <v>2.4500000000000002</v>
      </c>
    </row>
    <row r="10615" spans="1:4" ht="38.25">
      <c r="A10615" s="341">
        <v>20206</v>
      </c>
      <c r="B10615" s="342" t="s">
        <v>11449</v>
      </c>
      <c r="C10615" s="341" t="s">
        <v>7287</v>
      </c>
      <c r="D10615" s="343">
        <v>4.0199999999999996</v>
      </c>
    </row>
    <row r="10616" spans="1:4" ht="38.25">
      <c r="A10616" s="341">
        <v>4460</v>
      </c>
      <c r="B10616" s="342" t="s">
        <v>11450</v>
      </c>
      <c r="C10616" s="341" t="s">
        <v>7287</v>
      </c>
      <c r="D10616" s="343">
        <v>4.68</v>
      </c>
    </row>
    <row r="10617" spans="1:4" ht="38.25">
      <c r="A10617" s="341">
        <v>6204</v>
      </c>
      <c r="B10617" s="342" t="s">
        <v>11451</v>
      </c>
      <c r="C10617" s="341" t="s">
        <v>7287</v>
      </c>
      <c r="D10617" s="343">
        <v>4.71</v>
      </c>
    </row>
    <row r="10618" spans="1:4" ht="38.25">
      <c r="A10618" s="341">
        <v>4417</v>
      </c>
      <c r="B10618" s="342" t="s">
        <v>11452</v>
      </c>
      <c r="C10618" s="341" t="s">
        <v>7287</v>
      </c>
      <c r="D10618" s="343">
        <v>2.69</v>
      </c>
    </row>
    <row r="10619" spans="1:4" ht="38.25">
      <c r="A10619" s="341">
        <v>4415</v>
      </c>
      <c r="B10619" s="342" t="s">
        <v>11453</v>
      </c>
      <c r="C10619" s="341" t="s">
        <v>7287</v>
      </c>
      <c r="D10619" s="343">
        <v>2.25</v>
      </c>
    </row>
    <row r="10620" spans="1:4" ht="25.5">
      <c r="A10620" s="341">
        <v>37373</v>
      </c>
      <c r="B10620" s="342" t="s">
        <v>11454</v>
      </c>
      <c r="C10620" s="341" t="s">
        <v>7275</v>
      </c>
      <c r="D10620" s="343">
        <v>0.02</v>
      </c>
    </row>
    <row r="10621" spans="1:4" ht="25.5">
      <c r="A10621" s="341">
        <v>40864</v>
      </c>
      <c r="B10621" s="342" t="s">
        <v>11455</v>
      </c>
      <c r="C10621" s="341" t="s">
        <v>7466</v>
      </c>
      <c r="D10621" s="343">
        <v>3.94</v>
      </c>
    </row>
    <row r="10622" spans="1:4" ht="25.5">
      <c r="A10622" s="341">
        <v>4734</v>
      </c>
      <c r="B10622" s="342" t="s">
        <v>11456</v>
      </c>
      <c r="C10622" s="341" t="s">
        <v>7283</v>
      </c>
      <c r="D10622" s="343">
        <v>81.59</v>
      </c>
    </row>
    <row r="10623" spans="1:4" ht="25.5">
      <c r="A10623" s="341">
        <v>6085</v>
      </c>
      <c r="B10623" s="342" t="s">
        <v>11457</v>
      </c>
      <c r="C10623" s="341" t="s">
        <v>7340</v>
      </c>
      <c r="D10623" s="343">
        <v>4.5199999999999996</v>
      </c>
    </row>
    <row r="10624" spans="1:4">
      <c r="A10624" s="341">
        <v>38396</v>
      </c>
      <c r="B10624" s="342" t="s">
        <v>11458</v>
      </c>
      <c r="C10624" s="341" t="s">
        <v>7278</v>
      </c>
      <c r="D10624" s="343">
        <v>414.32</v>
      </c>
    </row>
    <row r="10625" spans="1:4">
      <c r="A10625" s="341">
        <v>6090</v>
      </c>
      <c r="B10625" s="342" t="s">
        <v>11459</v>
      </c>
      <c r="C10625" s="341" t="s">
        <v>7340</v>
      </c>
      <c r="D10625" s="343">
        <v>8.59</v>
      </c>
    </row>
    <row r="10626" spans="1:4" ht="25.5">
      <c r="A10626" s="341">
        <v>11622</v>
      </c>
      <c r="B10626" s="342" t="s">
        <v>11460</v>
      </c>
      <c r="C10626" s="341" t="s">
        <v>7338</v>
      </c>
      <c r="D10626" s="343">
        <v>56.33</v>
      </c>
    </row>
    <row r="10627" spans="1:4" ht="25.5">
      <c r="A10627" s="341">
        <v>6094</v>
      </c>
      <c r="B10627" s="342" t="s">
        <v>11461</v>
      </c>
      <c r="C10627" s="341" t="s">
        <v>7338</v>
      </c>
      <c r="D10627" s="343">
        <v>14.52</v>
      </c>
    </row>
    <row r="10628" spans="1:4">
      <c r="A10628" s="341">
        <v>7317</v>
      </c>
      <c r="B10628" s="342" t="s">
        <v>11462</v>
      </c>
      <c r="C10628" s="341" t="s">
        <v>7338</v>
      </c>
      <c r="D10628" s="343">
        <v>31.61</v>
      </c>
    </row>
    <row r="10629" spans="1:4" ht="25.5">
      <c r="A10629" s="341">
        <v>142</v>
      </c>
      <c r="B10629" s="342" t="s">
        <v>11463</v>
      </c>
      <c r="C10629" s="341" t="s">
        <v>11464</v>
      </c>
      <c r="D10629" s="343">
        <v>29.57</v>
      </c>
    </row>
    <row r="10630" spans="1:4" ht="25.5">
      <c r="A10630" s="341">
        <v>38123</v>
      </c>
      <c r="B10630" s="342" t="s">
        <v>11465</v>
      </c>
      <c r="C10630" s="341" t="s">
        <v>7338</v>
      </c>
      <c r="D10630" s="343">
        <v>60.47</v>
      </c>
    </row>
    <row r="10631" spans="1:4" ht="38.25">
      <c r="A10631" s="341">
        <v>37953</v>
      </c>
      <c r="B10631" s="342" t="s">
        <v>11466</v>
      </c>
      <c r="C10631" s="341" t="s">
        <v>7278</v>
      </c>
      <c r="D10631" s="343">
        <v>3.5</v>
      </c>
    </row>
    <row r="10632" spans="1:4" ht="38.25">
      <c r="A10632" s="341">
        <v>37954</v>
      </c>
      <c r="B10632" s="342" t="s">
        <v>11467</v>
      </c>
      <c r="C10632" s="341" t="s">
        <v>7278</v>
      </c>
      <c r="D10632" s="343">
        <v>6.23</v>
      </c>
    </row>
    <row r="10633" spans="1:4" ht="38.25">
      <c r="A10633" s="341">
        <v>37955</v>
      </c>
      <c r="B10633" s="342" t="s">
        <v>11468</v>
      </c>
      <c r="C10633" s="341" t="s">
        <v>7278</v>
      </c>
      <c r="D10633" s="343">
        <v>8.07</v>
      </c>
    </row>
    <row r="10634" spans="1:4" ht="38.25">
      <c r="A10634" s="341">
        <v>6106</v>
      </c>
      <c r="B10634" s="342" t="s">
        <v>11469</v>
      </c>
      <c r="C10634" s="341" t="s">
        <v>7278</v>
      </c>
      <c r="D10634" s="343">
        <v>2.64</v>
      </c>
    </row>
    <row r="10635" spans="1:4" ht="38.25">
      <c r="A10635" s="341">
        <v>6107</v>
      </c>
      <c r="B10635" s="342" t="s">
        <v>11470</v>
      </c>
      <c r="C10635" s="341" t="s">
        <v>7278</v>
      </c>
      <c r="D10635" s="343">
        <v>7.64</v>
      </c>
    </row>
    <row r="10636" spans="1:4" ht="38.25">
      <c r="A10636" s="341">
        <v>6108</v>
      </c>
      <c r="B10636" s="342" t="s">
        <v>11471</v>
      </c>
      <c r="C10636" s="341" t="s">
        <v>7278</v>
      </c>
      <c r="D10636" s="343">
        <v>9.75</v>
      </c>
    </row>
    <row r="10637" spans="1:4" ht="38.25">
      <c r="A10637" s="341">
        <v>6109</v>
      </c>
      <c r="B10637" s="342" t="s">
        <v>11472</v>
      </c>
      <c r="C10637" s="341" t="s">
        <v>7278</v>
      </c>
      <c r="D10637" s="343">
        <v>13.85</v>
      </c>
    </row>
    <row r="10638" spans="1:4" ht="51">
      <c r="A10638" s="341">
        <v>37743</v>
      </c>
      <c r="B10638" s="342" t="s">
        <v>11473</v>
      </c>
      <c r="C10638" s="341" t="s">
        <v>7278</v>
      </c>
      <c r="D10638" s="344">
        <v>112405.59</v>
      </c>
    </row>
    <row r="10639" spans="1:4" ht="51">
      <c r="A10639" s="341">
        <v>37744</v>
      </c>
      <c r="B10639" s="342" t="s">
        <v>11474</v>
      </c>
      <c r="C10639" s="341" t="s">
        <v>7278</v>
      </c>
      <c r="D10639" s="344">
        <v>132167.82999999999</v>
      </c>
    </row>
    <row r="10640" spans="1:4" ht="51">
      <c r="A10640" s="341">
        <v>37741</v>
      </c>
      <c r="B10640" s="342" t="s">
        <v>11475</v>
      </c>
      <c r="C10640" s="341" t="s">
        <v>7278</v>
      </c>
      <c r="D10640" s="344">
        <v>102209.79</v>
      </c>
    </row>
    <row r="10641" spans="1:4" ht="51">
      <c r="A10641" s="341">
        <v>39396</v>
      </c>
      <c r="B10641" s="342" t="s">
        <v>11476</v>
      </c>
      <c r="C10641" s="341" t="s">
        <v>7278</v>
      </c>
      <c r="D10641" s="343">
        <v>28.91</v>
      </c>
    </row>
    <row r="10642" spans="1:4" ht="51">
      <c r="A10642" s="341">
        <v>39392</v>
      </c>
      <c r="B10642" s="342" t="s">
        <v>11477</v>
      </c>
      <c r="C10642" s="341" t="s">
        <v>7278</v>
      </c>
      <c r="D10642" s="343">
        <v>32.61</v>
      </c>
    </row>
    <row r="10643" spans="1:4" ht="51">
      <c r="A10643" s="341">
        <v>39393</v>
      </c>
      <c r="B10643" s="342" t="s">
        <v>11478</v>
      </c>
      <c r="C10643" s="341" t="s">
        <v>7278</v>
      </c>
      <c r="D10643" s="343">
        <v>20.16</v>
      </c>
    </row>
    <row r="10644" spans="1:4" ht="51">
      <c r="A10644" s="341">
        <v>39394</v>
      </c>
      <c r="B10644" s="342" t="s">
        <v>11479</v>
      </c>
      <c r="C10644" s="341" t="s">
        <v>7278</v>
      </c>
      <c r="D10644" s="343">
        <v>22.7</v>
      </c>
    </row>
    <row r="10645" spans="1:4" ht="51">
      <c r="A10645" s="341">
        <v>39395</v>
      </c>
      <c r="B10645" s="342" t="s">
        <v>11480</v>
      </c>
      <c r="C10645" s="341" t="s">
        <v>7278</v>
      </c>
      <c r="D10645" s="343">
        <v>21.11</v>
      </c>
    </row>
    <row r="10646" spans="1:4" ht="38.25">
      <c r="A10646" s="341">
        <v>14618</v>
      </c>
      <c r="B10646" s="342" t="s">
        <v>11481</v>
      </c>
      <c r="C10646" s="341" t="s">
        <v>7278</v>
      </c>
      <c r="D10646" s="344">
        <v>1281.8599999999999</v>
      </c>
    </row>
    <row r="10647" spans="1:4" ht="51">
      <c r="A10647" s="341">
        <v>40269</v>
      </c>
      <c r="B10647" s="342" t="s">
        <v>11482</v>
      </c>
      <c r="C10647" s="341" t="s">
        <v>7278</v>
      </c>
      <c r="D10647" s="344">
        <v>5164.5200000000004</v>
      </c>
    </row>
    <row r="10648" spans="1:4">
      <c r="A10648" s="341">
        <v>6110</v>
      </c>
      <c r="B10648" s="342" t="s">
        <v>11483</v>
      </c>
      <c r="C10648" s="341" t="s">
        <v>7275</v>
      </c>
      <c r="D10648" s="343">
        <v>12.68</v>
      </c>
    </row>
    <row r="10649" spans="1:4">
      <c r="A10649" s="341">
        <v>40910</v>
      </c>
      <c r="B10649" s="342" t="s">
        <v>11484</v>
      </c>
      <c r="C10649" s="341" t="s">
        <v>7466</v>
      </c>
      <c r="D10649" s="344">
        <v>2236.52</v>
      </c>
    </row>
    <row r="10650" spans="1:4">
      <c r="A10650" s="341">
        <v>6111</v>
      </c>
      <c r="B10650" s="342" t="s">
        <v>11485</v>
      </c>
      <c r="C10650" s="341" t="s">
        <v>7275</v>
      </c>
      <c r="D10650" s="343">
        <v>9.44</v>
      </c>
    </row>
    <row r="10651" spans="1:4">
      <c r="A10651" s="341">
        <v>41084</v>
      </c>
      <c r="B10651" s="342" t="s">
        <v>11486</v>
      </c>
      <c r="C10651" s="341" t="s">
        <v>7466</v>
      </c>
      <c r="D10651" s="344">
        <v>1664.08</v>
      </c>
    </row>
    <row r="10652" spans="1:4" ht="25.5">
      <c r="A10652" s="341">
        <v>25950</v>
      </c>
      <c r="B10652" s="342" t="s">
        <v>11487</v>
      </c>
      <c r="C10652" s="341" t="s">
        <v>7283</v>
      </c>
      <c r="D10652" s="343">
        <v>35.78</v>
      </c>
    </row>
    <row r="10653" spans="1:4" ht="25.5">
      <c r="A10653" s="341">
        <v>38637</v>
      </c>
      <c r="B10653" s="342" t="s">
        <v>11488</v>
      </c>
      <c r="C10653" s="341" t="s">
        <v>7278</v>
      </c>
      <c r="D10653" s="343">
        <v>161.43</v>
      </c>
    </row>
    <row r="10654" spans="1:4" ht="25.5">
      <c r="A10654" s="341">
        <v>6150</v>
      </c>
      <c r="B10654" s="342" t="s">
        <v>11489</v>
      </c>
      <c r="C10654" s="341" t="s">
        <v>7278</v>
      </c>
      <c r="D10654" s="343">
        <v>163.41</v>
      </c>
    </row>
    <row r="10655" spans="1:4" ht="25.5">
      <c r="A10655" s="341">
        <v>6136</v>
      </c>
      <c r="B10655" s="342" t="s">
        <v>11490</v>
      </c>
      <c r="C10655" s="341" t="s">
        <v>7278</v>
      </c>
      <c r="D10655" s="343">
        <v>128.44999999999999</v>
      </c>
    </row>
    <row r="10656" spans="1:4" ht="25.5">
      <c r="A10656" s="341">
        <v>38638</v>
      </c>
      <c r="B10656" s="342" t="s">
        <v>11491</v>
      </c>
      <c r="C10656" s="341" t="s">
        <v>7278</v>
      </c>
      <c r="D10656" s="343">
        <v>136.03</v>
      </c>
    </row>
    <row r="10657" spans="1:4" ht="25.5">
      <c r="A10657" s="341">
        <v>20262</v>
      </c>
      <c r="B10657" s="342" t="s">
        <v>11492</v>
      </c>
      <c r="C10657" s="341" t="s">
        <v>7278</v>
      </c>
      <c r="D10657" s="343">
        <v>10.89</v>
      </c>
    </row>
    <row r="10658" spans="1:4" ht="25.5">
      <c r="A10658" s="341">
        <v>6148</v>
      </c>
      <c r="B10658" s="342" t="s">
        <v>11493</v>
      </c>
      <c r="C10658" s="341" t="s">
        <v>7278</v>
      </c>
      <c r="D10658" s="343">
        <v>6.74</v>
      </c>
    </row>
    <row r="10659" spans="1:4" ht="25.5">
      <c r="A10659" s="341">
        <v>6145</v>
      </c>
      <c r="B10659" s="342" t="s">
        <v>11494</v>
      </c>
      <c r="C10659" s="341" t="s">
        <v>7278</v>
      </c>
      <c r="D10659" s="343">
        <v>12.08</v>
      </c>
    </row>
    <row r="10660" spans="1:4" ht="25.5">
      <c r="A10660" s="341">
        <v>6149</v>
      </c>
      <c r="B10660" s="342" t="s">
        <v>11495</v>
      </c>
      <c r="C10660" s="341" t="s">
        <v>7278</v>
      </c>
      <c r="D10660" s="343">
        <v>11.39</v>
      </c>
    </row>
    <row r="10661" spans="1:4" ht="25.5">
      <c r="A10661" s="341">
        <v>6146</v>
      </c>
      <c r="B10661" s="342" t="s">
        <v>11496</v>
      </c>
      <c r="C10661" s="341" t="s">
        <v>7278</v>
      </c>
      <c r="D10661" s="343">
        <v>12.09</v>
      </c>
    </row>
    <row r="10662" spans="1:4" ht="25.5">
      <c r="A10662" s="341">
        <v>26026</v>
      </c>
      <c r="B10662" s="342" t="s">
        <v>11497</v>
      </c>
      <c r="C10662" s="341" t="s">
        <v>7338</v>
      </c>
      <c r="D10662" s="343">
        <v>2.41</v>
      </c>
    </row>
    <row r="10663" spans="1:4">
      <c r="A10663" s="341">
        <v>39961</v>
      </c>
      <c r="B10663" s="342" t="s">
        <v>11498</v>
      </c>
      <c r="C10663" s="341" t="s">
        <v>7278</v>
      </c>
      <c r="D10663" s="343">
        <v>10.59</v>
      </c>
    </row>
    <row r="10664" spans="1:4" ht="63.75">
      <c r="A10664" s="341">
        <v>42462</v>
      </c>
      <c r="B10664" s="342" t="s">
        <v>11499</v>
      </c>
      <c r="C10664" s="341" t="s">
        <v>7278</v>
      </c>
      <c r="D10664" s="344">
        <v>4552.63</v>
      </c>
    </row>
    <row r="10665" spans="1:4" ht="63.75">
      <c r="A10665" s="341">
        <v>42463</v>
      </c>
      <c r="B10665" s="342" t="s">
        <v>11500</v>
      </c>
      <c r="C10665" s="341" t="s">
        <v>7278</v>
      </c>
      <c r="D10665" s="344">
        <v>4474.49</v>
      </c>
    </row>
    <row r="10666" spans="1:4" ht="63.75">
      <c r="A10666" s="341">
        <v>42464</v>
      </c>
      <c r="B10666" s="342" t="s">
        <v>11501</v>
      </c>
      <c r="C10666" s="341" t="s">
        <v>7278</v>
      </c>
      <c r="D10666" s="344">
        <v>1908.11</v>
      </c>
    </row>
    <row r="10667" spans="1:4" ht="25.5">
      <c r="A10667" s="341">
        <v>38061</v>
      </c>
      <c r="B10667" s="342" t="s">
        <v>11502</v>
      </c>
      <c r="C10667" s="341" t="s">
        <v>7278</v>
      </c>
      <c r="D10667" s="343">
        <v>43.59</v>
      </c>
    </row>
    <row r="10668" spans="1:4">
      <c r="A10668" s="341">
        <v>20250</v>
      </c>
      <c r="B10668" s="342" t="s">
        <v>11503</v>
      </c>
      <c r="C10668" s="341" t="s">
        <v>7338</v>
      </c>
      <c r="D10668" s="343">
        <v>10</v>
      </c>
    </row>
    <row r="10669" spans="1:4" ht="89.25">
      <c r="A10669" s="341">
        <v>39965</v>
      </c>
      <c r="B10669" s="342" t="s">
        <v>11504</v>
      </c>
      <c r="C10669" s="341" t="s">
        <v>7273</v>
      </c>
      <c r="D10669" s="344">
        <v>1343.57</v>
      </c>
    </row>
    <row r="10670" spans="1:4" ht="114.75">
      <c r="A10670" s="341">
        <v>39964</v>
      </c>
      <c r="B10670" s="342" t="s">
        <v>11505</v>
      </c>
      <c r="C10670" s="341" t="s">
        <v>7273</v>
      </c>
      <c r="D10670" s="344">
        <v>1047.44</v>
      </c>
    </row>
    <row r="10671" spans="1:4">
      <c r="A10671" s="341">
        <v>7</v>
      </c>
      <c r="B10671" s="342" t="s">
        <v>11506</v>
      </c>
      <c r="C10671" s="341" t="s">
        <v>7338</v>
      </c>
      <c r="D10671" s="343">
        <v>35.590000000000003</v>
      </c>
    </row>
    <row r="10672" spans="1:4">
      <c r="A10672" s="341">
        <v>13388</v>
      </c>
      <c r="B10672" s="342" t="s">
        <v>11507</v>
      </c>
      <c r="C10672" s="341" t="s">
        <v>7338</v>
      </c>
      <c r="D10672" s="343">
        <v>58.39</v>
      </c>
    </row>
    <row r="10673" spans="1:4" ht="25.5">
      <c r="A10673" s="341">
        <v>39914</v>
      </c>
      <c r="B10673" s="342" t="s">
        <v>11508</v>
      </c>
      <c r="C10673" s="341" t="s">
        <v>7338</v>
      </c>
      <c r="D10673" s="343">
        <v>113.24</v>
      </c>
    </row>
    <row r="10674" spans="1:4" ht="38.25">
      <c r="A10674" s="341">
        <v>12732</v>
      </c>
      <c r="B10674" s="342" t="s">
        <v>11509</v>
      </c>
      <c r="C10674" s="341" t="s">
        <v>7278</v>
      </c>
      <c r="D10674" s="343">
        <v>130.66</v>
      </c>
    </row>
    <row r="10675" spans="1:4">
      <c r="A10675" s="341">
        <v>6160</v>
      </c>
      <c r="B10675" s="342" t="s">
        <v>11510</v>
      </c>
      <c r="C10675" s="341" t="s">
        <v>7275</v>
      </c>
      <c r="D10675" s="343">
        <v>12.68</v>
      </c>
    </row>
    <row r="10676" spans="1:4">
      <c r="A10676" s="341">
        <v>41087</v>
      </c>
      <c r="B10676" s="342" t="s">
        <v>11511</v>
      </c>
      <c r="C10676" s="341" t="s">
        <v>7466</v>
      </c>
      <c r="D10676" s="344">
        <v>2236.52</v>
      </c>
    </row>
    <row r="10677" spans="1:4" ht="25.5">
      <c r="A10677" s="341">
        <v>6166</v>
      </c>
      <c r="B10677" s="342" t="s">
        <v>11512</v>
      </c>
      <c r="C10677" s="341" t="s">
        <v>7275</v>
      </c>
      <c r="D10677" s="343">
        <v>16.989999999999998</v>
      </c>
    </row>
    <row r="10678" spans="1:4" ht="25.5">
      <c r="A10678" s="341">
        <v>41088</v>
      </c>
      <c r="B10678" s="342" t="s">
        <v>11513</v>
      </c>
      <c r="C10678" s="341" t="s">
        <v>7466</v>
      </c>
      <c r="D10678" s="344">
        <v>2998.27</v>
      </c>
    </row>
    <row r="10679" spans="1:4" ht="51">
      <c r="A10679" s="341">
        <v>20232</v>
      </c>
      <c r="B10679" s="342" t="s">
        <v>11514</v>
      </c>
      <c r="C10679" s="341" t="s">
        <v>7287</v>
      </c>
      <c r="D10679" s="343">
        <v>67.42</v>
      </c>
    </row>
    <row r="10680" spans="1:4" ht="25.5">
      <c r="A10680" s="341">
        <v>10856</v>
      </c>
      <c r="B10680" s="342" t="s">
        <v>11515</v>
      </c>
      <c r="C10680" s="341" t="s">
        <v>7287</v>
      </c>
      <c r="D10680" s="343">
        <v>66.95</v>
      </c>
    </row>
    <row r="10681" spans="1:4" ht="38.25">
      <c r="A10681" s="341">
        <v>4828</v>
      </c>
      <c r="B10681" s="342" t="s">
        <v>11516</v>
      </c>
      <c r="C10681" s="341" t="s">
        <v>7287</v>
      </c>
      <c r="D10681" s="343">
        <v>51.53</v>
      </c>
    </row>
    <row r="10682" spans="1:4" ht="25.5">
      <c r="A10682" s="341">
        <v>20249</v>
      </c>
      <c r="B10682" s="342" t="s">
        <v>11517</v>
      </c>
      <c r="C10682" s="341" t="s">
        <v>7287</v>
      </c>
      <c r="D10682" s="343">
        <v>28.21</v>
      </c>
    </row>
    <row r="10683" spans="1:4" ht="25.5">
      <c r="A10683" s="341">
        <v>11609</v>
      </c>
      <c r="B10683" s="342" t="s">
        <v>11518</v>
      </c>
      <c r="C10683" s="341" t="s">
        <v>7340</v>
      </c>
      <c r="D10683" s="343">
        <v>9.76</v>
      </c>
    </row>
    <row r="10684" spans="1:4" ht="25.5">
      <c r="A10684" s="341">
        <v>20083</v>
      </c>
      <c r="B10684" s="342" t="s">
        <v>11519</v>
      </c>
      <c r="C10684" s="341" t="s">
        <v>7278</v>
      </c>
      <c r="D10684" s="343">
        <v>43.14</v>
      </c>
    </row>
    <row r="10685" spans="1:4" ht="25.5">
      <c r="A10685" s="341">
        <v>20082</v>
      </c>
      <c r="B10685" s="342" t="s">
        <v>11520</v>
      </c>
      <c r="C10685" s="341" t="s">
        <v>7278</v>
      </c>
      <c r="D10685" s="343">
        <v>16.8</v>
      </c>
    </row>
    <row r="10686" spans="1:4">
      <c r="A10686" s="341">
        <v>5318</v>
      </c>
      <c r="B10686" s="342" t="s">
        <v>11521</v>
      </c>
      <c r="C10686" s="341" t="s">
        <v>7340</v>
      </c>
      <c r="D10686" s="343">
        <v>11.48</v>
      </c>
    </row>
    <row r="10687" spans="1:4" ht="25.5">
      <c r="A10687" s="341">
        <v>10691</v>
      </c>
      <c r="B10687" s="342" t="s">
        <v>11522</v>
      </c>
      <c r="C10687" s="341" t="s">
        <v>7340</v>
      </c>
      <c r="D10687" s="343">
        <v>30.91</v>
      </c>
    </row>
    <row r="10688" spans="1:4" ht="25.5">
      <c r="A10688" s="341">
        <v>12295</v>
      </c>
      <c r="B10688" s="342" t="s">
        <v>11523</v>
      </c>
      <c r="C10688" s="341" t="s">
        <v>7278</v>
      </c>
      <c r="D10688" s="343">
        <v>2.59</v>
      </c>
    </row>
    <row r="10689" spans="1:4" ht="25.5">
      <c r="A10689" s="341">
        <v>12296</v>
      </c>
      <c r="B10689" s="342" t="s">
        <v>11524</v>
      </c>
      <c r="C10689" s="341" t="s">
        <v>7278</v>
      </c>
      <c r="D10689" s="343">
        <v>3.36</v>
      </c>
    </row>
    <row r="10690" spans="1:4" ht="25.5">
      <c r="A10690" s="341">
        <v>12294</v>
      </c>
      <c r="B10690" s="342" t="s">
        <v>11525</v>
      </c>
      <c r="C10690" s="341" t="s">
        <v>7278</v>
      </c>
      <c r="D10690" s="343">
        <v>8.06</v>
      </c>
    </row>
    <row r="10691" spans="1:4" ht="25.5">
      <c r="A10691" s="341">
        <v>14543</v>
      </c>
      <c r="B10691" s="342" t="s">
        <v>11526</v>
      </c>
      <c r="C10691" s="341" t="s">
        <v>7278</v>
      </c>
      <c r="D10691" s="343">
        <v>5.76</v>
      </c>
    </row>
    <row r="10692" spans="1:4" ht="25.5">
      <c r="A10692" s="341">
        <v>13329</v>
      </c>
      <c r="B10692" s="342" t="s">
        <v>11527</v>
      </c>
      <c r="C10692" s="341" t="s">
        <v>7278</v>
      </c>
      <c r="D10692" s="343">
        <v>3.38</v>
      </c>
    </row>
    <row r="10693" spans="1:4" ht="38.25">
      <c r="A10693" s="341">
        <v>21044</v>
      </c>
      <c r="B10693" s="342" t="s">
        <v>11528</v>
      </c>
      <c r="C10693" s="341" t="s">
        <v>7278</v>
      </c>
      <c r="D10693" s="343">
        <v>18.649999999999999</v>
      </c>
    </row>
    <row r="10694" spans="1:4" ht="38.25">
      <c r="A10694" s="341">
        <v>21045</v>
      </c>
      <c r="B10694" s="342" t="s">
        <v>11529</v>
      </c>
      <c r="C10694" s="341" t="s">
        <v>7278</v>
      </c>
      <c r="D10694" s="343">
        <v>25.54</v>
      </c>
    </row>
    <row r="10695" spans="1:4" ht="38.25">
      <c r="A10695" s="341">
        <v>21040</v>
      </c>
      <c r="B10695" s="342" t="s">
        <v>11530</v>
      </c>
      <c r="C10695" s="341" t="s">
        <v>7278</v>
      </c>
      <c r="D10695" s="343">
        <v>18.25</v>
      </c>
    </row>
    <row r="10696" spans="1:4" ht="38.25">
      <c r="A10696" s="341">
        <v>21041</v>
      </c>
      <c r="B10696" s="342" t="s">
        <v>11531</v>
      </c>
      <c r="C10696" s="341" t="s">
        <v>7278</v>
      </c>
      <c r="D10696" s="343">
        <v>22.03</v>
      </c>
    </row>
    <row r="10697" spans="1:4" ht="38.25">
      <c r="A10697" s="341">
        <v>21047</v>
      </c>
      <c r="B10697" s="342" t="s">
        <v>11532</v>
      </c>
      <c r="C10697" s="341" t="s">
        <v>7278</v>
      </c>
      <c r="D10697" s="343">
        <v>27.49</v>
      </c>
    </row>
    <row r="10698" spans="1:4" ht="38.25">
      <c r="A10698" s="341">
        <v>21043</v>
      </c>
      <c r="B10698" s="342" t="s">
        <v>11533</v>
      </c>
      <c r="C10698" s="341" t="s">
        <v>7278</v>
      </c>
      <c r="D10698" s="343">
        <v>26.77</v>
      </c>
    </row>
    <row r="10699" spans="1:4" ht="38.25">
      <c r="A10699" s="341">
        <v>21042</v>
      </c>
      <c r="B10699" s="342" t="s">
        <v>11534</v>
      </c>
      <c r="C10699" s="341" t="s">
        <v>7278</v>
      </c>
      <c r="D10699" s="343">
        <v>21.19</v>
      </c>
    </row>
    <row r="10700" spans="1:4" ht="25.5">
      <c r="A10700" s="341">
        <v>11895</v>
      </c>
      <c r="B10700" s="342" t="s">
        <v>11535</v>
      </c>
      <c r="C10700" s="341" t="s">
        <v>7278</v>
      </c>
      <c r="D10700" s="343">
        <v>694.4</v>
      </c>
    </row>
    <row r="10701" spans="1:4" ht="25.5">
      <c r="A10701" s="341">
        <v>11896</v>
      </c>
      <c r="B10701" s="342" t="s">
        <v>11536</v>
      </c>
      <c r="C10701" s="341" t="s">
        <v>7278</v>
      </c>
      <c r="D10701" s="344">
        <v>3639.63</v>
      </c>
    </row>
    <row r="10702" spans="1:4" ht="25.5">
      <c r="A10702" s="341">
        <v>11897</v>
      </c>
      <c r="B10702" s="342" t="s">
        <v>11537</v>
      </c>
      <c r="C10702" s="341" t="s">
        <v>7278</v>
      </c>
      <c r="D10702" s="344">
        <v>4749.08</v>
      </c>
    </row>
    <row r="10703" spans="1:4" ht="25.5">
      <c r="A10703" s="341">
        <v>11898</v>
      </c>
      <c r="B10703" s="342" t="s">
        <v>11538</v>
      </c>
      <c r="C10703" s="341" t="s">
        <v>7278</v>
      </c>
      <c r="D10703" s="344">
        <v>4988.53</v>
      </c>
    </row>
    <row r="10704" spans="1:4" ht="25.5">
      <c r="A10704" s="341">
        <v>3282</v>
      </c>
      <c r="B10704" s="342" t="s">
        <v>11539</v>
      </c>
      <c r="C10704" s="341" t="s">
        <v>7278</v>
      </c>
      <c r="D10704" s="343">
        <v>504.83</v>
      </c>
    </row>
    <row r="10705" spans="1:4" ht="25.5">
      <c r="A10705" s="341">
        <v>11899</v>
      </c>
      <c r="B10705" s="342" t="s">
        <v>11540</v>
      </c>
      <c r="C10705" s="341" t="s">
        <v>7278</v>
      </c>
      <c r="D10705" s="344">
        <v>2462.33</v>
      </c>
    </row>
    <row r="10706" spans="1:4" ht="25.5">
      <c r="A10706" s="341">
        <v>11900</v>
      </c>
      <c r="B10706" s="342" t="s">
        <v>11541</v>
      </c>
      <c r="C10706" s="341" t="s">
        <v>7278</v>
      </c>
      <c r="D10706" s="344">
        <v>3376.23</v>
      </c>
    </row>
    <row r="10707" spans="1:4">
      <c r="A10707" s="341">
        <v>14149</v>
      </c>
      <c r="B10707" s="342" t="s">
        <v>11542</v>
      </c>
      <c r="C10707" s="341" t="s">
        <v>9521</v>
      </c>
      <c r="D10707" s="343">
        <v>187.61</v>
      </c>
    </row>
    <row r="10708" spans="1:4" ht="51">
      <c r="A10708" s="341">
        <v>38099</v>
      </c>
      <c r="B10708" s="342" t="s">
        <v>11543</v>
      </c>
      <c r="C10708" s="341" t="s">
        <v>7278</v>
      </c>
      <c r="D10708" s="343">
        <v>0.87</v>
      </c>
    </row>
    <row r="10709" spans="1:4" ht="51">
      <c r="A10709" s="341">
        <v>38100</v>
      </c>
      <c r="B10709" s="342" t="s">
        <v>11544</v>
      </c>
      <c r="C10709" s="341" t="s">
        <v>7278</v>
      </c>
      <c r="D10709" s="343">
        <v>1.42</v>
      </c>
    </row>
    <row r="10710" spans="1:4" ht="38.25">
      <c r="A10710" s="341">
        <v>20061</v>
      </c>
      <c r="B10710" s="342" t="s">
        <v>11545</v>
      </c>
      <c r="C10710" s="341" t="s">
        <v>7278</v>
      </c>
      <c r="D10710" s="343">
        <v>3.14</v>
      </c>
    </row>
    <row r="10711" spans="1:4" ht="38.25">
      <c r="A10711" s="341">
        <v>7576</v>
      </c>
      <c r="B10711" s="342" t="s">
        <v>11546</v>
      </c>
      <c r="C10711" s="341" t="s">
        <v>7278</v>
      </c>
      <c r="D10711" s="343">
        <v>100.79</v>
      </c>
    </row>
    <row r="10712" spans="1:4" ht="25.5">
      <c r="A10712" s="341">
        <v>3384</v>
      </c>
      <c r="B10712" s="342" t="s">
        <v>11547</v>
      </c>
      <c r="C10712" s="341" t="s">
        <v>7278</v>
      </c>
      <c r="D10712" s="343">
        <v>3.98</v>
      </c>
    </row>
    <row r="10713" spans="1:4" ht="25.5">
      <c r="A10713" s="341">
        <v>7572</v>
      </c>
      <c r="B10713" s="342" t="s">
        <v>11548</v>
      </c>
      <c r="C10713" s="341" t="s">
        <v>7278</v>
      </c>
      <c r="D10713" s="343">
        <v>6.97</v>
      </c>
    </row>
    <row r="10714" spans="1:4" ht="25.5">
      <c r="A10714" s="341">
        <v>3396</v>
      </c>
      <c r="B10714" s="342" t="s">
        <v>11549</v>
      </c>
      <c r="C10714" s="341" t="s">
        <v>7278</v>
      </c>
      <c r="D10714" s="343">
        <v>4.9400000000000004</v>
      </c>
    </row>
    <row r="10715" spans="1:4" ht="25.5">
      <c r="A10715" s="341">
        <v>37590</v>
      </c>
      <c r="B10715" s="342" t="s">
        <v>11550</v>
      </c>
      <c r="C10715" s="341" t="s">
        <v>7278</v>
      </c>
      <c r="D10715" s="343">
        <v>28.93</v>
      </c>
    </row>
    <row r="10716" spans="1:4" ht="25.5">
      <c r="A10716" s="341">
        <v>37591</v>
      </c>
      <c r="B10716" s="342" t="s">
        <v>11551</v>
      </c>
      <c r="C10716" s="341" t="s">
        <v>7278</v>
      </c>
      <c r="D10716" s="343">
        <v>40.26</v>
      </c>
    </row>
    <row r="10717" spans="1:4" ht="38.25">
      <c r="A10717" s="341">
        <v>12626</v>
      </c>
      <c r="B10717" s="342" t="s">
        <v>11552</v>
      </c>
      <c r="C10717" s="341" t="s">
        <v>7278</v>
      </c>
      <c r="D10717" s="343">
        <v>15.08</v>
      </c>
    </row>
    <row r="10718" spans="1:4" ht="25.5">
      <c r="A10718" s="341">
        <v>11033</v>
      </c>
      <c r="B10718" s="342" t="s">
        <v>11553</v>
      </c>
      <c r="C10718" s="341" t="s">
        <v>7278</v>
      </c>
      <c r="D10718" s="343">
        <v>4.13</v>
      </c>
    </row>
    <row r="10719" spans="1:4" ht="25.5">
      <c r="A10719" s="341">
        <v>390</v>
      </c>
      <c r="B10719" s="342" t="s">
        <v>11554</v>
      </c>
      <c r="C10719" s="341" t="s">
        <v>7278</v>
      </c>
      <c r="D10719" s="343">
        <v>9.92</v>
      </c>
    </row>
    <row r="10720" spans="1:4" ht="63.75">
      <c r="A10720" s="341">
        <v>42465</v>
      </c>
      <c r="B10720" s="342" t="s">
        <v>11555</v>
      </c>
      <c r="C10720" s="341" t="s">
        <v>7278</v>
      </c>
      <c r="D10720" s="344">
        <v>2002.86</v>
      </c>
    </row>
    <row r="10721" spans="1:4" ht="38.25">
      <c r="A10721" s="341">
        <v>6178</v>
      </c>
      <c r="B10721" s="342" t="s">
        <v>11556</v>
      </c>
      <c r="C10721" s="341" t="s">
        <v>7273</v>
      </c>
      <c r="D10721" s="343">
        <v>166.78</v>
      </c>
    </row>
    <row r="10722" spans="1:4" ht="38.25">
      <c r="A10722" s="341">
        <v>6180</v>
      </c>
      <c r="B10722" s="342" t="s">
        <v>11557</v>
      </c>
      <c r="C10722" s="341" t="s">
        <v>7273</v>
      </c>
      <c r="D10722" s="343">
        <v>180</v>
      </c>
    </row>
    <row r="10723" spans="1:4" ht="38.25">
      <c r="A10723" s="341">
        <v>6182</v>
      </c>
      <c r="B10723" s="342" t="s">
        <v>11558</v>
      </c>
      <c r="C10723" s="341" t="s">
        <v>7273</v>
      </c>
      <c r="D10723" s="343">
        <v>223.42</v>
      </c>
    </row>
    <row r="10724" spans="1:4" ht="38.25">
      <c r="A10724" s="341">
        <v>3993</v>
      </c>
      <c r="B10724" s="342" t="s">
        <v>11559</v>
      </c>
      <c r="C10724" s="341" t="s">
        <v>7273</v>
      </c>
      <c r="D10724" s="343">
        <v>52.15</v>
      </c>
    </row>
    <row r="10725" spans="1:4" ht="38.25">
      <c r="A10725" s="341">
        <v>3990</v>
      </c>
      <c r="B10725" s="342" t="s">
        <v>11560</v>
      </c>
      <c r="C10725" s="341" t="s">
        <v>7287</v>
      </c>
      <c r="D10725" s="343">
        <v>11.52</v>
      </c>
    </row>
    <row r="10726" spans="1:4" ht="38.25">
      <c r="A10726" s="341">
        <v>3992</v>
      </c>
      <c r="B10726" s="342" t="s">
        <v>11561</v>
      </c>
      <c r="C10726" s="341" t="s">
        <v>7287</v>
      </c>
      <c r="D10726" s="343">
        <v>14.15</v>
      </c>
    </row>
    <row r="10727" spans="1:4" ht="25.5">
      <c r="A10727" s="341">
        <v>6193</v>
      </c>
      <c r="B10727" s="342" t="s">
        <v>11562</v>
      </c>
      <c r="C10727" s="341" t="s">
        <v>7287</v>
      </c>
      <c r="D10727" s="343">
        <v>4.22</v>
      </c>
    </row>
    <row r="10728" spans="1:4" ht="25.5">
      <c r="A10728" s="341">
        <v>6189</v>
      </c>
      <c r="B10728" s="342" t="s">
        <v>11563</v>
      </c>
      <c r="C10728" s="341" t="s">
        <v>7287</v>
      </c>
      <c r="D10728" s="343">
        <v>6.33</v>
      </c>
    </row>
    <row r="10729" spans="1:4" ht="25.5">
      <c r="A10729" s="341">
        <v>10567</v>
      </c>
      <c r="B10729" s="342" t="s">
        <v>11564</v>
      </c>
      <c r="C10729" s="341" t="s">
        <v>7287</v>
      </c>
      <c r="D10729" s="343">
        <v>4.3</v>
      </c>
    </row>
    <row r="10730" spans="1:4" ht="25.5">
      <c r="A10730" s="341">
        <v>6212</v>
      </c>
      <c r="B10730" s="342" t="s">
        <v>11565</v>
      </c>
      <c r="C10730" s="341" t="s">
        <v>7287</v>
      </c>
      <c r="D10730" s="343">
        <v>6.01</v>
      </c>
    </row>
    <row r="10731" spans="1:4" ht="25.5">
      <c r="A10731" s="341">
        <v>6188</v>
      </c>
      <c r="B10731" s="342" t="s">
        <v>11566</v>
      </c>
      <c r="C10731" s="341" t="s">
        <v>7273</v>
      </c>
      <c r="D10731" s="343">
        <v>20.05</v>
      </c>
    </row>
    <row r="10732" spans="1:4" ht="25.5">
      <c r="A10732" s="341">
        <v>6214</v>
      </c>
      <c r="B10732" s="342" t="s">
        <v>11567</v>
      </c>
      <c r="C10732" s="341" t="s">
        <v>7273</v>
      </c>
      <c r="D10732" s="343">
        <v>104.47</v>
      </c>
    </row>
    <row r="10733" spans="1:4" ht="38.25">
      <c r="A10733" s="341">
        <v>36153</v>
      </c>
      <c r="B10733" s="342" t="s">
        <v>11568</v>
      </c>
      <c r="C10733" s="341" t="s">
        <v>7278</v>
      </c>
      <c r="D10733" s="343">
        <v>184.84</v>
      </c>
    </row>
    <row r="10734" spans="1:4" ht="25.5">
      <c r="A10734" s="341">
        <v>10740</v>
      </c>
      <c r="B10734" s="342" t="s">
        <v>11569</v>
      </c>
      <c r="C10734" s="341" t="s">
        <v>7278</v>
      </c>
      <c r="D10734" s="344">
        <v>9542.4</v>
      </c>
    </row>
    <row r="10735" spans="1:4" ht="25.5">
      <c r="A10735" s="341">
        <v>13914</v>
      </c>
      <c r="B10735" s="342" t="s">
        <v>11570</v>
      </c>
      <c r="C10735" s="341" t="s">
        <v>7278</v>
      </c>
      <c r="D10735" s="343">
        <v>690.43</v>
      </c>
    </row>
    <row r="10736" spans="1:4" ht="25.5">
      <c r="A10736" s="341">
        <v>10742</v>
      </c>
      <c r="B10736" s="342" t="s">
        <v>11571</v>
      </c>
      <c r="C10736" s="341" t="s">
        <v>7278</v>
      </c>
      <c r="D10736" s="344">
        <v>1007</v>
      </c>
    </row>
    <row r="10737" spans="1:4" ht="25.5">
      <c r="A10737" s="341">
        <v>38465</v>
      </c>
      <c r="B10737" s="342" t="s">
        <v>11572</v>
      </c>
      <c r="C10737" s="341" t="s">
        <v>7278</v>
      </c>
      <c r="D10737" s="343">
        <v>25.02</v>
      </c>
    </row>
    <row r="10738" spans="1:4">
      <c r="A10738" s="341">
        <v>7543</v>
      </c>
      <c r="B10738" s="342" t="s">
        <v>11573</v>
      </c>
      <c r="C10738" s="341" t="s">
        <v>7278</v>
      </c>
      <c r="D10738" s="343">
        <v>3.74</v>
      </c>
    </row>
    <row r="10739" spans="1:4" ht="25.5">
      <c r="A10739" s="341">
        <v>13255</v>
      </c>
      <c r="B10739" s="342" t="s">
        <v>11574</v>
      </c>
      <c r="C10739" s="341" t="s">
        <v>7278</v>
      </c>
      <c r="D10739" s="343">
        <v>44.42</v>
      </c>
    </row>
    <row r="10740" spans="1:4" ht="25.5">
      <c r="A10740" s="341">
        <v>39352</v>
      </c>
      <c r="B10740" s="342" t="s">
        <v>11575</v>
      </c>
      <c r="C10740" s="341" t="s">
        <v>7278</v>
      </c>
      <c r="D10740" s="343">
        <v>2.31</v>
      </c>
    </row>
    <row r="10741" spans="1:4" ht="25.5">
      <c r="A10741" s="341">
        <v>39350</v>
      </c>
      <c r="B10741" s="342" t="s">
        <v>11576</v>
      </c>
      <c r="C10741" s="341" t="s">
        <v>7278</v>
      </c>
      <c r="D10741" s="343">
        <v>2.48</v>
      </c>
    </row>
    <row r="10742" spans="1:4" ht="25.5">
      <c r="A10742" s="341">
        <v>39346</v>
      </c>
      <c r="B10742" s="342" t="s">
        <v>11577</v>
      </c>
      <c r="C10742" s="341" t="s">
        <v>7278</v>
      </c>
      <c r="D10742" s="343">
        <v>2.31</v>
      </c>
    </row>
    <row r="10743" spans="1:4" ht="25.5">
      <c r="A10743" s="341">
        <v>39351</v>
      </c>
      <c r="B10743" s="342" t="s">
        <v>11578</v>
      </c>
      <c r="C10743" s="341" t="s">
        <v>7278</v>
      </c>
      <c r="D10743" s="343">
        <v>2.88</v>
      </c>
    </row>
    <row r="10744" spans="1:4" ht="25.5">
      <c r="A10744" s="341">
        <v>38952</v>
      </c>
      <c r="B10744" s="342" t="s">
        <v>11579</v>
      </c>
      <c r="C10744" s="341" t="s">
        <v>7278</v>
      </c>
      <c r="D10744" s="343">
        <v>2.62</v>
      </c>
    </row>
    <row r="10745" spans="1:4" ht="25.5">
      <c r="A10745" s="341">
        <v>38953</v>
      </c>
      <c r="B10745" s="342" t="s">
        <v>11580</v>
      </c>
      <c r="C10745" s="341" t="s">
        <v>7278</v>
      </c>
      <c r="D10745" s="343">
        <v>4.1399999999999997</v>
      </c>
    </row>
    <row r="10746" spans="1:4" ht="25.5">
      <c r="A10746" s="341">
        <v>38835</v>
      </c>
      <c r="B10746" s="342" t="s">
        <v>11581</v>
      </c>
      <c r="C10746" s="341" t="s">
        <v>7278</v>
      </c>
      <c r="D10746" s="343">
        <v>3.71</v>
      </c>
    </row>
    <row r="10747" spans="1:4" ht="25.5">
      <c r="A10747" s="341">
        <v>38837</v>
      </c>
      <c r="B10747" s="342" t="s">
        <v>11582</v>
      </c>
      <c r="C10747" s="341" t="s">
        <v>7278</v>
      </c>
      <c r="D10747" s="343">
        <v>9.67</v>
      </c>
    </row>
    <row r="10748" spans="1:4" ht="25.5">
      <c r="A10748" s="341">
        <v>38836</v>
      </c>
      <c r="B10748" s="342" t="s">
        <v>11583</v>
      </c>
      <c r="C10748" s="341" t="s">
        <v>7278</v>
      </c>
      <c r="D10748" s="343">
        <v>5.35</v>
      </c>
    </row>
    <row r="10749" spans="1:4" ht="38.25">
      <c r="A10749" s="341">
        <v>2666</v>
      </c>
      <c r="B10749" s="342" t="s">
        <v>11584</v>
      </c>
      <c r="C10749" s="341" t="s">
        <v>7278</v>
      </c>
      <c r="D10749" s="343">
        <v>3.87</v>
      </c>
    </row>
    <row r="10750" spans="1:4" ht="38.25">
      <c r="A10750" s="341">
        <v>2668</v>
      </c>
      <c r="B10750" s="342" t="s">
        <v>11585</v>
      </c>
      <c r="C10750" s="341" t="s">
        <v>7278</v>
      </c>
      <c r="D10750" s="343">
        <v>4.42</v>
      </c>
    </row>
    <row r="10751" spans="1:4" ht="38.25">
      <c r="A10751" s="341">
        <v>2664</v>
      </c>
      <c r="B10751" s="342" t="s">
        <v>11586</v>
      </c>
      <c r="C10751" s="341" t="s">
        <v>7278</v>
      </c>
      <c r="D10751" s="343">
        <v>6.52</v>
      </c>
    </row>
    <row r="10752" spans="1:4" ht="38.25">
      <c r="A10752" s="341">
        <v>2662</v>
      </c>
      <c r="B10752" s="342" t="s">
        <v>11587</v>
      </c>
      <c r="C10752" s="341" t="s">
        <v>7278</v>
      </c>
      <c r="D10752" s="343">
        <v>8</v>
      </c>
    </row>
    <row r="10753" spans="1:4" ht="38.25">
      <c r="A10753" s="341">
        <v>20964</v>
      </c>
      <c r="B10753" s="342" t="s">
        <v>11588</v>
      </c>
      <c r="C10753" s="341" t="s">
        <v>7278</v>
      </c>
      <c r="D10753" s="343">
        <v>56.03</v>
      </c>
    </row>
    <row r="10754" spans="1:4" ht="38.25">
      <c r="A10754" s="341">
        <v>10905</v>
      </c>
      <c r="B10754" s="342" t="s">
        <v>11589</v>
      </c>
      <c r="C10754" s="341" t="s">
        <v>7278</v>
      </c>
      <c r="D10754" s="343">
        <v>75.16</v>
      </c>
    </row>
    <row r="10755" spans="1:4" ht="25.5">
      <c r="A10755" s="341">
        <v>6249</v>
      </c>
      <c r="B10755" s="342" t="s">
        <v>11590</v>
      </c>
      <c r="C10755" s="341" t="s">
        <v>7278</v>
      </c>
      <c r="D10755" s="343">
        <v>22.17</v>
      </c>
    </row>
    <row r="10756" spans="1:4" ht="25.5">
      <c r="A10756" s="341">
        <v>6251</v>
      </c>
      <c r="B10756" s="342" t="s">
        <v>11591</v>
      </c>
      <c r="C10756" s="341" t="s">
        <v>7278</v>
      </c>
      <c r="D10756" s="343">
        <v>34.01</v>
      </c>
    </row>
    <row r="10757" spans="1:4" ht="25.5">
      <c r="A10757" s="341">
        <v>6252</v>
      </c>
      <c r="B10757" s="342" t="s">
        <v>11592</v>
      </c>
      <c r="C10757" s="341" t="s">
        <v>7278</v>
      </c>
      <c r="D10757" s="343">
        <v>43.41</v>
      </c>
    </row>
    <row r="10758" spans="1:4" ht="25.5">
      <c r="A10758" s="341">
        <v>6250</v>
      </c>
      <c r="B10758" s="342" t="s">
        <v>11593</v>
      </c>
      <c r="C10758" s="341" t="s">
        <v>7278</v>
      </c>
      <c r="D10758" s="343">
        <v>53.76</v>
      </c>
    </row>
    <row r="10759" spans="1:4" ht="25.5">
      <c r="A10759" s="341">
        <v>11289</v>
      </c>
      <c r="B10759" s="342" t="s">
        <v>11594</v>
      </c>
      <c r="C10759" s="341" t="s">
        <v>7278</v>
      </c>
      <c r="D10759" s="343">
        <v>62.75</v>
      </c>
    </row>
    <row r="10760" spans="1:4" ht="25.5">
      <c r="A10760" s="341">
        <v>11241</v>
      </c>
      <c r="B10760" s="342" t="s">
        <v>11595</v>
      </c>
      <c r="C10760" s="341" t="s">
        <v>7278</v>
      </c>
      <c r="D10760" s="343">
        <v>156.88999999999999</v>
      </c>
    </row>
    <row r="10761" spans="1:4" ht="38.25">
      <c r="A10761" s="341">
        <v>11301</v>
      </c>
      <c r="B10761" s="342" t="s">
        <v>11596</v>
      </c>
      <c r="C10761" s="341" t="s">
        <v>7278</v>
      </c>
      <c r="D10761" s="343">
        <v>397.85</v>
      </c>
    </row>
    <row r="10762" spans="1:4" ht="38.25">
      <c r="A10762" s="341">
        <v>21090</v>
      </c>
      <c r="B10762" s="342" t="s">
        <v>11597</v>
      </c>
      <c r="C10762" s="341" t="s">
        <v>7278</v>
      </c>
      <c r="D10762" s="343">
        <v>487.51</v>
      </c>
    </row>
    <row r="10763" spans="1:4" ht="38.25">
      <c r="A10763" s="341">
        <v>14112</v>
      </c>
      <c r="B10763" s="342" t="s">
        <v>11598</v>
      </c>
      <c r="C10763" s="341" t="s">
        <v>7278</v>
      </c>
      <c r="D10763" s="343">
        <v>203.4</v>
      </c>
    </row>
    <row r="10764" spans="1:4" ht="38.25">
      <c r="A10764" s="341">
        <v>11315</v>
      </c>
      <c r="B10764" s="342" t="s">
        <v>11599</v>
      </c>
      <c r="C10764" s="341" t="s">
        <v>7278</v>
      </c>
      <c r="D10764" s="343">
        <v>95.26</v>
      </c>
    </row>
    <row r="10765" spans="1:4" ht="25.5">
      <c r="A10765" s="341">
        <v>11292</v>
      </c>
      <c r="B10765" s="342" t="s">
        <v>11600</v>
      </c>
      <c r="C10765" s="341" t="s">
        <v>7278</v>
      </c>
      <c r="D10765" s="343">
        <v>223.02</v>
      </c>
    </row>
    <row r="10766" spans="1:4" ht="38.25">
      <c r="A10766" s="341">
        <v>21071</v>
      </c>
      <c r="B10766" s="342" t="s">
        <v>11601</v>
      </c>
      <c r="C10766" s="341" t="s">
        <v>7278</v>
      </c>
      <c r="D10766" s="343">
        <v>145.69</v>
      </c>
    </row>
    <row r="10767" spans="1:4" ht="38.25">
      <c r="A10767" s="341">
        <v>11293</v>
      </c>
      <c r="B10767" s="342" t="s">
        <v>11602</v>
      </c>
      <c r="C10767" s="341" t="s">
        <v>7278</v>
      </c>
      <c r="D10767" s="343">
        <v>246.55</v>
      </c>
    </row>
    <row r="10768" spans="1:4" ht="38.25">
      <c r="A10768" s="341">
        <v>11316</v>
      </c>
      <c r="B10768" s="342" t="s">
        <v>11603</v>
      </c>
      <c r="C10768" s="341" t="s">
        <v>7278</v>
      </c>
      <c r="D10768" s="343">
        <v>313.79000000000002</v>
      </c>
    </row>
    <row r="10769" spans="1:7" ht="38.25">
      <c r="A10769" s="341">
        <v>6243</v>
      </c>
      <c r="B10769" s="342" t="s">
        <v>11604</v>
      </c>
      <c r="C10769" s="341" t="s">
        <v>7278</v>
      </c>
      <c r="D10769" s="343">
        <v>361.43</v>
      </c>
    </row>
    <row r="10770" spans="1:7" ht="38.25">
      <c r="A10770" s="341">
        <v>21079</v>
      </c>
      <c r="B10770" s="342" t="s">
        <v>11605</v>
      </c>
      <c r="C10770" s="341" t="s">
        <v>7278</v>
      </c>
      <c r="D10770" s="343">
        <v>430.91</v>
      </c>
    </row>
    <row r="10771" spans="1:7" ht="38.25">
      <c r="A10771" s="341">
        <v>6240</v>
      </c>
      <c r="B10771" s="342" t="s">
        <v>11606</v>
      </c>
      <c r="C10771" s="341" t="s">
        <v>7278</v>
      </c>
      <c r="D10771" s="343">
        <v>478.54</v>
      </c>
    </row>
    <row r="10772" spans="1:7" ht="38.25">
      <c r="A10772" s="341">
        <v>11296</v>
      </c>
      <c r="B10772" s="342" t="s">
        <v>11607</v>
      </c>
      <c r="C10772" s="341" t="s">
        <v>7278</v>
      </c>
      <c r="D10772" s="344">
        <v>1524.73</v>
      </c>
    </row>
    <row r="10773" spans="1:7" ht="25.5">
      <c r="A10773" s="341">
        <v>11299</v>
      </c>
      <c r="B10773" s="342" t="s">
        <v>11608</v>
      </c>
      <c r="C10773" s="341" t="s">
        <v>7278</v>
      </c>
      <c r="D10773" s="343">
        <v>516.08000000000004</v>
      </c>
    </row>
    <row r="10774" spans="1:7" ht="38.25">
      <c r="A10774" s="341">
        <v>11066</v>
      </c>
      <c r="B10774" s="342" t="s">
        <v>11609</v>
      </c>
      <c r="C10774" s="341" t="s">
        <v>7278</v>
      </c>
      <c r="D10774" s="343">
        <v>10.27</v>
      </c>
    </row>
    <row r="10775" spans="1:7" ht="81" customHeight="1">
      <c r="A10775" s="341">
        <v>11065</v>
      </c>
      <c r="B10775" s="342" t="s">
        <v>11610</v>
      </c>
      <c r="C10775" s="341" t="s">
        <v>7278</v>
      </c>
      <c r="D10775" s="343">
        <v>11.77</v>
      </c>
      <c r="E10775" s="335" t="s">
        <v>11611</v>
      </c>
      <c r="F10775" s="336"/>
      <c r="G10775" s="336"/>
    </row>
    <row r="10776" spans="1:7" ht="25.5">
      <c r="A10776" s="341">
        <v>11688</v>
      </c>
      <c r="B10776" s="342" t="s">
        <v>11612</v>
      </c>
      <c r="C10776" s="341" t="s">
        <v>7278</v>
      </c>
      <c r="D10776" s="343">
        <v>297.01</v>
      </c>
    </row>
    <row r="10777" spans="1:7" ht="63.75">
      <c r="A10777" s="341">
        <v>37736</v>
      </c>
      <c r="B10777" s="342" t="s">
        <v>11613</v>
      </c>
      <c r="C10777" s="341" t="s">
        <v>7278</v>
      </c>
      <c r="D10777" s="344">
        <v>41000</v>
      </c>
    </row>
    <row r="10778" spans="1:7" ht="38.25">
      <c r="A10778" s="341">
        <v>37739</v>
      </c>
      <c r="B10778" s="342" t="s">
        <v>11614</v>
      </c>
      <c r="C10778" s="341" t="s">
        <v>7278</v>
      </c>
      <c r="D10778" s="344">
        <v>50461.53</v>
      </c>
    </row>
    <row r="10779" spans="1:7" ht="38.25">
      <c r="A10779" s="341">
        <v>37740</v>
      </c>
      <c r="B10779" s="342" t="s">
        <v>11615</v>
      </c>
      <c r="C10779" s="341" t="s">
        <v>7278</v>
      </c>
      <c r="D10779" s="344">
        <v>28795.98</v>
      </c>
    </row>
    <row r="10780" spans="1:7" ht="38.25">
      <c r="A10780" s="341">
        <v>37738</v>
      </c>
      <c r="B10780" s="342" t="s">
        <v>11616</v>
      </c>
      <c r="C10780" s="341" t="s">
        <v>7278</v>
      </c>
      <c r="D10780" s="344">
        <v>34212.370000000003</v>
      </c>
    </row>
    <row r="10781" spans="1:7" ht="38.25">
      <c r="A10781" s="341">
        <v>37737</v>
      </c>
      <c r="B10781" s="342" t="s">
        <v>11617</v>
      </c>
      <c r="C10781" s="341" t="s">
        <v>7278</v>
      </c>
      <c r="D10781" s="344">
        <v>27219.06</v>
      </c>
    </row>
    <row r="10782" spans="1:7" ht="25.5">
      <c r="A10782" s="341">
        <v>25014</v>
      </c>
      <c r="B10782" s="342" t="s">
        <v>11618</v>
      </c>
      <c r="C10782" s="341" t="s">
        <v>7278</v>
      </c>
      <c r="D10782" s="344">
        <v>57009.19</v>
      </c>
    </row>
    <row r="10783" spans="1:7" ht="25.5">
      <c r="A10783" s="341">
        <v>25013</v>
      </c>
      <c r="B10783" s="342" t="s">
        <v>11619</v>
      </c>
      <c r="C10783" s="341" t="s">
        <v>7278</v>
      </c>
      <c r="D10783" s="344">
        <v>59751.67</v>
      </c>
    </row>
    <row r="10784" spans="1:7" ht="25.5">
      <c r="A10784" s="341">
        <v>14405</v>
      </c>
      <c r="B10784" s="342" t="s">
        <v>11620</v>
      </c>
      <c r="C10784" s="341" t="s">
        <v>7278</v>
      </c>
      <c r="D10784" s="344">
        <v>70138.789999999994</v>
      </c>
    </row>
    <row r="10785" spans="1:4" ht="38.25">
      <c r="A10785" s="341">
        <v>6253</v>
      </c>
      <c r="B10785" s="342" t="s">
        <v>11621</v>
      </c>
      <c r="C10785" s="341" t="s">
        <v>7278</v>
      </c>
      <c r="D10785" s="343">
        <v>61.52</v>
      </c>
    </row>
    <row r="10786" spans="1:4" ht="25.5">
      <c r="A10786" s="341">
        <v>36790</v>
      </c>
      <c r="B10786" s="342" t="s">
        <v>11622</v>
      </c>
      <c r="C10786" s="341" t="s">
        <v>7278</v>
      </c>
      <c r="D10786" s="343">
        <v>175.93</v>
      </c>
    </row>
    <row r="10787" spans="1:4">
      <c r="A10787" s="341">
        <v>20271</v>
      </c>
      <c r="B10787" s="342" t="s">
        <v>11623</v>
      </c>
      <c r="C10787" s="341" t="s">
        <v>7278</v>
      </c>
      <c r="D10787" s="343">
        <v>471.55</v>
      </c>
    </row>
    <row r="10788" spans="1:4">
      <c r="A10788" s="341">
        <v>10423</v>
      </c>
      <c r="B10788" s="342" t="s">
        <v>11624</v>
      </c>
      <c r="C10788" s="341" t="s">
        <v>7278</v>
      </c>
      <c r="D10788" s="343">
        <v>292.47000000000003</v>
      </c>
    </row>
    <row r="10789" spans="1:4" ht="25.5">
      <c r="A10789" s="341">
        <v>37589</v>
      </c>
      <c r="B10789" s="342" t="s">
        <v>11625</v>
      </c>
      <c r="C10789" s="341" t="s">
        <v>7278</v>
      </c>
      <c r="D10789" s="343">
        <v>215.56</v>
      </c>
    </row>
    <row r="10790" spans="1:4" ht="38.25">
      <c r="A10790" s="341">
        <v>11690</v>
      </c>
      <c r="B10790" s="342" t="s">
        <v>11626</v>
      </c>
      <c r="C10790" s="341" t="s">
        <v>7278</v>
      </c>
      <c r="D10790" s="343">
        <v>114.51</v>
      </c>
    </row>
    <row r="10791" spans="1:4" ht="25.5">
      <c r="A10791" s="341">
        <v>20234</v>
      </c>
      <c r="B10791" s="342" t="s">
        <v>11627</v>
      </c>
      <c r="C10791" s="341" t="s">
        <v>7278</v>
      </c>
      <c r="D10791" s="343">
        <v>144.91</v>
      </c>
    </row>
    <row r="10792" spans="1:4">
      <c r="A10792" s="341">
        <v>4763</v>
      </c>
      <c r="B10792" s="342" t="s">
        <v>11628</v>
      </c>
      <c r="C10792" s="341" t="s">
        <v>7275</v>
      </c>
      <c r="D10792" s="343">
        <v>15.55</v>
      </c>
    </row>
    <row r="10793" spans="1:4">
      <c r="A10793" s="341">
        <v>41070</v>
      </c>
      <c r="B10793" s="342" t="s">
        <v>11629</v>
      </c>
      <c r="C10793" s="341" t="s">
        <v>7466</v>
      </c>
      <c r="D10793" s="344">
        <v>2744.52</v>
      </c>
    </row>
    <row r="10794" spans="1:4" ht="25.5">
      <c r="A10794" s="341">
        <v>14583</v>
      </c>
      <c r="B10794" s="342" t="s">
        <v>11630</v>
      </c>
      <c r="C10794" s="341" t="s">
        <v>7283</v>
      </c>
      <c r="D10794" s="343">
        <v>9.83</v>
      </c>
    </row>
    <row r="10795" spans="1:4" ht="25.5">
      <c r="A10795" s="341">
        <v>11457</v>
      </c>
      <c r="B10795" s="342" t="s">
        <v>11631</v>
      </c>
      <c r="C10795" s="341" t="s">
        <v>7278</v>
      </c>
      <c r="D10795" s="343">
        <v>24.85</v>
      </c>
    </row>
    <row r="10796" spans="1:4" ht="25.5">
      <c r="A10796" s="341">
        <v>21121</v>
      </c>
      <c r="B10796" s="342" t="s">
        <v>11632</v>
      </c>
      <c r="C10796" s="341" t="s">
        <v>7278</v>
      </c>
      <c r="D10796" s="343">
        <v>2.84</v>
      </c>
    </row>
    <row r="10797" spans="1:4" ht="25.5">
      <c r="A10797" s="341">
        <v>38010</v>
      </c>
      <c r="B10797" s="342" t="s">
        <v>11633</v>
      </c>
      <c r="C10797" s="341" t="s">
        <v>7278</v>
      </c>
      <c r="D10797" s="343">
        <v>4.6500000000000004</v>
      </c>
    </row>
    <row r="10798" spans="1:4" ht="25.5">
      <c r="A10798" s="341">
        <v>38011</v>
      </c>
      <c r="B10798" s="342" t="s">
        <v>11634</v>
      </c>
      <c r="C10798" s="341" t="s">
        <v>7278</v>
      </c>
      <c r="D10798" s="343">
        <v>8.59</v>
      </c>
    </row>
    <row r="10799" spans="1:4" ht="25.5">
      <c r="A10799" s="341">
        <v>38012</v>
      </c>
      <c r="B10799" s="342" t="s">
        <v>11635</v>
      </c>
      <c r="C10799" s="341" t="s">
        <v>7278</v>
      </c>
      <c r="D10799" s="343">
        <v>29.35</v>
      </c>
    </row>
    <row r="10800" spans="1:4" ht="25.5">
      <c r="A10800" s="341">
        <v>38013</v>
      </c>
      <c r="B10800" s="342" t="s">
        <v>11636</v>
      </c>
      <c r="C10800" s="341" t="s">
        <v>7278</v>
      </c>
      <c r="D10800" s="343">
        <v>38.1</v>
      </c>
    </row>
    <row r="10801" spans="1:4" ht="25.5">
      <c r="A10801" s="341">
        <v>38014</v>
      </c>
      <c r="B10801" s="342" t="s">
        <v>11637</v>
      </c>
      <c r="C10801" s="341" t="s">
        <v>7278</v>
      </c>
      <c r="D10801" s="343">
        <v>62</v>
      </c>
    </row>
    <row r="10802" spans="1:4" ht="25.5">
      <c r="A10802" s="341">
        <v>38015</v>
      </c>
      <c r="B10802" s="342" t="s">
        <v>11638</v>
      </c>
      <c r="C10802" s="341" t="s">
        <v>7278</v>
      </c>
      <c r="D10802" s="343">
        <v>149.71</v>
      </c>
    </row>
    <row r="10803" spans="1:4" ht="25.5">
      <c r="A10803" s="341">
        <v>38016</v>
      </c>
      <c r="B10803" s="342" t="s">
        <v>11639</v>
      </c>
      <c r="C10803" s="341" t="s">
        <v>7278</v>
      </c>
      <c r="D10803" s="343">
        <v>182.16</v>
      </c>
    </row>
    <row r="10804" spans="1:4" ht="25.5">
      <c r="A10804" s="341">
        <v>12741</v>
      </c>
      <c r="B10804" s="342" t="s">
        <v>11640</v>
      </c>
      <c r="C10804" s="341" t="s">
        <v>7278</v>
      </c>
      <c r="D10804" s="343">
        <v>627.4</v>
      </c>
    </row>
    <row r="10805" spans="1:4" ht="25.5">
      <c r="A10805" s="341">
        <v>12733</v>
      </c>
      <c r="B10805" s="342" t="s">
        <v>11641</v>
      </c>
      <c r="C10805" s="341" t="s">
        <v>7278</v>
      </c>
      <c r="D10805" s="343">
        <v>3.15</v>
      </c>
    </row>
    <row r="10806" spans="1:4" ht="25.5">
      <c r="A10806" s="341">
        <v>12734</v>
      </c>
      <c r="B10806" s="342" t="s">
        <v>11642</v>
      </c>
      <c r="C10806" s="341" t="s">
        <v>7278</v>
      </c>
      <c r="D10806" s="343">
        <v>6.72</v>
      </c>
    </row>
    <row r="10807" spans="1:4" ht="25.5">
      <c r="A10807" s="341">
        <v>12735</v>
      </c>
      <c r="B10807" s="342" t="s">
        <v>11643</v>
      </c>
      <c r="C10807" s="341" t="s">
        <v>7278</v>
      </c>
      <c r="D10807" s="343">
        <v>11.07</v>
      </c>
    </row>
    <row r="10808" spans="1:4" ht="25.5">
      <c r="A10808" s="341">
        <v>12736</v>
      </c>
      <c r="B10808" s="342" t="s">
        <v>11644</v>
      </c>
      <c r="C10808" s="341" t="s">
        <v>7278</v>
      </c>
      <c r="D10808" s="343">
        <v>25.3</v>
      </c>
    </row>
    <row r="10809" spans="1:4" ht="25.5">
      <c r="A10809" s="341">
        <v>12737</v>
      </c>
      <c r="B10809" s="342" t="s">
        <v>11645</v>
      </c>
      <c r="C10809" s="341" t="s">
        <v>7278</v>
      </c>
      <c r="D10809" s="343">
        <v>32.6</v>
      </c>
    </row>
    <row r="10810" spans="1:4" ht="25.5">
      <c r="A10810" s="341">
        <v>12738</v>
      </c>
      <c r="B10810" s="342" t="s">
        <v>11646</v>
      </c>
      <c r="C10810" s="341" t="s">
        <v>7278</v>
      </c>
      <c r="D10810" s="343">
        <v>64.430000000000007</v>
      </c>
    </row>
    <row r="10811" spans="1:4" ht="25.5">
      <c r="A10811" s="341">
        <v>12739</v>
      </c>
      <c r="B10811" s="342" t="s">
        <v>11647</v>
      </c>
      <c r="C10811" s="341" t="s">
        <v>7278</v>
      </c>
      <c r="D10811" s="343">
        <v>183.41</v>
      </c>
    </row>
    <row r="10812" spans="1:4" ht="25.5">
      <c r="A10812" s="341">
        <v>12740</v>
      </c>
      <c r="B10812" s="342" t="s">
        <v>11648</v>
      </c>
      <c r="C10812" s="341" t="s">
        <v>7278</v>
      </c>
      <c r="D10812" s="343">
        <v>286.95</v>
      </c>
    </row>
    <row r="10813" spans="1:4">
      <c r="A10813" s="341">
        <v>6297</v>
      </c>
      <c r="B10813" s="342" t="s">
        <v>11649</v>
      </c>
      <c r="C10813" s="341" t="s">
        <v>7278</v>
      </c>
      <c r="D10813" s="343">
        <v>21.18</v>
      </c>
    </row>
    <row r="10814" spans="1:4">
      <c r="A10814" s="341">
        <v>6296</v>
      </c>
      <c r="B10814" s="342" t="s">
        <v>11650</v>
      </c>
      <c r="C10814" s="341" t="s">
        <v>7278</v>
      </c>
      <c r="D10814" s="343">
        <v>16.71</v>
      </c>
    </row>
    <row r="10815" spans="1:4">
      <c r="A10815" s="341">
        <v>6294</v>
      </c>
      <c r="B10815" s="342" t="s">
        <v>11651</v>
      </c>
      <c r="C10815" s="341" t="s">
        <v>7278</v>
      </c>
      <c r="D10815" s="343">
        <v>4.76</v>
      </c>
    </row>
    <row r="10816" spans="1:4">
      <c r="A10816" s="341">
        <v>6323</v>
      </c>
      <c r="B10816" s="342" t="s">
        <v>11652</v>
      </c>
      <c r="C10816" s="341" t="s">
        <v>7278</v>
      </c>
      <c r="D10816" s="343">
        <v>10.92</v>
      </c>
    </row>
    <row r="10817" spans="1:4">
      <c r="A10817" s="341">
        <v>6299</v>
      </c>
      <c r="B10817" s="342" t="s">
        <v>11653</v>
      </c>
      <c r="C10817" s="341" t="s">
        <v>7278</v>
      </c>
      <c r="D10817" s="343">
        <v>63.7</v>
      </c>
    </row>
    <row r="10818" spans="1:4">
      <c r="A10818" s="341">
        <v>6298</v>
      </c>
      <c r="B10818" s="342" t="s">
        <v>11654</v>
      </c>
      <c r="C10818" s="341" t="s">
        <v>7278</v>
      </c>
      <c r="D10818" s="343">
        <v>33.54</v>
      </c>
    </row>
    <row r="10819" spans="1:4">
      <c r="A10819" s="341">
        <v>6295</v>
      </c>
      <c r="B10819" s="342" t="s">
        <v>11655</v>
      </c>
      <c r="C10819" s="341" t="s">
        <v>7278</v>
      </c>
      <c r="D10819" s="343">
        <v>6.78</v>
      </c>
    </row>
    <row r="10820" spans="1:4">
      <c r="A10820" s="341">
        <v>6322</v>
      </c>
      <c r="B10820" s="342" t="s">
        <v>11656</v>
      </c>
      <c r="C10820" s="341" t="s">
        <v>7278</v>
      </c>
      <c r="D10820" s="343">
        <v>85.31</v>
      </c>
    </row>
    <row r="10821" spans="1:4">
      <c r="A10821" s="341">
        <v>6300</v>
      </c>
      <c r="B10821" s="342" t="s">
        <v>11657</v>
      </c>
      <c r="C10821" s="341" t="s">
        <v>7278</v>
      </c>
      <c r="D10821" s="343">
        <v>157.29</v>
      </c>
    </row>
    <row r="10822" spans="1:4">
      <c r="A10822" s="341">
        <v>6321</v>
      </c>
      <c r="B10822" s="342" t="s">
        <v>11658</v>
      </c>
      <c r="C10822" s="341" t="s">
        <v>7278</v>
      </c>
      <c r="D10822" s="343">
        <v>224.68</v>
      </c>
    </row>
    <row r="10823" spans="1:4">
      <c r="A10823" s="341">
        <v>6301</v>
      </c>
      <c r="B10823" s="342" t="s">
        <v>11659</v>
      </c>
      <c r="C10823" s="341" t="s">
        <v>7278</v>
      </c>
      <c r="D10823" s="343">
        <v>526.63</v>
      </c>
    </row>
    <row r="10824" spans="1:4" ht="25.5">
      <c r="A10824" s="341">
        <v>7105</v>
      </c>
      <c r="B10824" s="342" t="s">
        <v>11660</v>
      </c>
      <c r="C10824" s="341" t="s">
        <v>7278</v>
      </c>
      <c r="D10824" s="343">
        <v>27.57</v>
      </c>
    </row>
    <row r="10825" spans="1:4" ht="25.5">
      <c r="A10825" s="341">
        <v>20183</v>
      </c>
      <c r="B10825" s="342" t="s">
        <v>11661</v>
      </c>
      <c r="C10825" s="341" t="s">
        <v>7278</v>
      </c>
      <c r="D10825" s="343">
        <v>29.76</v>
      </c>
    </row>
    <row r="10826" spans="1:4" ht="25.5">
      <c r="A10826" s="341">
        <v>38448</v>
      </c>
      <c r="B10826" s="342" t="s">
        <v>11662</v>
      </c>
      <c r="C10826" s="341" t="s">
        <v>7278</v>
      </c>
      <c r="D10826" s="343">
        <v>157.91</v>
      </c>
    </row>
    <row r="10827" spans="1:4" ht="25.5">
      <c r="A10827" s="341">
        <v>20182</v>
      </c>
      <c r="B10827" s="342" t="s">
        <v>11663</v>
      </c>
      <c r="C10827" s="341" t="s">
        <v>7278</v>
      </c>
      <c r="D10827" s="343">
        <v>21.94</v>
      </c>
    </row>
    <row r="10828" spans="1:4" ht="25.5">
      <c r="A10828" s="341">
        <v>7119</v>
      </c>
      <c r="B10828" s="342" t="s">
        <v>11664</v>
      </c>
      <c r="C10828" s="341" t="s">
        <v>7278</v>
      </c>
      <c r="D10828" s="343">
        <v>6.08</v>
      </c>
    </row>
    <row r="10829" spans="1:4" ht="25.5">
      <c r="A10829" s="341">
        <v>7120</v>
      </c>
      <c r="B10829" s="342" t="s">
        <v>11665</v>
      </c>
      <c r="C10829" s="341" t="s">
        <v>7278</v>
      </c>
      <c r="D10829" s="343">
        <v>3.6</v>
      </c>
    </row>
    <row r="10830" spans="1:4" ht="25.5">
      <c r="A10830" s="341">
        <v>6319</v>
      </c>
      <c r="B10830" s="342" t="s">
        <v>11666</v>
      </c>
      <c r="C10830" s="341" t="s">
        <v>7278</v>
      </c>
      <c r="D10830" s="343">
        <v>24.88</v>
      </c>
    </row>
    <row r="10831" spans="1:4" ht="25.5">
      <c r="A10831" s="341">
        <v>6304</v>
      </c>
      <c r="B10831" s="342" t="s">
        <v>11667</v>
      </c>
      <c r="C10831" s="341" t="s">
        <v>7278</v>
      </c>
      <c r="D10831" s="343">
        <v>24.88</v>
      </c>
    </row>
    <row r="10832" spans="1:4" ht="25.5">
      <c r="A10832" s="341">
        <v>21116</v>
      </c>
      <c r="B10832" s="342" t="s">
        <v>11668</v>
      </c>
      <c r="C10832" s="341" t="s">
        <v>7278</v>
      </c>
      <c r="D10832" s="343">
        <v>18.84</v>
      </c>
    </row>
    <row r="10833" spans="1:4" ht="25.5">
      <c r="A10833" s="341">
        <v>6320</v>
      </c>
      <c r="B10833" s="342" t="s">
        <v>11669</v>
      </c>
      <c r="C10833" s="341" t="s">
        <v>7278</v>
      </c>
      <c r="D10833" s="343">
        <v>12.81</v>
      </c>
    </row>
    <row r="10834" spans="1:4" ht="25.5">
      <c r="A10834" s="341">
        <v>6303</v>
      </c>
      <c r="B10834" s="342" t="s">
        <v>11670</v>
      </c>
      <c r="C10834" s="341" t="s">
        <v>7278</v>
      </c>
      <c r="D10834" s="343">
        <v>12.81</v>
      </c>
    </row>
    <row r="10835" spans="1:4" ht="25.5">
      <c r="A10835" s="341">
        <v>6308</v>
      </c>
      <c r="B10835" s="342" t="s">
        <v>11671</v>
      </c>
      <c r="C10835" s="341" t="s">
        <v>7278</v>
      </c>
      <c r="D10835" s="343">
        <v>68.849999999999994</v>
      </c>
    </row>
    <row r="10836" spans="1:4" ht="25.5">
      <c r="A10836" s="341">
        <v>6317</v>
      </c>
      <c r="B10836" s="342" t="s">
        <v>11672</v>
      </c>
      <c r="C10836" s="341" t="s">
        <v>7278</v>
      </c>
      <c r="D10836" s="343">
        <v>68.849999999999994</v>
      </c>
    </row>
    <row r="10837" spans="1:4" ht="25.5">
      <c r="A10837" s="341">
        <v>6307</v>
      </c>
      <c r="B10837" s="342" t="s">
        <v>11673</v>
      </c>
      <c r="C10837" s="341" t="s">
        <v>7278</v>
      </c>
      <c r="D10837" s="343">
        <v>68.849999999999994</v>
      </c>
    </row>
    <row r="10838" spans="1:4" ht="25.5">
      <c r="A10838" s="341">
        <v>6309</v>
      </c>
      <c r="B10838" s="342" t="s">
        <v>11674</v>
      </c>
      <c r="C10838" s="341" t="s">
        <v>7278</v>
      </c>
      <c r="D10838" s="343">
        <v>70.849999999999994</v>
      </c>
    </row>
    <row r="10839" spans="1:4" ht="25.5">
      <c r="A10839" s="341">
        <v>6318</v>
      </c>
      <c r="B10839" s="342" t="s">
        <v>11675</v>
      </c>
      <c r="C10839" s="341" t="s">
        <v>7278</v>
      </c>
      <c r="D10839" s="343">
        <v>37.14</v>
      </c>
    </row>
    <row r="10840" spans="1:4" ht="25.5">
      <c r="A10840" s="341">
        <v>6306</v>
      </c>
      <c r="B10840" s="342" t="s">
        <v>11676</v>
      </c>
      <c r="C10840" s="341" t="s">
        <v>7278</v>
      </c>
      <c r="D10840" s="343">
        <v>37.14</v>
      </c>
    </row>
    <row r="10841" spans="1:4" ht="25.5">
      <c r="A10841" s="341">
        <v>6305</v>
      </c>
      <c r="B10841" s="342" t="s">
        <v>11677</v>
      </c>
      <c r="C10841" s="341" t="s">
        <v>7278</v>
      </c>
      <c r="D10841" s="343">
        <v>37.14</v>
      </c>
    </row>
    <row r="10842" spans="1:4" ht="25.5">
      <c r="A10842" s="341">
        <v>6302</v>
      </c>
      <c r="B10842" s="342" t="s">
        <v>11678</v>
      </c>
      <c r="C10842" s="341" t="s">
        <v>7278</v>
      </c>
      <c r="D10842" s="343">
        <v>7.87</v>
      </c>
    </row>
    <row r="10843" spans="1:4" ht="25.5">
      <c r="A10843" s="341">
        <v>6312</v>
      </c>
      <c r="B10843" s="342" t="s">
        <v>11679</v>
      </c>
      <c r="C10843" s="341" t="s">
        <v>7278</v>
      </c>
      <c r="D10843" s="343">
        <v>99.03</v>
      </c>
    </row>
    <row r="10844" spans="1:4" ht="25.5">
      <c r="A10844" s="341">
        <v>6311</v>
      </c>
      <c r="B10844" s="342" t="s">
        <v>11680</v>
      </c>
      <c r="C10844" s="341" t="s">
        <v>7278</v>
      </c>
      <c r="D10844" s="343">
        <v>99.03</v>
      </c>
    </row>
    <row r="10845" spans="1:4" ht="25.5">
      <c r="A10845" s="341">
        <v>6310</v>
      </c>
      <c r="B10845" s="342" t="s">
        <v>11681</v>
      </c>
      <c r="C10845" s="341" t="s">
        <v>7278</v>
      </c>
      <c r="D10845" s="343">
        <v>99.03</v>
      </c>
    </row>
    <row r="10846" spans="1:4" ht="25.5">
      <c r="A10846" s="341">
        <v>6314</v>
      </c>
      <c r="B10846" s="342" t="s">
        <v>11682</v>
      </c>
      <c r="C10846" s="341" t="s">
        <v>7278</v>
      </c>
      <c r="D10846" s="343">
        <v>99.03</v>
      </c>
    </row>
    <row r="10847" spans="1:4" ht="25.5">
      <c r="A10847" s="341">
        <v>6313</v>
      </c>
      <c r="B10847" s="342" t="s">
        <v>11683</v>
      </c>
      <c r="C10847" s="341" t="s">
        <v>7278</v>
      </c>
      <c r="D10847" s="343">
        <v>99.03</v>
      </c>
    </row>
    <row r="10848" spans="1:4" ht="25.5">
      <c r="A10848" s="341">
        <v>6315</v>
      </c>
      <c r="B10848" s="342" t="s">
        <v>11684</v>
      </c>
      <c r="C10848" s="341" t="s">
        <v>7278</v>
      </c>
      <c r="D10848" s="343">
        <v>187.51</v>
      </c>
    </row>
    <row r="10849" spans="1:4" ht="25.5">
      <c r="A10849" s="341">
        <v>6316</v>
      </c>
      <c r="B10849" s="342" t="s">
        <v>11685</v>
      </c>
      <c r="C10849" s="341" t="s">
        <v>7278</v>
      </c>
      <c r="D10849" s="343">
        <v>187.51</v>
      </c>
    </row>
    <row r="10850" spans="1:4" ht="38.25">
      <c r="A10850" s="341">
        <v>38878</v>
      </c>
      <c r="B10850" s="342" t="s">
        <v>11686</v>
      </c>
      <c r="C10850" s="341" t="s">
        <v>7278</v>
      </c>
      <c r="D10850" s="343">
        <v>13.6</v>
      </c>
    </row>
    <row r="10851" spans="1:4" ht="38.25">
      <c r="A10851" s="341">
        <v>38879</v>
      </c>
      <c r="B10851" s="342" t="s">
        <v>11687</v>
      </c>
      <c r="C10851" s="341" t="s">
        <v>7278</v>
      </c>
      <c r="D10851" s="343">
        <v>25.49</v>
      </c>
    </row>
    <row r="10852" spans="1:4" ht="38.25">
      <c r="A10852" s="341">
        <v>38881</v>
      </c>
      <c r="B10852" s="342" t="s">
        <v>11688</v>
      </c>
      <c r="C10852" s="341" t="s">
        <v>7278</v>
      </c>
      <c r="D10852" s="343">
        <v>13.34</v>
      </c>
    </row>
    <row r="10853" spans="1:4" ht="38.25">
      <c r="A10853" s="341">
        <v>38880</v>
      </c>
      <c r="B10853" s="342" t="s">
        <v>11689</v>
      </c>
      <c r="C10853" s="341" t="s">
        <v>7278</v>
      </c>
      <c r="D10853" s="343">
        <v>13.98</v>
      </c>
    </row>
    <row r="10854" spans="1:4" ht="38.25">
      <c r="A10854" s="341">
        <v>38882</v>
      </c>
      <c r="B10854" s="342" t="s">
        <v>11690</v>
      </c>
      <c r="C10854" s="341" t="s">
        <v>7278</v>
      </c>
      <c r="D10854" s="343">
        <v>14.48</v>
      </c>
    </row>
    <row r="10855" spans="1:4" ht="38.25">
      <c r="A10855" s="341">
        <v>38883</v>
      </c>
      <c r="B10855" s="342" t="s">
        <v>11691</v>
      </c>
      <c r="C10855" s="341" t="s">
        <v>7278</v>
      </c>
      <c r="D10855" s="343">
        <v>21.41</v>
      </c>
    </row>
    <row r="10856" spans="1:4" ht="38.25">
      <c r="A10856" s="341">
        <v>38884</v>
      </c>
      <c r="B10856" s="342" t="s">
        <v>11692</v>
      </c>
      <c r="C10856" s="341" t="s">
        <v>7278</v>
      </c>
      <c r="D10856" s="343">
        <v>23.24</v>
      </c>
    </row>
    <row r="10857" spans="1:4" ht="38.25">
      <c r="A10857" s="341">
        <v>38885</v>
      </c>
      <c r="B10857" s="342" t="s">
        <v>11693</v>
      </c>
      <c r="C10857" s="341" t="s">
        <v>7278</v>
      </c>
      <c r="D10857" s="343">
        <v>22.48</v>
      </c>
    </row>
    <row r="10858" spans="1:4" ht="38.25">
      <c r="A10858" s="341">
        <v>38886</v>
      </c>
      <c r="B10858" s="342" t="s">
        <v>11694</v>
      </c>
      <c r="C10858" s="341" t="s">
        <v>7278</v>
      </c>
      <c r="D10858" s="343">
        <v>24.27</v>
      </c>
    </row>
    <row r="10859" spans="1:4" ht="38.25">
      <c r="A10859" s="341">
        <v>38887</v>
      </c>
      <c r="B10859" s="342" t="s">
        <v>11695</v>
      </c>
      <c r="C10859" s="341" t="s">
        <v>7278</v>
      </c>
      <c r="D10859" s="343">
        <v>21.8</v>
      </c>
    </row>
    <row r="10860" spans="1:4" ht="38.25">
      <c r="A10860" s="341">
        <v>38888</v>
      </c>
      <c r="B10860" s="342" t="s">
        <v>11696</v>
      </c>
      <c r="C10860" s="341" t="s">
        <v>7278</v>
      </c>
      <c r="D10860" s="343">
        <v>25.91</v>
      </c>
    </row>
    <row r="10861" spans="1:4" ht="38.25">
      <c r="A10861" s="341">
        <v>38890</v>
      </c>
      <c r="B10861" s="342" t="s">
        <v>11697</v>
      </c>
      <c r="C10861" s="341" t="s">
        <v>7278</v>
      </c>
      <c r="D10861" s="343">
        <v>38.51</v>
      </c>
    </row>
    <row r="10862" spans="1:4" ht="38.25">
      <c r="A10862" s="341">
        <v>38893</v>
      </c>
      <c r="B10862" s="342" t="s">
        <v>11698</v>
      </c>
      <c r="C10862" s="341" t="s">
        <v>7278</v>
      </c>
      <c r="D10862" s="343">
        <v>30.97</v>
      </c>
    </row>
    <row r="10863" spans="1:4" ht="38.25">
      <c r="A10863" s="341">
        <v>38894</v>
      </c>
      <c r="B10863" s="342" t="s">
        <v>11699</v>
      </c>
      <c r="C10863" s="341" t="s">
        <v>7278</v>
      </c>
      <c r="D10863" s="343">
        <v>39.340000000000003</v>
      </c>
    </row>
    <row r="10864" spans="1:4" ht="38.25">
      <c r="A10864" s="341">
        <v>38896</v>
      </c>
      <c r="B10864" s="342" t="s">
        <v>11700</v>
      </c>
      <c r="C10864" s="341" t="s">
        <v>7278</v>
      </c>
      <c r="D10864" s="343">
        <v>40.11</v>
      </c>
    </row>
    <row r="10865" spans="1:4" ht="25.5">
      <c r="A10865" s="341">
        <v>39324</v>
      </c>
      <c r="B10865" s="342" t="s">
        <v>11701</v>
      </c>
      <c r="C10865" s="341" t="s">
        <v>7278</v>
      </c>
      <c r="D10865" s="343">
        <v>6.31</v>
      </c>
    </row>
    <row r="10866" spans="1:4" ht="25.5">
      <c r="A10866" s="341">
        <v>39325</v>
      </c>
      <c r="B10866" s="342" t="s">
        <v>11702</v>
      </c>
      <c r="C10866" s="341" t="s">
        <v>7278</v>
      </c>
      <c r="D10866" s="343">
        <v>9.5500000000000007</v>
      </c>
    </row>
    <row r="10867" spans="1:4" ht="25.5">
      <c r="A10867" s="341">
        <v>39326</v>
      </c>
      <c r="B10867" s="342" t="s">
        <v>11703</v>
      </c>
      <c r="C10867" s="341" t="s">
        <v>7278</v>
      </c>
      <c r="D10867" s="343">
        <v>24.59</v>
      </c>
    </row>
    <row r="10868" spans="1:4" ht="25.5">
      <c r="A10868" s="341">
        <v>39327</v>
      </c>
      <c r="B10868" s="342" t="s">
        <v>11704</v>
      </c>
      <c r="C10868" s="341" t="s">
        <v>7278</v>
      </c>
      <c r="D10868" s="343">
        <v>37.25</v>
      </c>
    </row>
    <row r="10869" spans="1:4" ht="38.25">
      <c r="A10869" s="341">
        <v>20176</v>
      </c>
      <c r="B10869" s="342" t="s">
        <v>11705</v>
      </c>
      <c r="C10869" s="341" t="s">
        <v>7278</v>
      </c>
      <c r="D10869" s="343">
        <v>55.9</v>
      </c>
    </row>
    <row r="10870" spans="1:4" ht="25.5">
      <c r="A10870" s="341">
        <v>11378</v>
      </c>
      <c r="B10870" s="342" t="s">
        <v>11706</v>
      </c>
      <c r="C10870" s="341" t="s">
        <v>7278</v>
      </c>
      <c r="D10870" s="343">
        <v>73.61</v>
      </c>
    </row>
    <row r="10871" spans="1:4" ht="25.5">
      <c r="A10871" s="341">
        <v>11379</v>
      </c>
      <c r="B10871" s="342" t="s">
        <v>11707</v>
      </c>
      <c r="C10871" s="341" t="s">
        <v>7278</v>
      </c>
      <c r="D10871" s="343">
        <v>80.39</v>
      </c>
    </row>
    <row r="10872" spans="1:4" ht="25.5">
      <c r="A10872" s="341">
        <v>11493</v>
      </c>
      <c r="B10872" s="342" t="s">
        <v>11708</v>
      </c>
      <c r="C10872" s="341" t="s">
        <v>7278</v>
      </c>
      <c r="D10872" s="343">
        <v>40.69</v>
      </c>
    </row>
    <row r="10873" spans="1:4" ht="38.25">
      <c r="A10873" s="341">
        <v>41896</v>
      </c>
      <c r="B10873" s="342" t="s">
        <v>11709</v>
      </c>
      <c r="C10873" s="341" t="s">
        <v>7278</v>
      </c>
      <c r="D10873" s="343">
        <v>223.4</v>
      </c>
    </row>
    <row r="10874" spans="1:4" ht="38.25">
      <c r="A10874" s="341">
        <v>7068</v>
      </c>
      <c r="B10874" s="342" t="s">
        <v>11710</v>
      </c>
      <c r="C10874" s="341" t="s">
        <v>7278</v>
      </c>
      <c r="D10874" s="343">
        <v>394.9</v>
      </c>
    </row>
    <row r="10875" spans="1:4" ht="25.5">
      <c r="A10875" s="341">
        <v>7106</v>
      </c>
      <c r="B10875" s="342" t="s">
        <v>11711</v>
      </c>
      <c r="C10875" s="341" t="s">
        <v>7278</v>
      </c>
      <c r="D10875" s="343">
        <v>82.32</v>
      </c>
    </row>
    <row r="10876" spans="1:4" ht="25.5">
      <c r="A10876" s="341">
        <v>7104</v>
      </c>
      <c r="B10876" s="342" t="s">
        <v>11712</v>
      </c>
      <c r="C10876" s="341" t="s">
        <v>7278</v>
      </c>
      <c r="D10876" s="343">
        <v>2.2599999999999998</v>
      </c>
    </row>
    <row r="10877" spans="1:4" ht="25.5">
      <c r="A10877" s="341">
        <v>7136</v>
      </c>
      <c r="B10877" s="342" t="s">
        <v>11713</v>
      </c>
      <c r="C10877" s="341" t="s">
        <v>7278</v>
      </c>
      <c r="D10877" s="343">
        <v>4.4000000000000004</v>
      </c>
    </row>
    <row r="10878" spans="1:4" ht="25.5">
      <c r="A10878" s="341">
        <v>7128</v>
      </c>
      <c r="B10878" s="342" t="s">
        <v>11714</v>
      </c>
      <c r="C10878" s="341" t="s">
        <v>7278</v>
      </c>
      <c r="D10878" s="343">
        <v>6</v>
      </c>
    </row>
    <row r="10879" spans="1:4" ht="25.5">
      <c r="A10879" s="341">
        <v>7108</v>
      </c>
      <c r="B10879" s="342" t="s">
        <v>11715</v>
      </c>
      <c r="C10879" s="341" t="s">
        <v>7278</v>
      </c>
      <c r="D10879" s="343">
        <v>6.65</v>
      </c>
    </row>
    <row r="10880" spans="1:4" ht="25.5">
      <c r="A10880" s="341">
        <v>7129</v>
      </c>
      <c r="B10880" s="342" t="s">
        <v>11716</v>
      </c>
      <c r="C10880" s="341" t="s">
        <v>7278</v>
      </c>
      <c r="D10880" s="343">
        <v>6.68</v>
      </c>
    </row>
    <row r="10881" spans="1:4" ht="25.5">
      <c r="A10881" s="341">
        <v>7130</v>
      </c>
      <c r="B10881" s="342" t="s">
        <v>11717</v>
      </c>
      <c r="C10881" s="341" t="s">
        <v>7278</v>
      </c>
      <c r="D10881" s="343">
        <v>9.0500000000000007</v>
      </c>
    </row>
    <row r="10882" spans="1:4" ht="25.5">
      <c r="A10882" s="341">
        <v>7131</v>
      </c>
      <c r="B10882" s="342" t="s">
        <v>11718</v>
      </c>
      <c r="C10882" s="341" t="s">
        <v>7278</v>
      </c>
      <c r="D10882" s="343">
        <v>10.41</v>
      </c>
    </row>
    <row r="10883" spans="1:4" ht="25.5">
      <c r="A10883" s="341">
        <v>7132</v>
      </c>
      <c r="B10883" s="342" t="s">
        <v>11719</v>
      </c>
      <c r="C10883" s="341" t="s">
        <v>7278</v>
      </c>
      <c r="D10883" s="343">
        <v>31.02</v>
      </c>
    </row>
    <row r="10884" spans="1:4" ht="25.5">
      <c r="A10884" s="341">
        <v>7133</v>
      </c>
      <c r="B10884" s="342" t="s">
        <v>11720</v>
      </c>
      <c r="C10884" s="341" t="s">
        <v>7278</v>
      </c>
      <c r="D10884" s="343">
        <v>49.23</v>
      </c>
    </row>
    <row r="10885" spans="1:4" ht="38.25">
      <c r="A10885" s="341">
        <v>37420</v>
      </c>
      <c r="B10885" s="342" t="s">
        <v>11721</v>
      </c>
      <c r="C10885" s="341" t="s">
        <v>7278</v>
      </c>
      <c r="D10885" s="343">
        <v>21.8</v>
      </c>
    </row>
    <row r="10886" spans="1:4" ht="38.25">
      <c r="A10886" s="341">
        <v>37421</v>
      </c>
      <c r="B10886" s="342" t="s">
        <v>11722</v>
      </c>
      <c r="C10886" s="341" t="s">
        <v>7278</v>
      </c>
      <c r="D10886" s="343">
        <v>29.79</v>
      </c>
    </row>
    <row r="10887" spans="1:4" ht="38.25">
      <c r="A10887" s="341">
        <v>37422</v>
      </c>
      <c r="B10887" s="342" t="s">
        <v>11723</v>
      </c>
      <c r="C10887" s="341" t="s">
        <v>7278</v>
      </c>
      <c r="D10887" s="343">
        <v>27.88</v>
      </c>
    </row>
    <row r="10888" spans="1:4" ht="25.5">
      <c r="A10888" s="341">
        <v>37443</v>
      </c>
      <c r="B10888" s="342" t="s">
        <v>11724</v>
      </c>
      <c r="C10888" s="341" t="s">
        <v>7278</v>
      </c>
      <c r="D10888" s="343">
        <v>126.62</v>
      </c>
    </row>
    <row r="10889" spans="1:4" ht="25.5">
      <c r="A10889" s="341">
        <v>37444</v>
      </c>
      <c r="B10889" s="342" t="s">
        <v>11725</v>
      </c>
      <c r="C10889" s="341" t="s">
        <v>7278</v>
      </c>
      <c r="D10889" s="343">
        <v>128.77000000000001</v>
      </c>
    </row>
    <row r="10890" spans="1:4" ht="25.5">
      <c r="A10890" s="341">
        <v>37445</v>
      </c>
      <c r="B10890" s="342" t="s">
        <v>11726</v>
      </c>
      <c r="C10890" s="341" t="s">
        <v>7278</v>
      </c>
      <c r="D10890" s="343">
        <v>195.18</v>
      </c>
    </row>
    <row r="10891" spans="1:4" ht="25.5">
      <c r="A10891" s="341">
        <v>37446</v>
      </c>
      <c r="B10891" s="342" t="s">
        <v>11727</v>
      </c>
      <c r="C10891" s="341" t="s">
        <v>7278</v>
      </c>
      <c r="D10891" s="343">
        <v>212.78</v>
      </c>
    </row>
    <row r="10892" spans="1:4" ht="25.5">
      <c r="A10892" s="341">
        <v>37447</v>
      </c>
      <c r="B10892" s="342" t="s">
        <v>11728</v>
      </c>
      <c r="C10892" s="341" t="s">
        <v>7278</v>
      </c>
      <c r="D10892" s="343">
        <v>216.11</v>
      </c>
    </row>
    <row r="10893" spans="1:4" ht="25.5">
      <c r="A10893" s="341">
        <v>37448</v>
      </c>
      <c r="B10893" s="342" t="s">
        <v>11729</v>
      </c>
      <c r="C10893" s="341" t="s">
        <v>7278</v>
      </c>
      <c r="D10893" s="343">
        <v>296.43</v>
      </c>
    </row>
    <row r="10894" spans="1:4" ht="25.5">
      <c r="A10894" s="341">
        <v>37440</v>
      </c>
      <c r="B10894" s="342" t="s">
        <v>11730</v>
      </c>
      <c r="C10894" s="341" t="s">
        <v>7278</v>
      </c>
      <c r="D10894" s="343">
        <v>100.5</v>
      </c>
    </row>
    <row r="10895" spans="1:4" ht="25.5">
      <c r="A10895" s="341">
        <v>37441</v>
      </c>
      <c r="B10895" s="342" t="s">
        <v>11731</v>
      </c>
      <c r="C10895" s="341" t="s">
        <v>7278</v>
      </c>
      <c r="D10895" s="343">
        <v>100.5</v>
      </c>
    </row>
    <row r="10896" spans="1:4" ht="25.5">
      <c r="A10896" s="341">
        <v>37442</v>
      </c>
      <c r="B10896" s="342" t="s">
        <v>11732</v>
      </c>
      <c r="C10896" s="341" t="s">
        <v>7278</v>
      </c>
      <c r="D10896" s="343">
        <v>121.05</v>
      </c>
    </row>
    <row r="10897" spans="1:4" ht="25.5">
      <c r="A10897" s="341">
        <v>38017</v>
      </c>
      <c r="B10897" s="342" t="s">
        <v>11733</v>
      </c>
      <c r="C10897" s="341" t="s">
        <v>7278</v>
      </c>
      <c r="D10897" s="343">
        <v>8.9700000000000006</v>
      </c>
    </row>
    <row r="10898" spans="1:4" ht="25.5">
      <c r="A10898" s="341">
        <v>38018</v>
      </c>
      <c r="B10898" s="342" t="s">
        <v>11734</v>
      </c>
      <c r="C10898" s="341" t="s">
        <v>7278</v>
      </c>
      <c r="D10898" s="343">
        <v>9.9</v>
      </c>
    </row>
    <row r="10899" spans="1:4" ht="38.25">
      <c r="A10899" s="341">
        <v>39895</v>
      </c>
      <c r="B10899" s="342" t="s">
        <v>11735</v>
      </c>
      <c r="C10899" s="341" t="s">
        <v>7278</v>
      </c>
      <c r="D10899" s="343">
        <v>22.79</v>
      </c>
    </row>
    <row r="10900" spans="1:4" ht="38.25">
      <c r="A10900" s="341">
        <v>39896</v>
      </c>
      <c r="B10900" s="342" t="s">
        <v>11736</v>
      </c>
      <c r="C10900" s="341" t="s">
        <v>7278</v>
      </c>
      <c r="D10900" s="343">
        <v>33.4</v>
      </c>
    </row>
    <row r="10901" spans="1:4" ht="25.5">
      <c r="A10901" s="341">
        <v>38873</v>
      </c>
      <c r="B10901" s="342" t="s">
        <v>11737</v>
      </c>
      <c r="C10901" s="341" t="s">
        <v>7278</v>
      </c>
      <c r="D10901" s="343">
        <v>12.06</v>
      </c>
    </row>
    <row r="10902" spans="1:4" ht="25.5">
      <c r="A10902" s="341">
        <v>38874</v>
      </c>
      <c r="B10902" s="342" t="s">
        <v>11738</v>
      </c>
      <c r="C10902" s="341" t="s">
        <v>7278</v>
      </c>
      <c r="D10902" s="343">
        <v>14.67</v>
      </c>
    </row>
    <row r="10903" spans="1:4" ht="25.5">
      <c r="A10903" s="341">
        <v>38875</v>
      </c>
      <c r="B10903" s="342" t="s">
        <v>11739</v>
      </c>
      <c r="C10903" s="341" t="s">
        <v>7278</v>
      </c>
      <c r="D10903" s="343">
        <v>25.92</v>
      </c>
    </row>
    <row r="10904" spans="1:4" ht="25.5">
      <c r="A10904" s="341">
        <v>38876</v>
      </c>
      <c r="B10904" s="342" t="s">
        <v>11740</v>
      </c>
      <c r="C10904" s="341" t="s">
        <v>7278</v>
      </c>
      <c r="D10904" s="343">
        <v>34.880000000000003</v>
      </c>
    </row>
    <row r="10905" spans="1:4" ht="38.25">
      <c r="A10905" s="341">
        <v>39000</v>
      </c>
      <c r="B10905" s="342" t="s">
        <v>11741</v>
      </c>
      <c r="C10905" s="341" t="s">
        <v>7278</v>
      </c>
      <c r="D10905" s="343">
        <v>19.84</v>
      </c>
    </row>
    <row r="10906" spans="1:4" ht="25.5">
      <c r="A10906" s="341">
        <v>38674</v>
      </c>
      <c r="B10906" s="342" t="s">
        <v>11742</v>
      </c>
      <c r="C10906" s="341" t="s">
        <v>7278</v>
      </c>
      <c r="D10906" s="343">
        <v>31.2</v>
      </c>
    </row>
    <row r="10907" spans="1:4" ht="25.5">
      <c r="A10907" s="341">
        <v>38911</v>
      </c>
      <c r="B10907" s="342" t="s">
        <v>11743</v>
      </c>
      <c r="C10907" s="341" t="s">
        <v>7278</v>
      </c>
      <c r="D10907" s="343">
        <v>43.25</v>
      </c>
    </row>
    <row r="10908" spans="1:4" ht="25.5">
      <c r="A10908" s="341">
        <v>38912</v>
      </c>
      <c r="B10908" s="342" t="s">
        <v>11744</v>
      </c>
      <c r="C10908" s="341" t="s">
        <v>7278</v>
      </c>
      <c r="D10908" s="343">
        <v>54.97</v>
      </c>
    </row>
    <row r="10909" spans="1:4" ht="25.5">
      <c r="A10909" s="341">
        <v>38019</v>
      </c>
      <c r="B10909" s="342" t="s">
        <v>11745</v>
      </c>
      <c r="C10909" s="341" t="s">
        <v>7278</v>
      </c>
      <c r="D10909" s="343">
        <v>7.82</v>
      </c>
    </row>
    <row r="10910" spans="1:4" ht="25.5">
      <c r="A10910" s="341">
        <v>38020</v>
      </c>
      <c r="B10910" s="342" t="s">
        <v>11746</v>
      </c>
      <c r="C10910" s="341" t="s">
        <v>7278</v>
      </c>
      <c r="D10910" s="343">
        <v>9.9</v>
      </c>
    </row>
    <row r="10911" spans="1:4" ht="25.5">
      <c r="A10911" s="341">
        <v>38454</v>
      </c>
      <c r="B10911" s="342" t="s">
        <v>11747</v>
      </c>
      <c r="C10911" s="341" t="s">
        <v>7278</v>
      </c>
      <c r="D10911" s="343">
        <v>3.62</v>
      </c>
    </row>
    <row r="10912" spans="1:4" ht="25.5">
      <c r="A10912" s="341">
        <v>38455</v>
      </c>
      <c r="B10912" s="342" t="s">
        <v>11748</v>
      </c>
      <c r="C10912" s="341" t="s">
        <v>7278</v>
      </c>
      <c r="D10912" s="343">
        <v>3.31</v>
      </c>
    </row>
    <row r="10913" spans="1:4" ht="25.5">
      <c r="A10913" s="341">
        <v>38462</v>
      </c>
      <c r="B10913" s="342" t="s">
        <v>11749</v>
      </c>
      <c r="C10913" s="341" t="s">
        <v>7278</v>
      </c>
      <c r="D10913" s="343">
        <v>93.58</v>
      </c>
    </row>
    <row r="10914" spans="1:4" ht="25.5">
      <c r="A10914" s="341">
        <v>36362</v>
      </c>
      <c r="B10914" s="342" t="s">
        <v>11750</v>
      </c>
      <c r="C10914" s="341" t="s">
        <v>7278</v>
      </c>
      <c r="D10914" s="343">
        <v>1.42</v>
      </c>
    </row>
    <row r="10915" spans="1:4" ht="25.5">
      <c r="A10915" s="341">
        <v>36298</v>
      </c>
      <c r="B10915" s="342" t="s">
        <v>11751</v>
      </c>
      <c r="C10915" s="341" t="s">
        <v>7278</v>
      </c>
      <c r="D10915" s="343">
        <v>2.11</v>
      </c>
    </row>
    <row r="10916" spans="1:4" ht="25.5">
      <c r="A10916" s="341">
        <v>38456</v>
      </c>
      <c r="B10916" s="342" t="s">
        <v>11752</v>
      </c>
      <c r="C10916" s="341" t="s">
        <v>7278</v>
      </c>
      <c r="D10916" s="343">
        <v>3.44</v>
      </c>
    </row>
    <row r="10917" spans="1:4" ht="25.5">
      <c r="A10917" s="341">
        <v>38457</v>
      </c>
      <c r="B10917" s="342" t="s">
        <v>11753</v>
      </c>
      <c r="C10917" s="341" t="s">
        <v>7278</v>
      </c>
      <c r="D10917" s="343">
        <v>7.76</v>
      </c>
    </row>
    <row r="10918" spans="1:4" ht="25.5">
      <c r="A10918" s="341">
        <v>38458</v>
      </c>
      <c r="B10918" s="342" t="s">
        <v>11754</v>
      </c>
      <c r="C10918" s="341" t="s">
        <v>7278</v>
      </c>
      <c r="D10918" s="343">
        <v>10.4</v>
      </c>
    </row>
    <row r="10919" spans="1:4" ht="25.5">
      <c r="A10919" s="341">
        <v>38459</v>
      </c>
      <c r="B10919" s="342" t="s">
        <v>11755</v>
      </c>
      <c r="C10919" s="341" t="s">
        <v>7278</v>
      </c>
      <c r="D10919" s="343">
        <v>18.350000000000001</v>
      </c>
    </row>
    <row r="10920" spans="1:4" ht="25.5">
      <c r="A10920" s="341">
        <v>38460</v>
      </c>
      <c r="B10920" s="342" t="s">
        <v>11756</v>
      </c>
      <c r="C10920" s="341" t="s">
        <v>7278</v>
      </c>
      <c r="D10920" s="343">
        <v>38.33</v>
      </c>
    </row>
    <row r="10921" spans="1:4" ht="25.5">
      <c r="A10921" s="341">
        <v>38461</v>
      </c>
      <c r="B10921" s="342" t="s">
        <v>11757</v>
      </c>
      <c r="C10921" s="341" t="s">
        <v>7278</v>
      </c>
      <c r="D10921" s="343">
        <v>58.48</v>
      </c>
    </row>
    <row r="10922" spans="1:4" ht="25.5">
      <c r="A10922" s="341">
        <v>7094</v>
      </c>
      <c r="B10922" s="342" t="s">
        <v>11758</v>
      </c>
      <c r="C10922" s="341" t="s">
        <v>7278</v>
      </c>
      <c r="D10922" s="343">
        <v>6.28</v>
      </c>
    </row>
    <row r="10923" spans="1:4" ht="25.5">
      <c r="A10923" s="341">
        <v>7116</v>
      </c>
      <c r="B10923" s="342" t="s">
        <v>11759</v>
      </c>
      <c r="C10923" s="341" t="s">
        <v>7278</v>
      </c>
      <c r="D10923" s="343">
        <v>2.04</v>
      </c>
    </row>
    <row r="10924" spans="1:4" ht="25.5">
      <c r="A10924" s="341">
        <v>7118</v>
      </c>
      <c r="B10924" s="342" t="s">
        <v>11760</v>
      </c>
      <c r="C10924" s="341" t="s">
        <v>7278</v>
      </c>
      <c r="D10924" s="343">
        <v>14.36</v>
      </c>
    </row>
    <row r="10925" spans="1:4" ht="25.5">
      <c r="A10925" s="341">
        <v>7117</v>
      </c>
      <c r="B10925" s="342" t="s">
        <v>11761</v>
      </c>
      <c r="C10925" s="341" t="s">
        <v>7278</v>
      </c>
      <c r="D10925" s="343">
        <v>10.92</v>
      </c>
    </row>
    <row r="10926" spans="1:4" ht="25.5">
      <c r="A10926" s="341">
        <v>7098</v>
      </c>
      <c r="B10926" s="342" t="s">
        <v>11762</v>
      </c>
      <c r="C10926" s="341" t="s">
        <v>7278</v>
      </c>
      <c r="D10926" s="343">
        <v>1.81</v>
      </c>
    </row>
    <row r="10927" spans="1:4" ht="25.5">
      <c r="A10927" s="341">
        <v>7110</v>
      </c>
      <c r="B10927" s="342" t="s">
        <v>11763</v>
      </c>
      <c r="C10927" s="341" t="s">
        <v>7278</v>
      </c>
      <c r="D10927" s="343">
        <v>25.94</v>
      </c>
    </row>
    <row r="10928" spans="1:4" ht="25.5">
      <c r="A10928" s="341">
        <v>7123</v>
      </c>
      <c r="B10928" s="342" t="s">
        <v>11764</v>
      </c>
      <c r="C10928" s="341" t="s">
        <v>7278</v>
      </c>
      <c r="D10928" s="343">
        <v>2.39</v>
      </c>
    </row>
    <row r="10929" spans="1:4" ht="38.25">
      <c r="A10929" s="341">
        <v>7121</v>
      </c>
      <c r="B10929" s="342" t="s">
        <v>11765</v>
      </c>
      <c r="C10929" s="341" t="s">
        <v>7278</v>
      </c>
      <c r="D10929" s="343">
        <v>6.56</v>
      </c>
    </row>
    <row r="10930" spans="1:4" ht="38.25">
      <c r="A10930" s="341">
        <v>7137</v>
      </c>
      <c r="B10930" s="342" t="s">
        <v>11766</v>
      </c>
      <c r="C10930" s="341" t="s">
        <v>7278</v>
      </c>
      <c r="D10930" s="343">
        <v>7.17</v>
      </c>
    </row>
    <row r="10931" spans="1:4" ht="38.25">
      <c r="A10931" s="341">
        <v>7122</v>
      </c>
      <c r="B10931" s="342" t="s">
        <v>11767</v>
      </c>
      <c r="C10931" s="341" t="s">
        <v>7278</v>
      </c>
      <c r="D10931" s="343">
        <v>7.39</v>
      </c>
    </row>
    <row r="10932" spans="1:4" ht="38.25">
      <c r="A10932" s="341">
        <v>7114</v>
      </c>
      <c r="B10932" s="342" t="s">
        <v>11768</v>
      </c>
      <c r="C10932" s="341" t="s">
        <v>7278</v>
      </c>
      <c r="D10932" s="343">
        <v>12.33</v>
      </c>
    </row>
    <row r="10933" spans="1:4" ht="38.25">
      <c r="A10933" s="341">
        <v>7109</v>
      </c>
      <c r="B10933" s="342" t="s">
        <v>11769</v>
      </c>
      <c r="C10933" s="341" t="s">
        <v>7278</v>
      </c>
      <c r="D10933" s="343">
        <v>1.75</v>
      </c>
    </row>
    <row r="10934" spans="1:4" ht="38.25">
      <c r="A10934" s="341">
        <v>7135</v>
      </c>
      <c r="B10934" s="342" t="s">
        <v>11770</v>
      </c>
      <c r="C10934" s="341" t="s">
        <v>7278</v>
      </c>
      <c r="D10934" s="343">
        <v>2.78</v>
      </c>
    </row>
    <row r="10935" spans="1:4" ht="38.25">
      <c r="A10935" s="341">
        <v>37947</v>
      </c>
      <c r="B10935" s="342" t="s">
        <v>11771</v>
      </c>
      <c r="C10935" s="341" t="s">
        <v>7278</v>
      </c>
      <c r="D10935" s="343">
        <v>2.71</v>
      </c>
    </row>
    <row r="10936" spans="1:4" ht="38.25">
      <c r="A10936" s="341">
        <v>7103</v>
      </c>
      <c r="B10936" s="342" t="s">
        <v>11772</v>
      </c>
      <c r="C10936" s="341" t="s">
        <v>7278</v>
      </c>
      <c r="D10936" s="343">
        <v>12.33</v>
      </c>
    </row>
    <row r="10937" spans="1:4">
      <c r="A10937" s="341">
        <v>40419</v>
      </c>
      <c r="B10937" s="342" t="s">
        <v>11773</v>
      </c>
      <c r="C10937" s="341" t="s">
        <v>7278</v>
      </c>
      <c r="D10937" s="343">
        <v>25.56</v>
      </c>
    </row>
    <row r="10938" spans="1:4" ht="25.5">
      <c r="A10938" s="341">
        <v>40420</v>
      </c>
      <c r="B10938" s="342" t="s">
        <v>11774</v>
      </c>
      <c r="C10938" s="341" t="s">
        <v>7278</v>
      </c>
      <c r="D10938" s="343">
        <v>37.29</v>
      </c>
    </row>
    <row r="10939" spans="1:4">
      <c r="A10939" s="341">
        <v>40421</v>
      </c>
      <c r="B10939" s="342" t="s">
        <v>11775</v>
      </c>
      <c r="C10939" s="341" t="s">
        <v>7278</v>
      </c>
      <c r="D10939" s="343">
        <v>39.700000000000003</v>
      </c>
    </row>
    <row r="10940" spans="1:4" ht="25.5">
      <c r="A10940" s="341">
        <v>7126</v>
      </c>
      <c r="B10940" s="342" t="s">
        <v>11776</v>
      </c>
      <c r="C10940" s="341" t="s">
        <v>7278</v>
      </c>
      <c r="D10940" s="343">
        <v>11.48</v>
      </c>
    </row>
    <row r="10941" spans="1:4" ht="38.25">
      <c r="A10941" s="341">
        <v>38905</v>
      </c>
      <c r="B10941" s="342" t="s">
        <v>11777</v>
      </c>
      <c r="C10941" s="341" t="s">
        <v>7278</v>
      </c>
      <c r="D10941" s="343">
        <v>13.55</v>
      </c>
    </row>
    <row r="10942" spans="1:4" ht="38.25">
      <c r="A10942" s="341">
        <v>38907</v>
      </c>
      <c r="B10942" s="342" t="s">
        <v>11778</v>
      </c>
      <c r="C10942" s="341" t="s">
        <v>7278</v>
      </c>
      <c r="D10942" s="343">
        <v>14.42</v>
      </c>
    </row>
    <row r="10943" spans="1:4" ht="38.25">
      <c r="A10943" s="341">
        <v>38908</v>
      </c>
      <c r="B10943" s="342" t="s">
        <v>11779</v>
      </c>
      <c r="C10943" s="341" t="s">
        <v>7278</v>
      </c>
      <c r="D10943" s="343">
        <v>16.23</v>
      </c>
    </row>
    <row r="10944" spans="1:4" ht="38.25">
      <c r="A10944" s="341">
        <v>38909</v>
      </c>
      <c r="B10944" s="342" t="s">
        <v>11780</v>
      </c>
      <c r="C10944" s="341" t="s">
        <v>7278</v>
      </c>
      <c r="D10944" s="343">
        <v>23.33</v>
      </c>
    </row>
    <row r="10945" spans="1:4" ht="38.25">
      <c r="A10945" s="341">
        <v>38910</v>
      </c>
      <c r="B10945" s="342" t="s">
        <v>11781</v>
      </c>
      <c r="C10945" s="341" t="s">
        <v>7278</v>
      </c>
      <c r="D10945" s="343">
        <v>25.2</v>
      </c>
    </row>
    <row r="10946" spans="1:4" ht="38.25">
      <c r="A10946" s="341">
        <v>38897</v>
      </c>
      <c r="B10946" s="342" t="s">
        <v>11782</v>
      </c>
      <c r="C10946" s="341" t="s">
        <v>7278</v>
      </c>
      <c r="D10946" s="343">
        <v>13.61</v>
      </c>
    </row>
    <row r="10947" spans="1:4" ht="38.25">
      <c r="A10947" s="341">
        <v>38899</v>
      </c>
      <c r="B10947" s="342" t="s">
        <v>11783</v>
      </c>
      <c r="C10947" s="341" t="s">
        <v>7278</v>
      </c>
      <c r="D10947" s="343">
        <v>15.31</v>
      </c>
    </row>
    <row r="10948" spans="1:4" ht="38.25">
      <c r="A10948" s="341">
        <v>38900</v>
      </c>
      <c r="B10948" s="342" t="s">
        <v>11784</v>
      </c>
      <c r="C10948" s="341" t="s">
        <v>7278</v>
      </c>
      <c r="D10948" s="343">
        <v>15.96</v>
      </c>
    </row>
    <row r="10949" spans="1:4" ht="38.25">
      <c r="A10949" s="341">
        <v>38901</v>
      </c>
      <c r="B10949" s="342" t="s">
        <v>11785</v>
      </c>
      <c r="C10949" s="341" t="s">
        <v>7278</v>
      </c>
      <c r="D10949" s="343">
        <v>26.11</v>
      </c>
    </row>
    <row r="10950" spans="1:4" ht="38.25">
      <c r="A10950" s="341">
        <v>38904</v>
      </c>
      <c r="B10950" s="342" t="s">
        <v>11786</v>
      </c>
      <c r="C10950" s="341" t="s">
        <v>7278</v>
      </c>
      <c r="D10950" s="343">
        <v>42.42</v>
      </c>
    </row>
    <row r="10951" spans="1:4" ht="38.25">
      <c r="A10951" s="341">
        <v>38903</v>
      </c>
      <c r="B10951" s="342" t="s">
        <v>11787</v>
      </c>
      <c r="C10951" s="341" t="s">
        <v>7278</v>
      </c>
      <c r="D10951" s="343">
        <v>42.15</v>
      </c>
    </row>
    <row r="10952" spans="1:4" ht="25.5">
      <c r="A10952" s="341">
        <v>7091</v>
      </c>
      <c r="B10952" s="342" t="s">
        <v>11788</v>
      </c>
      <c r="C10952" s="341" t="s">
        <v>7278</v>
      </c>
      <c r="D10952" s="343">
        <v>11.12</v>
      </c>
    </row>
    <row r="10953" spans="1:4" ht="25.5">
      <c r="A10953" s="341">
        <v>11655</v>
      </c>
      <c r="B10953" s="342" t="s">
        <v>11789</v>
      </c>
      <c r="C10953" s="341" t="s">
        <v>7278</v>
      </c>
      <c r="D10953" s="343">
        <v>9.9499999999999993</v>
      </c>
    </row>
    <row r="10954" spans="1:4" ht="25.5">
      <c r="A10954" s="341">
        <v>11656</v>
      </c>
      <c r="B10954" s="342" t="s">
        <v>11790</v>
      </c>
      <c r="C10954" s="341" t="s">
        <v>7278</v>
      </c>
      <c r="D10954" s="343">
        <v>10.24</v>
      </c>
    </row>
    <row r="10955" spans="1:4" ht="25.5">
      <c r="A10955" s="341">
        <v>37948</v>
      </c>
      <c r="B10955" s="342" t="s">
        <v>11791</v>
      </c>
      <c r="C10955" s="341" t="s">
        <v>7278</v>
      </c>
      <c r="D10955" s="343">
        <v>2.21</v>
      </c>
    </row>
    <row r="10956" spans="1:4" ht="25.5">
      <c r="A10956" s="341">
        <v>7097</v>
      </c>
      <c r="B10956" s="342" t="s">
        <v>11792</v>
      </c>
      <c r="C10956" s="341" t="s">
        <v>7278</v>
      </c>
      <c r="D10956" s="343">
        <v>4.9400000000000004</v>
      </c>
    </row>
    <row r="10957" spans="1:4" ht="25.5">
      <c r="A10957" s="341">
        <v>11657</v>
      </c>
      <c r="B10957" s="342" t="s">
        <v>11793</v>
      </c>
      <c r="C10957" s="341" t="s">
        <v>7278</v>
      </c>
      <c r="D10957" s="343">
        <v>8.64</v>
      </c>
    </row>
    <row r="10958" spans="1:4" ht="25.5">
      <c r="A10958" s="341">
        <v>11658</v>
      </c>
      <c r="B10958" s="342" t="s">
        <v>11794</v>
      </c>
      <c r="C10958" s="341" t="s">
        <v>7278</v>
      </c>
      <c r="D10958" s="343">
        <v>9.76</v>
      </c>
    </row>
    <row r="10959" spans="1:4" ht="25.5">
      <c r="A10959" s="341">
        <v>7146</v>
      </c>
      <c r="B10959" s="342" t="s">
        <v>11795</v>
      </c>
      <c r="C10959" s="341" t="s">
        <v>7278</v>
      </c>
      <c r="D10959" s="343">
        <v>111.48</v>
      </c>
    </row>
    <row r="10960" spans="1:4" ht="25.5">
      <c r="A10960" s="341">
        <v>7138</v>
      </c>
      <c r="B10960" s="342" t="s">
        <v>11796</v>
      </c>
      <c r="C10960" s="341" t="s">
        <v>7278</v>
      </c>
      <c r="D10960" s="343">
        <v>0.69</v>
      </c>
    </row>
    <row r="10961" spans="1:4" ht="25.5">
      <c r="A10961" s="341">
        <v>7139</v>
      </c>
      <c r="B10961" s="342" t="s">
        <v>11797</v>
      </c>
      <c r="C10961" s="341" t="s">
        <v>7278</v>
      </c>
      <c r="D10961" s="343">
        <v>0.95</v>
      </c>
    </row>
    <row r="10962" spans="1:4" ht="25.5">
      <c r="A10962" s="341">
        <v>7140</v>
      </c>
      <c r="B10962" s="342" t="s">
        <v>11798</v>
      </c>
      <c r="C10962" s="341" t="s">
        <v>7278</v>
      </c>
      <c r="D10962" s="343">
        <v>2.37</v>
      </c>
    </row>
    <row r="10963" spans="1:4" ht="25.5">
      <c r="A10963" s="341">
        <v>7141</v>
      </c>
      <c r="B10963" s="342" t="s">
        <v>11799</v>
      </c>
      <c r="C10963" s="341" t="s">
        <v>7278</v>
      </c>
      <c r="D10963" s="343">
        <v>6.11</v>
      </c>
    </row>
    <row r="10964" spans="1:4" ht="25.5">
      <c r="A10964" s="341">
        <v>7143</v>
      </c>
      <c r="B10964" s="342" t="s">
        <v>11800</v>
      </c>
      <c r="C10964" s="341" t="s">
        <v>7278</v>
      </c>
      <c r="D10964" s="343">
        <v>19.82</v>
      </c>
    </row>
    <row r="10965" spans="1:4" ht="25.5">
      <c r="A10965" s="341">
        <v>7144</v>
      </c>
      <c r="B10965" s="342" t="s">
        <v>11801</v>
      </c>
      <c r="C10965" s="341" t="s">
        <v>7278</v>
      </c>
      <c r="D10965" s="343">
        <v>38</v>
      </c>
    </row>
    <row r="10966" spans="1:4" ht="25.5">
      <c r="A10966" s="341">
        <v>7145</v>
      </c>
      <c r="B10966" s="342" t="s">
        <v>11802</v>
      </c>
      <c r="C10966" s="341" t="s">
        <v>7278</v>
      </c>
      <c r="D10966" s="343">
        <v>59.6</v>
      </c>
    </row>
    <row r="10967" spans="1:4" ht="25.5">
      <c r="A10967" s="341">
        <v>7142</v>
      </c>
      <c r="B10967" s="342" t="s">
        <v>11803</v>
      </c>
      <c r="C10967" s="341" t="s">
        <v>7278</v>
      </c>
      <c r="D10967" s="343">
        <v>6.91</v>
      </c>
    </row>
    <row r="10968" spans="1:4" ht="25.5">
      <c r="A10968" s="341">
        <v>3593</v>
      </c>
      <c r="B10968" s="342" t="s">
        <v>11804</v>
      </c>
      <c r="C10968" s="341" t="s">
        <v>7278</v>
      </c>
      <c r="D10968" s="343">
        <v>45.96</v>
      </c>
    </row>
    <row r="10969" spans="1:4" ht="25.5">
      <c r="A10969" s="341">
        <v>3588</v>
      </c>
      <c r="B10969" s="342" t="s">
        <v>11805</v>
      </c>
      <c r="C10969" s="341" t="s">
        <v>7278</v>
      </c>
      <c r="D10969" s="343">
        <v>35.43</v>
      </c>
    </row>
    <row r="10970" spans="1:4" ht="25.5">
      <c r="A10970" s="341">
        <v>3585</v>
      </c>
      <c r="B10970" s="342" t="s">
        <v>11806</v>
      </c>
      <c r="C10970" s="341" t="s">
        <v>7278</v>
      </c>
      <c r="D10970" s="343">
        <v>10.94</v>
      </c>
    </row>
    <row r="10971" spans="1:4" ht="25.5">
      <c r="A10971" s="341">
        <v>3587</v>
      </c>
      <c r="B10971" s="342" t="s">
        <v>11807</v>
      </c>
      <c r="C10971" s="341" t="s">
        <v>7278</v>
      </c>
      <c r="D10971" s="343">
        <v>21.98</v>
      </c>
    </row>
    <row r="10972" spans="1:4" ht="25.5">
      <c r="A10972" s="341">
        <v>3590</v>
      </c>
      <c r="B10972" s="342" t="s">
        <v>11808</v>
      </c>
      <c r="C10972" s="341" t="s">
        <v>7278</v>
      </c>
      <c r="D10972" s="343">
        <v>130.51</v>
      </c>
    </row>
    <row r="10973" spans="1:4" ht="25.5">
      <c r="A10973" s="341">
        <v>3589</v>
      </c>
      <c r="B10973" s="342" t="s">
        <v>11809</v>
      </c>
      <c r="C10973" s="341" t="s">
        <v>7278</v>
      </c>
      <c r="D10973" s="343">
        <v>70.05</v>
      </c>
    </row>
    <row r="10974" spans="1:4" ht="25.5">
      <c r="A10974" s="341">
        <v>3586</v>
      </c>
      <c r="B10974" s="342" t="s">
        <v>11810</v>
      </c>
      <c r="C10974" s="341" t="s">
        <v>7278</v>
      </c>
      <c r="D10974" s="343">
        <v>14.33</v>
      </c>
    </row>
    <row r="10975" spans="1:4" ht="25.5">
      <c r="A10975" s="341">
        <v>3592</v>
      </c>
      <c r="B10975" s="342" t="s">
        <v>11811</v>
      </c>
      <c r="C10975" s="341" t="s">
        <v>7278</v>
      </c>
      <c r="D10975" s="343">
        <v>206.3</v>
      </c>
    </row>
    <row r="10976" spans="1:4" ht="25.5">
      <c r="A10976" s="341">
        <v>3591</v>
      </c>
      <c r="B10976" s="342" t="s">
        <v>11812</v>
      </c>
      <c r="C10976" s="341" t="s">
        <v>7278</v>
      </c>
      <c r="D10976" s="343">
        <v>330.71</v>
      </c>
    </row>
    <row r="10977" spans="1:4" ht="25.5">
      <c r="A10977" s="341">
        <v>40396</v>
      </c>
      <c r="B10977" s="342" t="s">
        <v>11813</v>
      </c>
      <c r="C10977" s="341" t="s">
        <v>7278</v>
      </c>
      <c r="D10977" s="343">
        <v>58.91</v>
      </c>
    </row>
    <row r="10978" spans="1:4" ht="25.5">
      <c r="A10978" s="341">
        <v>40395</v>
      </c>
      <c r="B10978" s="342" t="s">
        <v>11814</v>
      </c>
      <c r="C10978" s="341" t="s">
        <v>7278</v>
      </c>
      <c r="D10978" s="343">
        <v>45.21</v>
      </c>
    </row>
    <row r="10979" spans="1:4" ht="25.5">
      <c r="A10979" s="341">
        <v>40392</v>
      </c>
      <c r="B10979" s="342" t="s">
        <v>11815</v>
      </c>
      <c r="C10979" s="341" t="s">
        <v>7278</v>
      </c>
      <c r="D10979" s="343">
        <v>14.54</v>
      </c>
    </row>
    <row r="10980" spans="1:4" ht="25.5">
      <c r="A10980" s="341">
        <v>40394</v>
      </c>
      <c r="B10980" s="342" t="s">
        <v>11816</v>
      </c>
      <c r="C10980" s="341" t="s">
        <v>7278</v>
      </c>
      <c r="D10980" s="343">
        <v>29.43</v>
      </c>
    </row>
    <row r="10981" spans="1:4" ht="25.5">
      <c r="A10981" s="341">
        <v>40398</v>
      </c>
      <c r="B10981" s="342" t="s">
        <v>11817</v>
      </c>
      <c r="C10981" s="341" t="s">
        <v>7278</v>
      </c>
      <c r="D10981" s="343">
        <v>189</v>
      </c>
    </row>
    <row r="10982" spans="1:4" ht="25.5">
      <c r="A10982" s="341">
        <v>40397</v>
      </c>
      <c r="B10982" s="342" t="s">
        <v>11818</v>
      </c>
      <c r="C10982" s="341" t="s">
        <v>7278</v>
      </c>
      <c r="D10982" s="343">
        <v>96.79</v>
      </c>
    </row>
    <row r="10983" spans="1:4" ht="25.5">
      <c r="A10983" s="341">
        <v>40393</v>
      </c>
      <c r="B10983" s="342" t="s">
        <v>11819</v>
      </c>
      <c r="C10983" s="341" t="s">
        <v>7278</v>
      </c>
      <c r="D10983" s="343">
        <v>18.739999999999998</v>
      </c>
    </row>
    <row r="10984" spans="1:4" ht="25.5">
      <c r="A10984" s="341">
        <v>40399</v>
      </c>
      <c r="B10984" s="342" t="s">
        <v>11820</v>
      </c>
      <c r="C10984" s="341" t="s">
        <v>7278</v>
      </c>
      <c r="D10984" s="343">
        <v>309.20999999999998</v>
      </c>
    </row>
    <row r="10985" spans="1:4" ht="25.5">
      <c r="A10985" s="341">
        <v>39322</v>
      </c>
      <c r="B10985" s="342" t="s">
        <v>11821</v>
      </c>
      <c r="C10985" s="341" t="s">
        <v>7278</v>
      </c>
      <c r="D10985" s="343">
        <v>16.440000000000001</v>
      </c>
    </row>
    <row r="10986" spans="1:4" ht="25.5">
      <c r="A10986" s="341">
        <v>39289</v>
      </c>
      <c r="B10986" s="342" t="s">
        <v>11822</v>
      </c>
      <c r="C10986" s="341" t="s">
        <v>7278</v>
      </c>
      <c r="D10986" s="343">
        <v>19.7</v>
      </c>
    </row>
    <row r="10987" spans="1:4" ht="25.5">
      <c r="A10987" s="341">
        <v>39290</v>
      </c>
      <c r="B10987" s="342" t="s">
        <v>11823</v>
      </c>
      <c r="C10987" s="341" t="s">
        <v>7278</v>
      </c>
      <c r="D10987" s="343">
        <v>33.43</v>
      </c>
    </row>
    <row r="10988" spans="1:4" ht="25.5">
      <c r="A10988" s="341">
        <v>39291</v>
      </c>
      <c r="B10988" s="342" t="s">
        <v>11824</v>
      </c>
      <c r="C10988" s="341" t="s">
        <v>7278</v>
      </c>
      <c r="D10988" s="343">
        <v>50.06</v>
      </c>
    </row>
    <row r="10989" spans="1:4" ht="25.5">
      <c r="A10989" s="341">
        <v>20174</v>
      </c>
      <c r="B10989" s="342" t="s">
        <v>11825</v>
      </c>
      <c r="C10989" s="341" t="s">
        <v>7278</v>
      </c>
      <c r="D10989" s="343">
        <v>47.95</v>
      </c>
    </row>
    <row r="10990" spans="1:4" ht="25.5">
      <c r="A10990" s="341">
        <v>41892</v>
      </c>
      <c r="B10990" s="342" t="s">
        <v>11826</v>
      </c>
      <c r="C10990" s="341" t="s">
        <v>7278</v>
      </c>
      <c r="D10990" s="343">
        <v>90.85</v>
      </c>
    </row>
    <row r="10991" spans="1:4" ht="25.5">
      <c r="A10991" s="341">
        <v>7048</v>
      </c>
      <c r="B10991" s="342" t="s">
        <v>11827</v>
      </c>
      <c r="C10991" s="341" t="s">
        <v>7278</v>
      </c>
      <c r="D10991" s="343">
        <v>19.52</v>
      </c>
    </row>
    <row r="10992" spans="1:4" ht="25.5">
      <c r="A10992" s="341">
        <v>7088</v>
      </c>
      <c r="B10992" s="342" t="s">
        <v>11828</v>
      </c>
      <c r="C10992" s="341" t="s">
        <v>7278</v>
      </c>
      <c r="D10992" s="343">
        <v>48.92</v>
      </c>
    </row>
    <row r="10993" spans="1:4" ht="25.5">
      <c r="A10993" s="341">
        <v>20179</v>
      </c>
      <c r="B10993" s="342" t="s">
        <v>11829</v>
      </c>
      <c r="C10993" s="341" t="s">
        <v>7278</v>
      </c>
      <c r="D10993" s="343">
        <v>31.38</v>
      </c>
    </row>
    <row r="10994" spans="1:4" ht="25.5">
      <c r="A10994" s="341">
        <v>20178</v>
      </c>
      <c r="B10994" s="342" t="s">
        <v>11830</v>
      </c>
      <c r="C10994" s="341" t="s">
        <v>7278</v>
      </c>
      <c r="D10994" s="343">
        <v>22.79</v>
      </c>
    </row>
    <row r="10995" spans="1:4" ht="25.5">
      <c r="A10995" s="341">
        <v>20180</v>
      </c>
      <c r="B10995" s="342" t="s">
        <v>11831</v>
      </c>
      <c r="C10995" s="341" t="s">
        <v>7278</v>
      </c>
      <c r="D10995" s="343">
        <v>53.58</v>
      </c>
    </row>
    <row r="10996" spans="1:4" ht="25.5">
      <c r="A10996" s="341">
        <v>20181</v>
      </c>
      <c r="B10996" s="342" t="s">
        <v>11832</v>
      </c>
      <c r="C10996" s="341" t="s">
        <v>7278</v>
      </c>
      <c r="D10996" s="343">
        <v>78.959999999999994</v>
      </c>
    </row>
    <row r="10997" spans="1:4" ht="25.5">
      <c r="A10997" s="341">
        <v>20177</v>
      </c>
      <c r="B10997" s="342" t="s">
        <v>11833</v>
      </c>
      <c r="C10997" s="341" t="s">
        <v>7278</v>
      </c>
      <c r="D10997" s="343">
        <v>18.04</v>
      </c>
    </row>
    <row r="10998" spans="1:4" ht="25.5">
      <c r="A10998" s="341">
        <v>7082</v>
      </c>
      <c r="B10998" s="342" t="s">
        <v>11834</v>
      </c>
      <c r="C10998" s="341" t="s">
        <v>7278</v>
      </c>
      <c r="D10998" s="343">
        <v>68.03</v>
      </c>
    </row>
    <row r="10999" spans="1:4" ht="25.5">
      <c r="A10999" s="341">
        <v>7069</v>
      </c>
      <c r="B10999" s="342" t="s">
        <v>11835</v>
      </c>
      <c r="C10999" s="341" t="s">
        <v>7278</v>
      </c>
      <c r="D10999" s="343">
        <v>112.11</v>
      </c>
    </row>
    <row r="11000" spans="1:4" ht="25.5">
      <c r="A11000" s="341">
        <v>7070</v>
      </c>
      <c r="B11000" s="342" t="s">
        <v>11836</v>
      </c>
      <c r="C11000" s="341" t="s">
        <v>7278</v>
      </c>
      <c r="D11000" s="343">
        <v>190.6</v>
      </c>
    </row>
    <row r="11001" spans="1:4" ht="25.5">
      <c r="A11001" s="341">
        <v>41893</v>
      </c>
      <c r="B11001" s="342" t="s">
        <v>11837</v>
      </c>
      <c r="C11001" s="341" t="s">
        <v>7278</v>
      </c>
      <c r="D11001" s="343">
        <v>727.32</v>
      </c>
    </row>
    <row r="11002" spans="1:4" ht="25.5">
      <c r="A11002" s="341">
        <v>41894</v>
      </c>
      <c r="B11002" s="342" t="s">
        <v>11838</v>
      </c>
      <c r="C11002" s="341" t="s">
        <v>7278</v>
      </c>
      <c r="D11002" s="344">
        <v>1116.1099999999999</v>
      </c>
    </row>
    <row r="11003" spans="1:4" ht="25.5">
      <c r="A11003" s="341">
        <v>41895</v>
      </c>
      <c r="B11003" s="342" t="s">
        <v>11839</v>
      </c>
      <c r="C11003" s="341" t="s">
        <v>7278</v>
      </c>
      <c r="D11003" s="344">
        <v>1234.1400000000001</v>
      </c>
    </row>
    <row r="11004" spans="1:4" ht="25.5">
      <c r="A11004" s="341">
        <v>20172</v>
      </c>
      <c r="B11004" s="342" t="s">
        <v>11840</v>
      </c>
      <c r="C11004" s="341" t="s">
        <v>7278</v>
      </c>
      <c r="D11004" s="343">
        <v>27.21</v>
      </c>
    </row>
    <row r="11005" spans="1:4">
      <c r="A11005" s="341">
        <v>40945</v>
      </c>
      <c r="B11005" s="342" t="s">
        <v>11841</v>
      </c>
      <c r="C11005" s="341" t="s">
        <v>7275</v>
      </c>
      <c r="D11005" s="343">
        <v>16.14</v>
      </c>
    </row>
    <row r="11006" spans="1:4">
      <c r="A11006" s="341">
        <v>40946</v>
      </c>
      <c r="B11006" s="342" t="s">
        <v>11842</v>
      </c>
      <c r="C11006" s="341" t="s">
        <v>7466</v>
      </c>
      <c r="D11006" s="344">
        <v>2236.52</v>
      </c>
    </row>
    <row r="11007" spans="1:4" ht="25.5">
      <c r="A11007" s="341">
        <v>7153</v>
      </c>
      <c r="B11007" s="342" t="s">
        <v>11843</v>
      </c>
      <c r="C11007" s="341" t="s">
        <v>7275</v>
      </c>
      <c r="D11007" s="343">
        <v>18.25</v>
      </c>
    </row>
    <row r="11008" spans="1:4" ht="25.5">
      <c r="A11008" s="341">
        <v>41089</v>
      </c>
      <c r="B11008" s="342" t="s">
        <v>11844</v>
      </c>
      <c r="C11008" s="341" t="s">
        <v>7466</v>
      </c>
      <c r="D11008" s="344">
        <v>3219.96</v>
      </c>
    </row>
    <row r="11009" spans="1:4">
      <c r="A11009" s="341">
        <v>40943</v>
      </c>
      <c r="B11009" s="342" t="s">
        <v>11845</v>
      </c>
      <c r="C11009" s="341" t="s">
        <v>7275</v>
      </c>
      <c r="D11009" s="343">
        <v>19.21</v>
      </c>
    </row>
    <row r="11010" spans="1:4" ht="25.5">
      <c r="A11010" s="341">
        <v>40944</v>
      </c>
      <c r="B11010" s="342" t="s">
        <v>11846</v>
      </c>
      <c r="C11010" s="341" t="s">
        <v>7466</v>
      </c>
      <c r="D11010" s="344">
        <v>3391.04</v>
      </c>
    </row>
    <row r="11011" spans="1:4">
      <c r="A11011" s="341">
        <v>6175</v>
      </c>
      <c r="B11011" s="342" t="s">
        <v>11847</v>
      </c>
      <c r="C11011" s="341" t="s">
        <v>7275</v>
      </c>
      <c r="D11011" s="343">
        <v>16.82</v>
      </c>
    </row>
    <row r="11012" spans="1:4">
      <c r="A11012" s="341">
        <v>41092</v>
      </c>
      <c r="B11012" s="342" t="s">
        <v>11848</v>
      </c>
      <c r="C11012" s="341" t="s">
        <v>7466</v>
      </c>
      <c r="D11012" s="344">
        <v>2966.23</v>
      </c>
    </row>
    <row r="11013" spans="1:4" ht="38.25">
      <c r="A11013" s="341">
        <v>37712</v>
      </c>
      <c r="B11013" s="342" t="s">
        <v>11849</v>
      </c>
      <c r="C11013" s="341" t="s">
        <v>7273</v>
      </c>
      <c r="D11013" s="343">
        <v>50</v>
      </c>
    </row>
    <row r="11014" spans="1:4" ht="38.25">
      <c r="A11014" s="341">
        <v>34547</v>
      </c>
      <c r="B11014" s="342" t="s">
        <v>11850</v>
      </c>
      <c r="C11014" s="341" t="s">
        <v>7287</v>
      </c>
      <c r="D11014" s="343">
        <v>2.06</v>
      </c>
    </row>
    <row r="11015" spans="1:4" ht="38.25">
      <c r="A11015" s="341">
        <v>34548</v>
      </c>
      <c r="B11015" s="342" t="s">
        <v>11851</v>
      </c>
      <c r="C11015" s="341" t="s">
        <v>7287</v>
      </c>
      <c r="D11015" s="343">
        <v>2.0099999999999998</v>
      </c>
    </row>
    <row r="11016" spans="1:4" ht="38.25">
      <c r="A11016" s="341">
        <v>37411</v>
      </c>
      <c r="B11016" s="342" t="s">
        <v>11852</v>
      </c>
      <c r="C11016" s="341" t="s">
        <v>7273</v>
      </c>
      <c r="D11016" s="343">
        <v>10.130000000000001</v>
      </c>
    </row>
    <row r="11017" spans="1:4" ht="38.25">
      <c r="A11017" s="341">
        <v>34558</v>
      </c>
      <c r="B11017" s="342" t="s">
        <v>11853</v>
      </c>
      <c r="C11017" s="341" t="s">
        <v>7287</v>
      </c>
      <c r="D11017" s="343">
        <v>1.35</v>
      </c>
    </row>
    <row r="11018" spans="1:4" ht="38.25">
      <c r="A11018" s="341">
        <v>34550</v>
      </c>
      <c r="B11018" s="342" t="s">
        <v>11854</v>
      </c>
      <c r="C11018" s="341" t="s">
        <v>7287</v>
      </c>
      <c r="D11018" s="343">
        <v>0.72</v>
      </c>
    </row>
    <row r="11019" spans="1:4" ht="38.25">
      <c r="A11019" s="341">
        <v>34557</v>
      </c>
      <c r="B11019" s="342" t="s">
        <v>11855</v>
      </c>
      <c r="C11019" s="341" t="s">
        <v>7287</v>
      </c>
      <c r="D11019" s="343">
        <v>1.26</v>
      </c>
    </row>
    <row r="11020" spans="1:4" ht="51">
      <c r="A11020" s="341">
        <v>7155</v>
      </c>
      <c r="B11020" s="342" t="s">
        <v>11856</v>
      </c>
      <c r="C11020" s="341" t="s">
        <v>7273</v>
      </c>
      <c r="D11020" s="343">
        <v>11.67</v>
      </c>
    </row>
    <row r="11021" spans="1:4" ht="51">
      <c r="A11021" s="341">
        <v>7154</v>
      </c>
      <c r="B11021" s="342" t="s">
        <v>11857</v>
      </c>
      <c r="C11021" s="341" t="s">
        <v>7338</v>
      </c>
      <c r="D11021" s="343">
        <v>5.25</v>
      </c>
    </row>
    <row r="11022" spans="1:4" ht="51">
      <c r="A11022" s="341">
        <v>10915</v>
      </c>
      <c r="B11022" s="342" t="s">
        <v>11858</v>
      </c>
      <c r="C11022" s="341" t="s">
        <v>7338</v>
      </c>
      <c r="D11022" s="343">
        <v>5.45</v>
      </c>
    </row>
    <row r="11023" spans="1:4" ht="51">
      <c r="A11023" s="341">
        <v>10917</v>
      </c>
      <c r="B11023" s="342" t="s">
        <v>11859</v>
      </c>
      <c r="C11023" s="341" t="s">
        <v>7273</v>
      </c>
      <c r="D11023" s="343">
        <v>5.3</v>
      </c>
    </row>
    <row r="11024" spans="1:4" ht="51">
      <c r="A11024" s="341">
        <v>21141</v>
      </c>
      <c r="B11024" s="342" t="s">
        <v>11860</v>
      </c>
      <c r="C11024" s="341" t="s">
        <v>7273</v>
      </c>
      <c r="D11024" s="343">
        <v>7.84</v>
      </c>
    </row>
    <row r="11025" spans="1:4" ht="51">
      <c r="A11025" s="341">
        <v>10916</v>
      </c>
      <c r="B11025" s="342" t="s">
        <v>11861</v>
      </c>
      <c r="C11025" s="341" t="s">
        <v>7338</v>
      </c>
      <c r="D11025" s="343">
        <v>5.3</v>
      </c>
    </row>
    <row r="11026" spans="1:4" ht="51">
      <c r="A11026" s="341">
        <v>39508</v>
      </c>
      <c r="B11026" s="342" t="s">
        <v>11862</v>
      </c>
      <c r="C11026" s="341" t="s">
        <v>7273</v>
      </c>
      <c r="D11026" s="343">
        <v>9.32</v>
      </c>
    </row>
    <row r="11027" spans="1:4" ht="51">
      <c r="A11027" s="341">
        <v>39507</v>
      </c>
      <c r="B11027" s="342" t="s">
        <v>11863</v>
      </c>
      <c r="C11027" s="341" t="s">
        <v>7273</v>
      </c>
      <c r="D11027" s="343">
        <v>9.1300000000000008</v>
      </c>
    </row>
    <row r="11028" spans="1:4" ht="51">
      <c r="A11028" s="341">
        <v>7156</v>
      </c>
      <c r="B11028" s="342" t="s">
        <v>11864</v>
      </c>
      <c r="C11028" s="341" t="s">
        <v>7273</v>
      </c>
      <c r="D11028" s="343">
        <v>15.78</v>
      </c>
    </row>
    <row r="11029" spans="1:4" ht="51">
      <c r="A11029" s="341">
        <v>39509</v>
      </c>
      <c r="B11029" s="342" t="s">
        <v>11865</v>
      </c>
      <c r="C11029" s="341" t="s">
        <v>7273</v>
      </c>
      <c r="D11029" s="343">
        <v>7.35</v>
      </c>
    </row>
    <row r="11030" spans="1:4">
      <c r="A11030" s="341">
        <v>25988</v>
      </c>
      <c r="B11030" s="342" t="s">
        <v>11866</v>
      </c>
      <c r="C11030" s="341" t="s">
        <v>7273</v>
      </c>
      <c r="D11030" s="343">
        <v>8.98</v>
      </c>
    </row>
    <row r="11031" spans="1:4" ht="38.25">
      <c r="A11031" s="341">
        <v>10928</v>
      </c>
      <c r="B11031" s="342" t="s">
        <v>11867</v>
      </c>
      <c r="C11031" s="341" t="s">
        <v>7273</v>
      </c>
      <c r="D11031" s="343">
        <v>12.46</v>
      </c>
    </row>
    <row r="11032" spans="1:4" ht="38.25">
      <c r="A11032" s="341">
        <v>7167</v>
      </c>
      <c r="B11032" s="342" t="s">
        <v>11868</v>
      </c>
      <c r="C11032" s="341" t="s">
        <v>7273</v>
      </c>
      <c r="D11032" s="343">
        <v>17.02</v>
      </c>
    </row>
    <row r="11033" spans="1:4" ht="38.25">
      <c r="A11033" s="341">
        <v>10933</v>
      </c>
      <c r="B11033" s="342" t="s">
        <v>11869</v>
      </c>
      <c r="C11033" s="341" t="s">
        <v>7273</v>
      </c>
      <c r="D11033" s="343">
        <v>15.22</v>
      </c>
    </row>
    <row r="11034" spans="1:4" ht="38.25">
      <c r="A11034" s="341">
        <v>10927</v>
      </c>
      <c r="B11034" s="342" t="s">
        <v>11870</v>
      </c>
      <c r="C11034" s="341" t="s">
        <v>7273</v>
      </c>
      <c r="D11034" s="343">
        <v>18.38</v>
      </c>
    </row>
    <row r="11035" spans="1:4" ht="38.25">
      <c r="A11035" s="341">
        <v>7158</v>
      </c>
      <c r="B11035" s="342" t="s">
        <v>11871</v>
      </c>
      <c r="C11035" s="341" t="s">
        <v>7273</v>
      </c>
      <c r="D11035" s="343">
        <v>25.65</v>
      </c>
    </row>
    <row r="11036" spans="1:4" ht="38.25">
      <c r="A11036" s="341">
        <v>7162</v>
      </c>
      <c r="B11036" s="342" t="s">
        <v>11872</v>
      </c>
      <c r="C11036" s="341" t="s">
        <v>7273</v>
      </c>
      <c r="D11036" s="343">
        <v>38.56</v>
      </c>
    </row>
    <row r="11037" spans="1:4" ht="38.25">
      <c r="A11037" s="341">
        <v>10932</v>
      </c>
      <c r="B11037" s="342" t="s">
        <v>11873</v>
      </c>
      <c r="C11037" s="341" t="s">
        <v>7273</v>
      </c>
      <c r="D11037" s="343">
        <v>68.290000000000006</v>
      </c>
    </row>
    <row r="11038" spans="1:4" ht="51">
      <c r="A11038" s="341">
        <v>40706</v>
      </c>
      <c r="B11038" s="342" t="s">
        <v>11874</v>
      </c>
      <c r="C11038" s="341" t="s">
        <v>7273</v>
      </c>
      <c r="D11038" s="343">
        <v>40.950000000000003</v>
      </c>
    </row>
    <row r="11039" spans="1:4" ht="51">
      <c r="A11039" s="341">
        <v>10937</v>
      </c>
      <c r="B11039" s="342" t="s">
        <v>11875</v>
      </c>
      <c r="C11039" s="341" t="s">
        <v>7273</v>
      </c>
      <c r="D11039" s="343">
        <v>26.84</v>
      </c>
    </row>
    <row r="11040" spans="1:4" ht="51">
      <c r="A11040" s="341">
        <v>10935</v>
      </c>
      <c r="B11040" s="342" t="s">
        <v>11876</v>
      </c>
      <c r="C11040" s="341" t="s">
        <v>7273</v>
      </c>
      <c r="D11040" s="343">
        <v>35.35</v>
      </c>
    </row>
    <row r="11041" spans="1:4" ht="38.25">
      <c r="A11041" s="341">
        <v>40707</v>
      </c>
      <c r="B11041" s="342" t="s">
        <v>11877</v>
      </c>
      <c r="C11041" s="341" t="s">
        <v>7273</v>
      </c>
      <c r="D11041" s="343">
        <v>81.38</v>
      </c>
    </row>
    <row r="11042" spans="1:4" ht="25.5">
      <c r="A11042" s="341">
        <v>10931</v>
      </c>
      <c r="B11042" s="342" t="s">
        <v>11878</v>
      </c>
      <c r="C11042" s="341" t="s">
        <v>7273</v>
      </c>
      <c r="D11042" s="343">
        <v>11.38</v>
      </c>
    </row>
    <row r="11043" spans="1:4" ht="25.5">
      <c r="A11043" s="341">
        <v>7164</v>
      </c>
      <c r="B11043" s="342" t="s">
        <v>11879</v>
      </c>
      <c r="C11043" s="341" t="s">
        <v>7273</v>
      </c>
      <c r="D11043" s="343">
        <v>31.87</v>
      </c>
    </row>
    <row r="11044" spans="1:4" ht="25.5">
      <c r="A11044" s="341">
        <v>36887</v>
      </c>
      <c r="B11044" s="342" t="s">
        <v>11880</v>
      </c>
      <c r="C11044" s="341" t="s">
        <v>7273</v>
      </c>
      <c r="D11044" s="343">
        <v>13.72</v>
      </c>
    </row>
    <row r="11045" spans="1:4" ht="63.75">
      <c r="A11045" s="341">
        <v>34630</v>
      </c>
      <c r="B11045" s="342" t="s">
        <v>11881</v>
      </c>
      <c r="C11045" s="341" t="s">
        <v>7278</v>
      </c>
      <c r="D11045" s="343">
        <v>812.72</v>
      </c>
    </row>
    <row r="11046" spans="1:4">
      <c r="A11046" s="341">
        <v>7161</v>
      </c>
      <c r="B11046" s="342" t="s">
        <v>11882</v>
      </c>
      <c r="C11046" s="341" t="s">
        <v>7273</v>
      </c>
      <c r="D11046" s="343">
        <v>4.83</v>
      </c>
    </row>
    <row r="11047" spans="1:4" ht="38.25">
      <c r="A11047" s="341">
        <v>7170</v>
      </c>
      <c r="B11047" s="342" t="s">
        <v>11883</v>
      </c>
      <c r="C11047" s="341" t="s">
        <v>7273</v>
      </c>
      <c r="D11047" s="343">
        <v>1.95</v>
      </c>
    </row>
    <row r="11048" spans="1:4" ht="38.25">
      <c r="A11048" s="341">
        <v>37524</v>
      </c>
      <c r="B11048" s="342" t="s">
        <v>11884</v>
      </c>
      <c r="C11048" s="341" t="s">
        <v>7287</v>
      </c>
      <c r="D11048" s="343">
        <v>1.86</v>
      </c>
    </row>
    <row r="11049" spans="1:4" ht="51">
      <c r="A11049" s="341">
        <v>37525</v>
      </c>
      <c r="B11049" s="342" t="s">
        <v>11885</v>
      </c>
      <c r="C11049" s="341" t="s">
        <v>7287</v>
      </c>
      <c r="D11049" s="343">
        <v>2.2200000000000002</v>
      </c>
    </row>
    <row r="11050" spans="1:4" ht="25.5">
      <c r="A11050" s="341">
        <v>10920</v>
      </c>
      <c r="B11050" s="342" t="s">
        <v>11886</v>
      </c>
      <c r="C11050" s="341" t="s">
        <v>7273</v>
      </c>
      <c r="D11050" s="343">
        <v>10.52</v>
      </c>
    </row>
    <row r="11051" spans="1:4" ht="25.5">
      <c r="A11051" s="341">
        <v>7238</v>
      </c>
      <c r="B11051" s="342" t="s">
        <v>11887</v>
      </c>
      <c r="C11051" s="341" t="s">
        <v>7273</v>
      </c>
      <c r="D11051" s="343">
        <v>25.16</v>
      </c>
    </row>
    <row r="11052" spans="1:4" ht="25.5">
      <c r="A11052" s="341">
        <v>7239</v>
      </c>
      <c r="B11052" s="342" t="s">
        <v>11888</v>
      </c>
      <c r="C11052" s="341" t="s">
        <v>7273</v>
      </c>
      <c r="D11052" s="343">
        <v>31.28</v>
      </c>
    </row>
    <row r="11053" spans="1:4" ht="25.5">
      <c r="A11053" s="341">
        <v>7240</v>
      </c>
      <c r="B11053" s="342" t="s">
        <v>11889</v>
      </c>
      <c r="C11053" s="341" t="s">
        <v>7273</v>
      </c>
      <c r="D11053" s="343">
        <v>35.92</v>
      </c>
    </row>
    <row r="11054" spans="1:4" ht="38.25">
      <c r="A11054" s="341">
        <v>36789</v>
      </c>
      <c r="B11054" s="342" t="s">
        <v>11890</v>
      </c>
      <c r="C11054" s="341" t="s">
        <v>7278</v>
      </c>
      <c r="D11054" s="343">
        <v>1.81</v>
      </c>
    </row>
    <row r="11055" spans="1:4" ht="25.5">
      <c r="A11055" s="341">
        <v>7173</v>
      </c>
      <c r="B11055" s="342" t="s">
        <v>11891</v>
      </c>
      <c r="C11055" s="341" t="s">
        <v>7790</v>
      </c>
      <c r="D11055" s="344">
        <v>1169.23</v>
      </c>
    </row>
    <row r="11056" spans="1:4" ht="25.5">
      <c r="A11056" s="341">
        <v>7176</v>
      </c>
      <c r="B11056" s="342" t="s">
        <v>11891</v>
      </c>
      <c r="C11056" s="341" t="s">
        <v>7278</v>
      </c>
      <c r="D11056" s="343">
        <v>1.1599999999999999</v>
      </c>
    </row>
    <row r="11057" spans="1:4" ht="38.25">
      <c r="A11057" s="341">
        <v>7183</v>
      </c>
      <c r="B11057" s="342" t="s">
        <v>11892</v>
      </c>
      <c r="C11057" s="341" t="s">
        <v>7278</v>
      </c>
      <c r="D11057" s="343">
        <v>1.88</v>
      </c>
    </row>
    <row r="11058" spans="1:4" ht="25.5">
      <c r="A11058" s="341">
        <v>7180</v>
      </c>
      <c r="B11058" s="342" t="s">
        <v>11893</v>
      </c>
      <c r="C11058" s="341" t="s">
        <v>7278</v>
      </c>
      <c r="D11058" s="343">
        <v>1.1100000000000001</v>
      </c>
    </row>
    <row r="11059" spans="1:4" ht="25.5">
      <c r="A11059" s="341">
        <v>11088</v>
      </c>
      <c r="B11059" s="342" t="s">
        <v>11894</v>
      </c>
      <c r="C11059" s="341" t="s">
        <v>7278</v>
      </c>
      <c r="D11059" s="343">
        <v>1.05</v>
      </c>
    </row>
    <row r="11060" spans="1:4" ht="38.25">
      <c r="A11060" s="341">
        <v>36788</v>
      </c>
      <c r="B11060" s="342" t="s">
        <v>11895</v>
      </c>
      <c r="C11060" s="341" t="s">
        <v>7278</v>
      </c>
      <c r="D11060" s="343">
        <v>1.2</v>
      </c>
    </row>
    <row r="11061" spans="1:4" ht="25.5">
      <c r="A11061" s="341">
        <v>7175</v>
      </c>
      <c r="B11061" s="342" t="s">
        <v>11896</v>
      </c>
      <c r="C11061" s="341" t="s">
        <v>7278</v>
      </c>
      <c r="D11061" s="343">
        <v>1.32</v>
      </c>
    </row>
    <row r="11062" spans="1:4" ht="25.5">
      <c r="A11062" s="341">
        <v>25007</v>
      </c>
      <c r="B11062" s="342" t="s">
        <v>11897</v>
      </c>
      <c r="C11062" s="341" t="s">
        <v>7273</v>
      </c>
      <c r="D11062" s="343">
        <v>27.5</v>
      </c>
    </row>
    <row r="11063" spans="1:4" ht="38.25">
      <c r="A11063" s="341">
        <v>14171</v>
      </c>
      <c r="B11063" s="342" t="s">
        <v>11898</v>
      </c>
      <c r="C11063" s="341" t="s">
        <v>7273</v>
      </c>
      <c r="D11063" s="343">
        <v>73.52</v>
      </c>
    </row>
    <row r="11064" spans="1:4" ht="38.25">
      <c r="A11064" s="341">
        <v>14170</v>
      </c>
      <c r="B11064" s="342" t="s">
        <v>11899</v>
      </c>
      <c r="C11064" s="341" t="s">
        <v>7273</v>
      </c>
      <c r="D11064" s="343">
        <v>64.97</v>
      </c>
    </row>
    <row r="11065" spans="1:4" ht="38.25">
      <c r="A11065" s="341">
        <v>14173</v>
      </c>
      <c r="B11065" s="342" t="s">
        <v>11900</v>
      </c>
      <c r="C11065" s="341" t="s">
        <v>7273</v>
      </c>
      <c r="D11065" s="343">
        <v>85.66</v>
      </c>
    </row>
    <row r="11066" spans="1:4" ht="38.25">
      <c r="A11066" s="341">
        <v>14172</v>
      </c>
      <c r="B11066" s="342" t="s">
        <v>11901</v>
      </c>
      <c r="C11066" s="341" t="s">
        <v>7273</v>
      </c>
      <c r="D11066" s="343">
        <v>69.33</v>
      </c>
    </row>
    <row r="11067" spans="1:4" ht="25.5">
      <c r="A11067" s="341">
        <v>7243</v>
      </c>
      <c r="B11067" s="342" t="s">
        <v>11902</v>
      </c>
      <c r="C11067" s="341" t="s">
        <v>7273</v>
      </c>
      <c r="D11067" s="343">
        <v>27.2</v>
      </c>
    </row>
    <row r="11068" spans="1:4" ht="38.25">
      <c r="A11068" s="341">
        <v>11067</v>
      </c>
      <c r="B11068" s="342" t="s">
        <v>11903</v>
      </c>
      <c r="C11068" s="341" t="s">
        <v>7278</v>
      </c>
      <c r="D11068" s="343">
        <v>125.16</v>
      </c>
    </row>
    <row r="11069" spans="1:4" ht="38.25">
      <c r="A11069" s="341">
        <v>11068</v>
      </c>
      <c r="B11069" s="342" t="s">
        <v>11904</v>
      </c>
      <c r="C11069" s="341" t="s">
        <v>7278</v>
      </c>
      <c r="D11069" s="343">
        <v>176.77</v>
      </c>
    </row>
    <row r="11070" spans="1:4" ht="38.25">
      <c r="A11070" s="341">
        <v>40865</v>
      </c>
      <c r="B11070" s="342" t="s">
        <v>11905</v>
      </c>
      <c r="C11070" s="341" t="s">
        <v>7278</v>
      </c>
      <c r="D11070" s="343">
        <v>3.2</v>
      </c>
    </row>
    <row r="11071" spans="1:4" ht="25.5">
      <c r="A11071" s="341">
        <v>7184</v>
      </c>
      <c r="B11071" s="342" t="s">
        <v>11906</v>
      </c>
      <c r="C11071" s="341" t="s">
        <v>7273</v>
      </c>
      <c r="D11071" s="343">
        <v>29.56</v>
      </c>
    </row>
    <row r="11072" spans="1:4" ht="25.5">
      <c r="A11072" s="341">
        <v>34458</v>
      </c>
      <c r="B11072" s="342" t="s">
        <v>11907</v>
      </c>
      <c r="C11072" s="341" t="s">
        <v>7278</v>
      </c>
      <c r="D11072" s="343">
        <v>99.14</v>
      </c>
    </row>
    <row r="11073" spans="1:4" ht="25.5">
      <c r="A11073" s="341">
        <v>34464</v>
      </c>
      <c r="B11073" s="342" t="s">
        <v>11908</v>
      </c>
      <c r="C11073" s="341" t="s">
        <v>7278</v>
      </c>
      <c r="D11073" s="343">
        <v>133.01</v>
      </c>
    </row>
    <row r="11074" spans="1:4" ht="25.5">
      <c r="A11074" s="341">
        <v>34468</v>
      </c>
      <c r="B11074" s="342" t="s">
        <v>11909</v>
      </c>
      <c r="C11074" s="341" t="s">
        <v>7278</v>
      </c>
      <c r="D11074" s="343">
        <v>153.51</v>
      </c>
    </row>
    <row r="11075" spans="1:4" ht="25.5">
      <c r="A11075" s="341">
        <v>34473</v>
      </c>
      <c r="B11075" s="342" t="s">
        <v>11910</v>
      </c>
      <c r="C11075" s="341" t="s">
        <v>7278</v>
      </c>
      <c r="D11075" s="343">
        <v>125.54</v>
      </c>
    </row>
    <row r="11076" spans="1:4" ht="25.5">
      <c r="A11076" s="341">
        <v>34480</v>
      </c>
      <c r="B11076" s="342" t="s">
        <v>11911</v>
      </c>
      <c r="C11076" s="341" t="s">
        <v>7278</v>
      </c>
      <c r="D11076" s="343">
        <v>171.2</v>
      </c>
    </row>
    <row r="11077" spans="1:4" ht="25.5">
      <c r="A11077" s="341">
        <v>34486</v>
      </c>
      <c r="B11077" s="342" t="s">
        <v>11912</v>
      </c>
      <c r="C11077" s="341" t="s">
        <v>7278</v>
      </c>
      <c r="D11077" s="343">
        <v>191.75</v>
      </c>
    </row>
    <row r="11078" spans="1:4" ht="25.5">
      <c r="A11078" s="341">
        <v>7202</v>
      </c>
      <c r="B11078" s="342" t="s">
        <v>11913</v>
      </c>
      <c r="C11078" s="341" t="s">
        <v>7273</v>
      </c>
      <c r="D11078" s="343">
        <v>39.29</v>
      </c>
    </row>
    <row r="11079" spans="1:4" ht="25.5">
      <c r="A11079" s="341">
        <v>7190</v>
      </c>
      <c r="B11079" s="342" t="s">
        <v>11914</v>
      </c>
      <c r="C11079" s="341" t="s">
        <v>7278</v>
      </c>
      <c r="D11079" s="343">
        <v>6.74</v>
      </c>
    </row>
    <row r="11080" spans="1:4" ht="25.5">
      <c r="A11080" s="341">
        <v>34417</v>
      </c>
      <c r="B11080" s="342" t="s">
        <v>11915</v>
      </c>
      <c r="C11080" s="341" t="s">
        <v>7278</v>
      </c>
      <c r="D11080" s="343">
        <v>11.71</v>
      </c>
    </row>
    <row r="11081" spans="1:4" ht="25.5">
      <c r="A11081" s="341">
        <v>7213</v>
      </c>
      <c r="B11081" s="342" t="s">
        <v>11916</v>
      </c>
      <c r="C11081" s="341" t="s">
        <v>7273</v>
      </c>
      <c r="D11081" s="343">
        <v>11.13</v>
      </c>
    </row>
    <row r="11082" spans="1:4" ht="25.5">
      <c r="A11082" s="341">
        <v>7191</v>
      </c>
      <c r="B11082" s="342" t="s">
        <v>11916</v>
      </c>
      <c r="C11082" s="341" t="s">
        <v>7278</v>
      </c>
      <c r="D11082" s="343">
        <v>13.58</v>
      </c>
    </row>
    <row r="11083" spans="1:4" ht="25.5">
      <c r="A11083" s="341">
        <v>7195</v>
      </c>
      <c r="B11083" s="342" t="s">
        <v>11917</v>
      </c>
      <c r="C11083" s="341" t="s">
        <v>7278</v>
      </c>
      <c r="D11083" s="343">
        <v>32.35</v>
      </c>
    </row>
    <row r="11084" spans="1:4" ht="25.5">
      <c r="A11084" s="341">
        <v>7186</v>
      </c>
      <c r="B11084" s="342" t="s">
        <v>11918</v>
      </c>
      <c r="C11084" s="341" t="s">
        <v>7278</v>
      </c>
      <c r="D11084" s="343">
        <v>38.71</v>
      </c>
    </row>
    <row r="11085" spans="1:4" ht="25.5">
      <c r="A11085" s="341">
        <v>7207</v>
      </c>
      <c r="B11085" s="342" t="s">
        <v>11919</v>
      </c>
      <c r="C11085" s="341" t="s">
        <v>7278</v>
      </c>
      <c r="D11085" s="343">
        <v>51.52</v>
      </c>
    </row>
    <row r="11086" spans="1:4" ht="25.5">
      <c r="A11086" s="341">
        <v>7194</v>
      </c>
      <c r="B11086" s="342" t="s">
        <v>11919</v>
      </c>
      <c r="C11086" s="341" t="s">
        <v>7273</v>
      </c>
      <c r="D11086" s="343">
        <v>19.190000000000001</v>
      </c>
    </row>
    <row r="11087" spans="1:4" ht="25.5">
      <c r="A11087" s="341">
        <v>7197</v>
      </c>
      <c r="B11087" s="342" t="s">
        <v>11920</v>
      </c>
      <c r="C11087" s="341" t="s">
        <v>7278</v>
      </c>
      <c r="D11087" s="343">
        <v>77.400000000000006</v>
      </c>
    </row>
    <row r="11088" spans="1:4" ht="25.5">
      <c r="A11088" s="341">
        <v>7192</v>
      </c>
      <c r="B11088" s="342" t="s">
        <v>11921</v>
      </c>
      <c r="C11088" s="341" t="s">
        <v>7278</v>
      </c>
      <c r="D11088" s="343">
        <v>42.57</v>
      </c>
    </row>
    <row r="11089" spans="1:4" ht="25.5">
      <c r="A11089" s="341">
        <v>7193</v>
      </c>
      <c r="B11089" s="342" t="s">
        <v>11922</v>
      </c>
      <c r="C11089" s="341" t="s">
        <v>7278</v>
      </c>
      <c r="D11089" s="343">
        <v>50.82</v>
      </c>
    </row>
    <row r="11090" spans="1:4" ht="25.5">
      <c r="A11090" s="341">
        <v>7189</v>
      </c>
      <c r="B11090" s="342" t="s">
        <v>11923</v>
      </c>
      <c r="C11090" s="341" t="s">
        <v>7278</v>
      </c>
      <c r="D11090" s="343">
        <v>71.38</v>
      </c>
    </row>
    <row r="11091" spans="1:4" ht="25.5">
      <c r="A11091" s="341">
        <v>7198</v>
      </c>
      <c r="B11091" s="342" t="s">
        <v>11924</v>
      </c>
      <c r="C11091" s="341" t="s">
        <v>7273</v>
      </c>
      <c r="D11091" s="343">
        <v>26.57</v>
      </c>
    </row>
    <row r="11092" spans="1:4" ht="25.5">
      <c r="A11092" s="341">
        <v>34402</v>
      </c>
      <c r="B11092" s="342" t="s">
        <v>11924</v>
      </c>
      <c r="C11092" s="341" t="s">
        <v>7278</v>
      </c>
      <c r="D11092" s="343">
        <v>106.99</v>
      </c>
    </row>
    <row r="11093" spans="1:4">
      <c r="A11093" s="341">
        <v>7245</v>
      </c>
      <c r="B11093" s="342" t="s">
        <v>11925</v>
      </c>
      <c r="C11093" s="341" t="s">
        <v>7278</v>
      </c>
      <c r="D11093" s="343">
        <v>35.08</v>
      </c>
    </row>
    <row r="11094" spans="1:4" ht="25.5">
      <c r="A11094" s="341">
        <v>34425</v>
      </c>
      <c r="B11094" s="342" t="s">
        <v>11926</v>
      </c>
      <c r="C11094" s="341" t="s">
        <v>7278</v>
      </c>
      <c r="D11094" s="343">
        <v>66.16</v>
      </c>
    </row>
    <row r="11095" spans="1:4" ht="25.5">
      <c r="A11095" s="341">
        <v>7223</v>
      </c>
      <c r="B11095" s="342" t="s">
        <v>11927</v>
      </c>
      <c r="C11095" s="341" t="s">
        <v>7278</v>
      </c>
      <c r="D11095" s="343">
        <v>77.099999999999994</v>
      </c>
    </row>
    <row r="11096" spans="1:4" ht="25.5">
      <c r="A11096" s="341">
        <v>7234</v>
      </c>
      <c r="B11096" s="342" t="s">
        <v>11928</v>
      </c>
      <c r="C11096" s="341" t="s">
        <v>7278</v>
      </c>
      <c r="D11096" s="343">
        <v>111.21</v>
      </c>
    </row>
    <row r="11097" spans="1:4" ht="25.5">
      <c r="A11097" s="341">
        <v>7224</v>
      </c>
      <c r="B11097" s="342" t="s">
        <v>11929</v>
      </c>
      <c r="C11097" s="341" t="s">
        <v>7278</v>
      </c>
      <c r="D11097" s="343">
        <v>122.84</v>
      </c>
    </row>
    <row r="11098" spans="1:4" ht="25.5">
      <c r="A11098" s="341">
        <v>7221</v>
      </c>
      <c r="B11098" s="342" t="s">
        <v>11930</v>
      </c>
      <c r="C11098" s="341" t="s">
        <v>7273</v>
      </c>
      <c r="D11098" s="343">
        <v>59.73</v>
      </c>
    </row>
    <row r="11099" spans="1:4" ht="25.5">
      <c r="A11099" s="341">
        <v>7210</v>
      </c>
      <c r="B11099" s="342" t="s">
        <v>11930</v>
      </c>
      <c r="C11099" s="341" t="s">
        <v>7278</v>
      </c>
      <c r="D11099" s="343">
        <v>139.77000000000001</v>
      </c>
    </row>
    <row r="11100" spans="1:4" ht="25.5">
      <c r="A11100" s="341">
        <v>7225</v>
      </c>
      <c r="B11100" s="342" t="s">
        <v>11931</v>
      </c>
      <c r="C11100" s="341" t="s">
        <v>7278</v>
      </c>
      <c r="D11100" s="343">
        <v>155.30000000000001</v>
      </c>
    </row>
    <row r="11101" spans="1:4" ht="25.5">
      <c r="A11101" s="341">
        <v>7226</v>
      </c>
      <c r="B11101" s="342" t="s">
        <v>11932</v>
      </c>
      <c r="C11101" s="341" t="s">
        <v>7278</v>
      </c>
      <c r="D11101" s="343">
        <v>170.9</v>
      </c>
    </row>
    <row r="11102" spans="1:4" ht="25.5">
      <c r="A11102" s="341">
        <v>7236</v>
      </c>
      <c r="B11102" s="342" t="s">
        <v>11933</v>
      </c>
      <c r="C11102" s="341" t="s">
        <v>7278</v>
      </c>
      <c r="D11102" s="343">
        <v>186.39</v>
      </c>
    </row>
    <row r="11103" spans="1:4" ht="25.5">
      <c r="A11103" s="341">
        <v>7227</v>
      </c>
      <c r="B11103" s="342" t="s">
        <v>11934</v>
      </c>
      <c r="C11103" s="341" t="s">
        <v>7278</v>
      </c>
      <c r="D11103" s="343">
        <v>201.93</v>
      </c>
    </row>
    <row r="11104" spans="1:4" ht="25.5">
      <c r="A11104" s="341">
        <v>7212</v>
      </c>
      <c r="B11104" s="342" t="s">
        <v>11935</v>
      </c>
      <c r="C11104" s="341" t="s">
        <v>7278</v>
      </c>
      <c r="D11104" s="343">
        <v>223.59</v>
      </c>
    </row>
    <row r="11105" spans="1:4" ht="25.5">
      <c r="A11105" s="341">
        <v>7229</v>
      </c>
      <c r="B11105" s="342" t="s">
        <v>11936</v>
      </c>
      <c r="C11105" s="341" t="s">
        <v>7278</v>
      </c>
      <c r="D11105" s="343">
        <v>147.86000000000001</v>
      </c>
    </row>
    <row r="11106" spans="1:4" ht="25.5">
      <c r="A11106" s="341">
        <v>7230</v>
      </c>
      <c r="B11106" s="342" t="s">
        <v>11937</v>
      </c>
      <c r="C11106" s="341" t="s">
        <v>7278</v>
      </c>
      <c r="D11106" s="343">
        <v>235.62</v>
      </c>
    </row>
    <row r="11107" spans="1:4" ht="25.5">
      <c r="A11107" s="341">
        <v>7231</v>
      </c>
      <c r="B11107" s="342" t="s">
        <v>11938</v>
      </c>
      <c r="C11107" s="341" t="s">
        <v>7278</v>
      </c>
      <c r="D11107" s="343">
        <v>309.44</v>
      </c>
    </row>
    <row r="11108" spans="1:4" ht="25.5">
      <c r="A11108" s="341">
        <v>7220</v>
      </c>
      <c r="B11108" s="342" t="s">
        <v>11939</v>
      </c>
      <c r="C11108" s="341" t="s">
        <v>7278</v>
      </c>
      <c r="D11108" s="343">
        <v>380.43</v>
      </c>
    </row>
    <row r="11109" spans="1:4" ht="25.5">
      <c r="A11109" s="341">
        <v>34447</v>
      </c>
      <c r="B11109" s="342" t="s">
        <v>11940</v>
      </c>
      <c r="C11109" s="341" t="s">
        <v>7278</v>
      </c>
      <c r="D11109" s="343">
        <v>423.43</v>
      </c>
    </row>
    <row r="11110" spans="1:4" ht="25.5">
      <c r="A11110" s="341">
        <v>7233</v>
      </c>
      <c r="B11110" s="342" t="s">
        <v>11941</v>
      </c>
      <c r="C11110" s="341" t="s">
        <v>7278</v>
      </c>
      <c r="D11110" s="343">
        <v>474.04</v>
      </c>
    </row>
    <row r="11111" spans="1:4" ht="76.5">
      <c r="A11111" s="341">
        <v>42172</v>
      </c>
      <c r="B11111" s="342" t="s">
        <v>11942</v>
      </c>
      <c r="C11111" s="341" t="s">
        <v>7273</v>
      </c>
      <c r="D11111" s="343">
        <v>87.08</v>
      </c>
    </row>
    <row r="11112" spans="1:4" ht="76.5">
      <c r="A11112" s="341">
        <v>39520</v>
      </c>
      <c r="B11112" s="342" t="s">
        <v>11943</v>
      </c>
      <c r="C11112" s="341" t="s">
        <v>7273</v>
      </c>
      <c r="D11112" s="343">
        <v>109.78</v>
      </c>
    </row>
    <row r="11113" spans="1:4" ht="76.5">
      <c r="A11113" s="341">
        <v>39521</v>
      </c>
      <c r="B11113" s="342" t="s">
        <v>11944</v>
      </c>
      <c r="C11113" s="341" t="s">
        <v>7273</v>
      </c>
      <c r="D11113" s="343">
        <v>117.59</v>
      </c>
    </row>
    <row r="11114" spans="1:4" ht="63.75">
      <c r="A11114" s="341">
        <v>39522</v>
      </c>
      <c r="B11114" s="342" t="s">
        <v>11945</v>
      </c>
      <c r="C11114" s="341" t="s">
        <v>7273</v>
      </c>
      <c r="D11114" s="343">
        <v>94.02</v>
      </c>
    </row>
    <row r="11115" spans="1:4" ht="25.5">
      <c r="A11115" s="341">
        <v>7246</v>
      </c>
      <c r="B11115" s="342" t="s">
        <v>11946</v>
      </c>
      <c r="C11115" s="341" t="s">
        <v>7278</v>
      </c>
      <c r="D11115" s="343">
        <v>32.64</v>
      </c>
    </row>
    <row r="11116" spans="1:4">
      <c r="A11116" s="341">
        <v>12869</v>
      </c>
      <c r="B11116" s="342" t="s">
        <v>11947</v>
      </c>
      <c r="C11116" s="341" t="s">
        <v>7275</v>
      </c>
      <c r="D11116" s="343">
        <v>13.83</v>
      </c>
    </row>
    <row r="11117" spans="1:4">
      <c r="A11117" s="341">
        <v>41097</v>
      </c>
      <c r="B11117" s="342" t="s">
        <v>11948</v>
      </c>
      <c r="C11117" s="341" t="s">
        <v>7466</v>
      </c>
      <c r="D11117" s="344">
        <v>2442.09</v>
      </c>
    </row>
    <row r="11118" spans="1:4" ht="38.25">
      <c r="A11118" s="341">
        <v>1574</v>
      </c>
      <c r="B11118" s="342" t="s">
        <v>11949</v>
      </c>
      <c r="C11118" s="341" t="s">
        <v>7278</v>
      </c>
      <c r="D11118" s="343">
        <v>0.87</v>
      </c>
    </row>
    <row r="11119" spans="1:4" ht="51">
      <c r="A11119" s="341">
        <v>1581</v>
      </c>
      <c r="B11119" s="342" t="s">
        <v>11950</v>
      </c>
      <c r="C11119" s="341" t="s">
        <v>7278</v>
      </c>
      <c r="D11119" s="343">
        <v>6.03</v>
      </c>
    </row>
    <row r="11120" spans="1:4" ht="38.25">
      <c r="A11120" s="341">
        <v>1575</v>
      </c>
      <c r="B11120" s="342" t="s">
        <v>11951</v>
      </c>
      <c r="C11120" s="341" t="s">
        <v>7278</v>
      </c>
      <c r="D11120" s="343">
        <v>1.03</v>
      </c>
    </row>
    <row r="11121" spans="1:4" ht="38.25">
      <c r="A11121" s="341">
        <v>1570</v>
      </c>
      <c r="B11121" s="342" t="s">
        <v>11952</v>
      </c>
      <c r="C11121" s="341" t="s">
        <v>7278</v>
      </c>
      <c r="D11121" s="343">
        <v>0.52</v>
      </c>
    </row>
    <row r="11122" spans="1:4" ht="38.25">
      <c r="A11122" s="341">
        <v>1576</v>
      </c>
      <c r="B11122" s="342" t="s">
        <v>11953</v>
      </c>
      <c r="C11122" s="341" t="s">
        <v>7278</v>
      </c>
      <c r="D11122" s="343">
        <v>1.43</v>
      </c>
    </row>
    <row r="11123" spans="1:4" ht="38.25">
      <c r="A11123" s="341">
        <v>1577</v>
      </c>
      <c r="B11123" s="342" t="s">
        <v>11954</v>
      </c>
      <c r="C11123" s="341" t="s">
        <v>7278</v>
      </c>
      <c r="D11123" s="343">
        <v>1.61</v>
      </c>
    </row>
    <row r="11124" spans="1:4" ht="38.25">
      <c r="A11124" s="341">
        <v>1571</v>
      </c>
      <c r="B11124" s="342" t="s">
        <v>11955</v>
      </c>
      <c r="C11124" s="341" t="s">
        <v>7278</v>
      </c>
      <c r="D11124" s="343">
        <v>0.67</v>
      </c>
    </row>
    <row r="11125" spans="1:4" ht="38.25">
      <c r="A11125" s="341">
        <v>1578</v>
      </c>
      <c r="B11125" s="342" t="s">
        <v>11956</v>
      </c>
      <c r="C11125" s="341" t="s">
        <v>7278</v>
      </c>
      <c r="D11125" s="343">
        <v>2.79</v>
      </c>
    </row>
    <row r="11126" spans="1:4" ht="38.25">
      <c r="A11126" s="341">
        <v>1573</v>
      </c>
      <c r="B11126" s="342" t="s">
        <v>11957</v>
      </c>
      <c r="C11126" s="341" t="s">
        <v>7278</v>
      </c>
      <c r="D11126" s="343">
        <v>0.8</v>
      </c>
    </row>
    <row r="11127" spans="1:4" ht="51">
      <c r="A11127" s="341">
        <v>1579</v>
      </c>
      <c r="B11127" s="342" t="s">
        <v>11958</v>
      </c>
      <c r="C11127" s="341" t="s">
        <v>7278</v>
      </c>
      <c r="D11127" s="343">
        <v>3.48</v>
      </c>
    </row>
    <row r="11128" spans="1:4" ht="51">
      <c r="A11128" s="341">
        <v>1580</v>
      </c>
      <c r="B11128" s="342" t="s">
        <v>11959</v>
      </c>
      <c r="C11128" s="341" t="s">
        <v>7278</v>
      </c>
      <c r="D11128" s="343">
        <v>4.29</v>
      </c>
    </row>
    <row r="11129" spans="1:4" ht="38.25">
      <c r="A11129" s="341">
        <v>7571</v>
      </c>
      <c r="B11129" s="342" t="s">
        <v>11960</v>
      </c>
      <c r="C11129" s="341" t="s">
        <v>7278</v>
      </c>
      <c r="D11129" s="343">
        <v>8.5</v>
      </c>
    </row>
    <row r="11130" spans="1:4" ht="25.5">
      <c r="A11130" s="341">
        <v>39321</v>
      </c>
      <c r="B11130" s="342" t="s">
        <v>11961</v>
      </c>
      <c r="C11130" s="341" t="s">
        <v>7278</v>
      </c>
      <c r="D11130" s="343">
        <v>6.74</v>
      </c>
    </row>
    <row r="11131" spans="1:4" ht="25.5">
      <c r="A11131" s="341">
        <v>39319</v>
      </c>
      <c r="B11131" s="342" t="s">
        <v>11962</v>
      </c>
      <c r="C11131" s="341" t="s">
        <v>7278</v>
      </c>
      <c r="D11131" s="343">
        <v>4.12</v>
      </c>
    </row>
    <row r="11132" spans="1:4" ht="25.5">
      <c r="A11132" s="341">
        <v>39320</v>
      </c>
      <c r="B11132" s="342" t="s">
        <v>11963</v>
      </c>
      <c r="C11132" s="341" t="s">
        <v>7278</v>
      </c>
      <c r="D11132" s="343">
        <v>4.92</v>
      </c>
    </row>
    <row r="11133" spans="1:4" ht="25.5">
      <c r="A11133" s="341">
        <v>1591</v>
      </c>
      <c r="B11133" s="342" t="s">
        <v>11964</v>
      </c>
      <c r="C11133" s="341" t="s">
        <v>7278</v>
      </c>
      <c r="D11133" s="343">
        <v>13.31</v>
      </c>
    </row>
    <row r="11134" spans="1:4" ht="25.5">
      <c r="A11134" s="341">
        <v>1547</v>
      </c>
      <c r="B11134" s="342" t="s">
        <v>11965</v>
      </c>
      <c r="C11134" s="341" t="s">
        <v>7278</v>
      </c>
      <c r="D11134" s="343">
        <v>69.760000000000005</v>
      </c>
    </row>
    <row r="11135" spans="1:4" ht="25.5">
      <c r="A11135" s="341">
        <v>38196</v>
      </c>
      <c r="B11135" s="342" t="s">
        <v>11966</v>
      </c>
      <c r="C11135" s="341" t="s">
        <v>7278</v>
      </c>
      <c r="D11135" s="343">
        <v>13.58</v>
      </c>
    </row>
    <row r="11136" spans="1:4" ht="25.5">
      <c r="A11136" s="341">
        <v>1543</v>
      </c>
      <c r="B11136" s="342" t="s">
        <v>11967</v>
      </c>
      <c r="C11136" s="341" t="s">
        <v>7278</v>
      </c>
      <c r="D11136" s="343">
        <v>14.44</v>
      </c>
    </row>
    <row r="11137" spans="1:4" ht="25.5">
      <c r="A11137" s="341">
        <v>1585</v>
      </c>
      <c r="B11137" s="342" t="s">
        <v>11968</v>
      </c>
      <c r="C11137" s="341" t="s">
        <v>7278</v>
      </c>
      <c r="D11137" s="343">
        <v>2.79</v>
      </c>
    </row>
    <row r="11138" spans="1:4" ht="25.5">
      <c r="A11138" s="341">
        <v>1593</v>
      </c>
      <c r="B11138" s="342" t="s">
        <v>11969</v>
      </c>
      <c r="C11138" s="341" t="s">
        <v>7278</v>
      </c>
      <c r="D11138" s="343">
        <v>14.85</v>
      </c>
    </row>
    <row r="11139" spans="1:4" ht="25.5">
      <c r="A11139" s="341">
        <v>11838</v>
      </c>
      <c r="B11139" s="342" t="s">
        <v>11970</v>
      </c>
      <c r="C11139" s="341" t="s">
        <v>7278</v>
      </c>
      <c r="D11139" s="343">
        <v>19.59</v>
      </c>
    </row>
    <row r="11140" spans="1:4" ht="25.5">
      <c r="A11140" s="341">
        <v>1594</v>
      </c>
      <c r="B11140" s="342" t="s">
        <v>11971</v>
      </c>
      <c r="C11140" s="341" t="s">
        <v>7278</v>
      </c>
      <c r="D11140" s="343">
        <v>19.8</v>
      </c>
    </row>
    <row r="11141" spans="1:4" ht="25.5">
      <c r="A11141" s="341">
        <v>1586</v>
      </c>
      <c r="B11141" s="342" t="s">
        <v>11972</v>
      </c>
      <c r="C11141" s="341" t="s">
        <v>7278</v>
      </c>
      <c r="D11141" s="343">
        <v>3.54</v>
      </c>
    </row>
    <row r="11142" spans="1:4" ht="25.5">
      <c r="A11142" s="341">
        <v>11839</v>
      </c>
      <c r="B11142" s="342" t="s">
        <v>11973</v>
      </c>
      <c r="C11142" s="341" t="s">
        <v>7278</v>
      </c>
      <c r="D11142" s="343">
        <v>28.5</v>
      </c>
    </row>
    <row r="11143" spans="1:4" ht="25.5">
      <c r="A11143" s="341">
        <v>1587</v>
      </c>
      <c r="B11143" s="342" t="s">
        <v>11974</v>
      </c>
      <c r="C11143" s="341" t="s">
        <v>7278</v>
      </c>
      <c r="D11143" s="343">
        <v>3.6</v>
      </c>
    </row>
    <row r="11144" spans="1:4" ht="25.5">
      <c r="A11144" s="341">
        <v>1545</v>
      </c>
      <c r="B11144" s="342" t="s">
        <v>11975</v>
      </c>
      <c r="C11144" s="341" t="s">
        <v>7278</v>
      </c>
      <c r="D11144" s="343">
        <v>34.21</v>
      </c>
    </row>
    <row r="11145" spans="1:4" ht="25.5">
      <c r="A11145" s="341">
        <v>1588</v>
      </c>
      <c r="B11145" s="342" t="s">
        <v>11976</v>
      </c>
      <c r="C11145" s="341" t="s">
        <v>7278</v>
      </c>
      <c r="D11145" s="343">
        <v>4.9400000000000004</v>
      </c>
    </row>
    <row r="11146" spans="1:4" ht="25.5">
      <c r="A11146" s="341">
        <v>1535</v>
      </c>
      <c r="B11146" s="342" t="s">
        <v>11977</v>
      </c>
      <c r="C11146" s="341" t="s">
        <v>7278</v>
      </c>
      <c r="D11146" s="343">
        <v>2.85</v>
      </c>
    </row>
    <row r="11147" spans="1:4" ht="25.5">
      <c r="A11147" s="341">
        <v>1589</v>
      </c>
      <c r="B11147" s="342" t="s">
        <v>11978</v>
      </c>
      <c r="C11147" s="341" t="s">
        <v>7278</v>
      </c>
      <c r="D11147" s="343">
        <v>5.0999999999999996</v>
      </c>
    </row>
    <row r="11148" spans="1:4" ht="25.5">
      <c r="A11148" s="341">
        <v>1546</v>
      </c>
      <c r="B11148" s="342" t="s">
        <v>11979</v>
      </c>
      <c r="C11148" s="341" t="s">
        <v>7278</v>
      </c>
      <c r="D11148" s="343">
        <v>57.72</v>
      </c>
    </row>
    <row r="11149" spans="1:4" ht="25.5">
      <c r="A11149" s="341">
        <v>1590</v>
      </c>
      <c r="B11149" s="342" t="s">
        <v>11980</v>
      </c>
      <c r="C11149" s="341" t="s">
        <v>7278</v>
      </c>
      <c r="D11149" s="343">
        <v>8.98</v>
      </c>
    </row>
    <row r="11150" spans="1:4" ht="38.25">
      <c r="A11150" s="341">
        <v>1542</v>
      </c>
      <c r="B11150" s="342" t="s">
        <v>11981</v>
      </c>
      <c r="C11150" s="341" t="s">
        <v>7278</v>
      </c>
      <c r="D11150" s="343">
        <v>11.89</v>
      </c>
    </row>
    <row r="11151" spans="1:4" ht="38.25">
      <c r="A11151" s="341">
        <v>38415</v>
      </c>
      <c r="B11151" s="342" t="s">
        <v>11982</v>
      </c>
      <c r="C11151" s="341" t="s">
        <v>7278</v>
      </c>
      <c r="D11151" s="343">
        <v>950.55</v>
      </c>
    </row>
    <row r="11152" spans="1:4" ht="38.25">
      <c r="A11152" s="341">
        <v>38414</v>
      </c>
      <c r="B11152" s="342" t="s">
        <v>11983</v>
      </c>
      <c r="C11152" s="341" t="s">
        <v>7278</v>
      </c>
      <c r="D11152" s="344">
        <v>1334.11</v>
      </c>
    </row>
    <row r="11153" spans="1:4">
      <c r="A11153" s="341">
        <v>38128</v>
      </c>
      <c r="B11153" s="342" t="s">
        <v>11984</v>
      </c>
      <c r="C11153" s="341" t="s">
        <v>7338</v>
      </c>
      <c r="D11153" s="343">
        <v>0.39</v>
      </c>
    </row>
    <row r="11154" spans="1:4">
      <c r="A11154" s="341">
        <v>7253</v>
      </c>
      <c r="B11154" s="342" t="s">
        <v>11985</v>
      </c>
      <c r="C11154" s="341" t="s">
        <v>7283</v>
      </c>
      <c r="D11154" s="343">
        <v>83.57</v>
      </c>
    </row>
    <row r="11155" spans="1:4" ht="25.5">
      <c r="A11155" s="341">
        <v>4806</v>
      </c>
      <c r="B11155" s="342" t="s">
        <v>11986</v>
      </c>
      <c r="C11155" s="341" t="s">
        <v>7287</v>
      </c>
      <c r="D11155" s="343">
        <v>11.93</v>
      </c>
    </row>
    <row r="11156" spans="1:4">
      <c r="A11156" s="341">
        <v>34401</v>
      </c>
      <c r="B11156" s="342" t="s">
        <v>11987</v>
      </c>
      <c r="C11156" s="341" t="s">
        <v>7278</v>
      </c>
      <c r="D11156" s="343">
        <v>1.06</v>
      </c>
    </row>
    <row r="11157" spans="1:4">
      <c r="A11157" s="341">
        <v>7258</v>
      </c>
      <c r="B11157" s="342" t="s">
        <v>11988</v>
      </c>
      <c r="C11157" s="341" t="s">
        <v>7278</v>
      </c>
      <c r="D11157" s="343">
        <v>0.33</v>
      </c>
    </row>
    <row r="11158" spans="1:4" ht="25.5">
      <c r="A11158" s="341">
        <v>7260</v>
      </c>
      <c r="B11158" s="342" t="s">
        <v>11989</v>
      </c>
      <c r="C11158" s="341" t="s">
        <v>7278</v>
      </c>
      <c r="D11158" s="343">
        <v>1.03</v>
      </c>
    </row>
    <row r="11159" spans="1:4" ht="25.5">
      <c r="A11159" s="341">
        <v>7256</v>
      </c>
      <c r="B11159" s="342" t="s">
        <v>11990</v>
      </c>
      <c r="C11159" s="341" t="s">
        <v>7278</v>
      </c>
      <c r="D11159" s="343">
        <v>0.6</v>
      </c>
    </row>
    <row r="11160" spans="1:4" ht="25.5">
      <c r="A11160" s="341">
        <v>34400</v>
      </c>
      <c r="B11160" s="342" t="s">
        <v>11991</v>
      </c>
      <c r="C11160" s="341" t="s">
        <v>7278</v>
      </c>
      <c r="D11160" s="343">
        <v>2.58</v>
      </c>
    </row>
    <row r="11161" spans="1:4" ht="25.5">
      <c r="A11161" s="341">
        <v>10617</v>
      </c>
      <c r="B11161" s="342" t="s">
        <v>11992</v>
      </c>
      <c r="C11161" s="341" t="s">
        <v>7278</v>
      </c>
      <c r="D11161" s="343">
        <v>3.61</v>
      </c>
    </row>
    <row r="11162" spans="1:4" ht="38.25">
      <c r="A11162" s="341">
        <v>7280</v>
      </c>
      <c r="B11162" s="342" t="s">
        <v>11993</v>
      </c>
      <c r="C11162" s="341" t="s">
        <v>7278</v>
      </c>
      <c r="D11162" s="343">
        <v>316.44</v>
      </c>
    </row>
    <row r="11163" spans="1:4" ht="38.25">
      <c r="A11163" s="341">
        <v>7282</v>
      </c>
      <c r="B11163" s="342" t="s">
        <v>11994</v>
      </c>
      <c r="C11163" s="341" t="s">
        <v>7278</v>
      </c>
      <c r="D11163" s="343">
        <v>595.65</v>
      </c>
    </row>
    <row r="11164" spans="1:4" ht="38.25">
      <c r="A11164" s="341">
        <v>7276</v>
      </c>
      <c r="B11164" s="342" t="s">
        <v>11995</v>
      </c>
      <c r="C11164" s="341" t="s">
        <v>7278</v>
      </c>
      <c r="D11164" s="343">
        <v>644.91</v>
      </c>
    </row>
    <row r="11165" spans="1:4" ht="38.25">
      <c r="A11165" s="341">
        <v>7277</v>
      </c>
      <c r="B11165" s="342" t="s">
        <v>11996</v>
      </c>
      <c r="C11165" s="341" t="s">
        <v>7278</v>
      </c>
      <c r="D11165" s="343">
        <v>832.61</v>
      </c>
    </row>
    <row r="11166" spans="1:4" ht="38.25">
      <c r="A11166" s="341">
        <v>7278</v>
      </c>
      <c r="B11166" s="342" t="s">
        <v>11997</v>
      </c>
      <c r="C11166" s="341" t="s">
        <v>7278</v>
      </c>
      <c r="D11166" s="344">
        <v>1067.21</v>
      </c>
    </row>
    <row r="11167" spans="1:4" ht="38.25">
      <c r="A11167" s="341">
        <v>7274</v>
      </c>
      <c r="B11167" s="342" t="s">
        <v>11998</v>
      </c>
      <c r="C11167" s="341" t="s">
        <v>7278</v>
      </c>
      <c r="D11167" s="343">
        <v>22.18</v>
      </c>
    </row>
    <row r="11168" spans="1:4" ht="25.5">
      <c r="A11168" s="341">
        <v>7275</v>
      </c>
      <c r="B11168" s="342" t="s">
        <v>11999</v>
      </c>
      <c r="C11168" s="341" t="s">
        <v>7278</v>
      </c>
      <c r="D11168" s="343">
        <v>583.62</v>
      </c>
    </row>
    <row r="11169" spans="1:4" ht="25.5">
      <c r="A11169" s="341">
        <v>7284</v>
      </c>
      <c r="B11169" s="342" t="s">
        <v>12000</v>
      </c>
      <c r="C11169" s="341" t="s">
        <v>7278</v>
      </c>
      <c r="D11169" s="344">
        <v>1797.54</v>
      </c>
    </row>
    <row r="11170" spans="1:4" ht="38.25">
      <c r="A11170" s="341">
        <v>11663</v>
      </c>
      <c r="B11170" s="342" t="s">
        <v>12001</v>
      </c>
      <c r="C11170" s="341" t="s">
        <v>7278</v>
      </c>
      <c r="D11170" s="343">
        <v>217.21</v>
      </c>
    </row>
    <row r="11171" spans="1:4" ht="38.25">
      <c r="A11171" s="341">
        <v>11665</v>
      </c>
      <c r="B11171" s="342" t="s">
        <v>12002</v>
      </c>
      <c r="C11171" s="341" t="s">
        <v>7278</v>
      </c>
      <c r="D11171" s="343">
        <v>960.46</v>
      </c>
    </row>
    <row r="11172" spans="1:4" ht="38.25">
      <c r="A11172" s="341">
        <v>11666</v>
      </c>
      <c r="B11172" s="342" t="s">
        <v>12003</v>
      </c>
      <c r="C11172" s="341" t="s">
        <v>7278</v>
      </c>
      <c r="D11172" s="343">
        <v>968.09</v>
      </c>
    </row>
    <row r="11173" spans="1:4" ht="38.25">
      <c r="A11173" s="341">
        <v>11667</v>
      </c>
      <c r="B11173" s="342" t="s">
        <v>12004</v>
      </c>
      <c r="C11173" s="341" t="s">
        <v>7278</v>
      </c>
      <c r="D11173" s="344">
        <v>1104.77</v>
      </c>
    </row>
    <row r="11174" spans="1:4" ht="38.25">
      <c r="A11174" s="341">
        <v>11668</v>
      </c>
      <c r="B11174" s="342" t="s">
        <v>12005</v>
      </c>
      <c r="C11174" s="341" t="s">
        <v>7278</v>
      </c>
      <c r="D11174" s="344">
        <v>1189.72</v>
      </c>
    </row>
    <row r="11175" spans="1:4" ht="38.25">
      <c r="A11175" s="341">
        <v>38121</v>
      </c>
      <c r="B11175" s="342" t="s">
        <v>12006</v>
      </c>
      <c r="C11175" s="341" t="s">
        <v>7340</v>
      </c>
      <c r="D11175" s="343">
        <v>8.16</v>
      </c>
    </row>
    <row r="11176" spans="1:4" ht="25.5">
      <c r="A11176" s="341">
        <v>7343</v>
      </c>
      <c r="B11176" s="342" t="s">
        <v>12007</v>
      </c>
      <c r="C11176" s="341" t="s">
        <v>7340</v>
      </c>
      <c r="D11176" s="343">
        <v>8.27</v>
      </c>
    </row>
    <row r="11177" spans="1:4" ht="25.5">
      <c r="A11177" s="341">
        <v>7287</v>
      </c>
      <c r="B11177" s="342" t="s">
        <v>12008</v>
      </c>
      <c r="C11177" s="341" t="s">
        <v>9603</v>
      </c>
      <c r="D11177" s="343">
        <v>63.68</v>
      </c>
    </row>
    <row r="11178" spans="1:4">
      <c r="A11178" s="341">
        <v>7350</v>
      </c>
      <c r="B11178" s="342" t="s">
        <v>12009</v>
      </c>
      <c r="C11178" s="341" t="s">
        <v>7340</v>
      </c>
      <c r="D11178" s="343">
        <v>19.61</v>
      </c>
    </row>
    <row r="11179" spans="1:4">
      <c r="A11179" s="341">
        <v>7348</v>
      </c>
      <c r="B11179" s="342" t="s">
        <v>12010</v>
      </c>
      <c r="C11179" s="341" t="s">
        <v>7340</v>
      </c>
      <c r="D11179" s="343">
        <v>11</v>
      </c>
    </row>
    <row r="11180" spans="1:4">
      <c r="A11180" s="341">
        <v>7347</v>
      </c>
      <c r="B11180" s="342" t="s">
        <v>12010</v>
      </c>
      <c r="C11180" s="341" t="s">
        <v>9603</v>
      </c>
      <c r="D11180" s="343">
        <v>39.6</v>
      </c>
    </row>
    <row r="11181" spans="1:4">
      <c r="A11181" s="341">
        <v>7355</v>
      </c>
      <c r="B11181" s="342" t="s">
        <v>12011</v>
      </c>
      <c r="C11181" s="341" t="s">
        <v>9603</v>
      </c>
      <c r="D11181" s="343">
        <v>59.36</v>
      </c>
    </row>
    <row r="11182" spans="1:4">
      <c r="A11182" s="341">
        <v>7356</v>
      </c>
      <c r="B11182" s="342" t="s">
        <v>12012</v>
      </c>
      <c r="C11182" s="341" t="s">
        <v>7340</v>
      </c>
      <c r="D11182" s="343">
        <v>16.489999999999998</v>
      </c>
    </row>
    <row r="11183" spans="1:4" ht="38.25">
      <c r="A11183" s="341">
        <v>7313</v>
      </c>
      <c r="B11183" s="342" t="s">
        <v>12013</v>
      </c>
      <c r="C11183" s="341" t="s">
        <v>7340</v>
      </c>
      <c r="D11183" s="343">
        <v>16.690000000000001</v>
      </c>
    </row>
    <row r="11184" spans="1:4" ht="25.5">
      <c r="A11184" s="341">
        <v>7319</v>
      </c>
      <c r="B11184" s="342" t="s">
        <v>12014</v>
      </c>
      <c r="C11184" s="341" t="s">
        <v>7340</v>
      </c>
      <c r="D11184" s="343">
        <v>9.5500000000000007</v>
      </c>
    </row>
    <row r="11185" spans="1:4" ht="25.5">
      <c r="A11185" s="341">
        <v>38119</v>
      </c>
      <c r="B11185" s="342" t="s">
        <v>12015</v>
      </c>
      <c r="C11185" s="341" t="s">
        <v>7340</v>
      </c>
      <c r="D11185" s="343">
        <v>87.76</v>
      </c>
    </row>
    <row r="11186" spans="1:4" ht="25.5">
      <c r="A11186" s="341">
        <v>7314</v>
      </c>
      <c r="B11186" s="342" t="s">
        <v>12016</v>
      </c>
      <c r="C11186" s="341" t="s">
        <v>7340</v>
      </c>
      <c r="D11186" s="343">
        <v>94.58</v>
      </c>
    </row>
    <row r="11187" spans="1:4" ht="25.5">
      <c r="A11187" s="341">
        <v>38131</v>
      </c>
      <c r="B11187" s="342" t="s">
        <v>12017</v>
      </c>
      <c r="C11187" s="341" t="s">
        <v>7340</v>
      </c>
      <c r="D11187" s="343">
        <v>88.54</v>
      </c>
    </row>
    <row r="11188" spans="1:4">
      <c r="A11188" s="341">
        <v>7304</v>
      </c>
      <c r="B11188" s="342" t="s">
        <v>12018</v>
      </c>
      <c r="C11188" s="341" t="s">
        <v>7340</v>
      </c>
      <c r="D11188" s="343">
        <v>47.53</v>
      </c>
    </row>
    <row r="11189" spans="1:4" ht="25.5">
      <c r="A11189" s="341">
        <v>7293</v>
      </c>
      <c r="B11189" s="342" t="s">
        <v>12019</v>
      </c>
      <c r="C11189" s="341" t="s">
        <v>7340</v>
      </c>
      <c r="D11189" s="343">
        <v>21.31</v>
      </c>
    </row>
    <row r="11190" spans="1:4">
      <c r="A11190" s="341">
        <v>7311</v>
      </c>
      <c r="B11190" s="342" t="s">
        <v>12020</v>
      </c>
      <c r="C11190" s="341" t="s">
        <v>7340</v>
      </c>
      <c r="D11190" s="343">
        <v>20.61</v>
      </c>
    </row>
    <row r="11191" spans="1:4">
      <c r="A11191" s="341">
        <v>7292</v>
      </c>
      <c r="B11191" s="342" t="s">
        <v>12021</v>
      </c>
      <c r="C11191" s="341" t="s">
        <v>7340</v>
      </c>
      <c r="D11191" s="343">
        <v>20.010000000000002</v>
      </c>
    </row>
    <row r="11192" spans="1:4">
      <c r="A11192" s="341">
        <v>7288</v>
      </c>
      <c r="B11192" s="342" t="s">
        <v>12022</v>
      </c>
      <c r="C11192" s="341" t="s">
        <v>7340</v>
      </c>
      <c r="D11192" s="343">
        <v>22.68</v>
      </c>
    </row>
    <row r="11193" spans="1:4">
      <c r="A11193" s="341">
        <v>35693</v>
      </c>
      <c r="B11193" s="342" t="s">
        <v>12023</v>
      </c>
      <c r="C11193" s="341" t="s">
        <v>7340</v>
      </c>
      <c r="D11193" s="343">
        <v>7.56</v>
      </c>
    </row>
    <row r="11194" spans="1:4">
      <c r="A11194" s="341">
        <v>35692</v>
      </c>
      <c r="B11194" s="342" t="s">
        <v>12024</v>
      </c>
      <c r="C11194" s="341" t="s">
        <v>7340</v>
      </c>
      <c r="D11194" s="343">
        <v>40.549999999999997</v>
      </c>
    </row>
    <row r="11195" spans="1:4">
      <c r="A11195" s="341">
        <v>7344</v>
      </c>
      <c r="B11195" s="342" t="s">
        <v>12025</v>
      </c>
      <c r="C11195" s="341" t="s">
        <v>9603</v>
      </c>
      <c r="D11195" s="343">
        <v>51.31</v>
      </c>
    </row>
    <row r="11196" spans="1:4">
      <c r="A11196" s="341">
        <v>7345</v>
      </c>
      <c r="B11196" s="342" t="s">
        <v>12026</v>
      </c>
      <c r="C11196" s="341" t="s">
        <v>7340</v>
      </c>
      <c r="D11196" s="343">
        <v>14.25</v>
      </c>
    </row>
    <row r="11197" spans="1:4">
      <c r="A11197" s="341">
        <v>35691</v>
      </c>
      <c r="B11197" s="342" t="s">
        <v>12027</v>
      </c>
      <c r="C11197" s="341" t="s">
        <v>7340</v>
      </c>
      <c r="D11197" s="343">
        <v>11.26</v>
      </c>
    </row>
    <row r="11198" spans="1:4">
      <c r="A11198" s="341">
        <v>7342</v>
      </c>
      <c r="B11198" s="342" t="s">
        <v>12028</v>
      </c>
      <c r="C11198" s="341" t="s">
        <v>7338</v>
      </c>
      <c r="D11198" s="343">
        <v>1.83</v>
      </c>
    </row>
    <row r="11199" spans="1:4" ht="25.5">
      <c r="A11199" s="341">
        <v>7306</v>
      </c>
      <c r="B11199" s="342" t="s">
        <v>12029</v>
      </c>
      <c r="C11199" s="341" t="s">
        <v>7340</v>
      </c>
      <c r="D11199" s="343">
        <v>24.44</v>
      </c>
    </row>
    <row r="11200" spans="1:4" ht="25.5">
      <c r="A11200" s="341">
        <v>154</v>
      </c>
      <c r="B11200" s="342" t="s">
        <v>12030</v>
      </c>
      <c r="C11200" s="341" t="s">
        <v>7340</v>
      </c>
      <c r="D11200" s="343">
        <v>39.83</v>
      </c>
    </row>
    <row r="11201" spans="1:4" ht="25.5">
      <c r="A11201" s="341">
        <v>7338</v>
      </c>
      <c r="B11201" s="342" t="s">
        <v>12031</v>
      </c>
      <c r="C11201" s="341" t="s">
        <v>7338</v>
      </c>
      <c r="D11201" s="343">
        <v>26.55</v>
      </c>
    </row>
    <row r="11202" spans="1:4" ht="38.25">
      <c r="A11202" s="341">
        <v>39574</v>
      </c>
      <c r="B11202" s="342" t="s">
        <v>12032</v>
      </c>
      <c r="C11202" s="341" t="s">
        <v>7278</v>
      </c>
      <c r="D11202" s="343">
        <v>3.42</v>
      </c>
    </row>
    <row r="11203" spans="1:4" ht="38.25">
      <c r="A11203" s="341">
        <v>11060</v>
      </c>
      <c r="B11203" s="342" t="s">
        <v>12033</v>
      </c>
      <c r="C11203" s="341" t="s">
        <v>7278</v>
      </c>
      <c r="D11203" s="343">
        <v>24.51</v>
      </c>
    </row>
    <row r="11204" spans="1:4" ht="25.5">
      <c r="A11204" s="341">
        <v>37401</v>
      </c>
      <c r="B11204" s="342" t="s">
        <v>12034</v>
      </c>
      <c r="C11204" s="341" t="s">
        <v>7278</v>
      </c>
      <c r="D11204" s="343">
        <v>41.32</v>
      </c>
    </row>
    <row r="11205" spans="1:4" ht="25.5">
      <c r="A11205" s="341">
        <v>7525</v>
      </c>
      <c r="B11205" s="342" t="s">
        <v>12035</v>
      </c>
      <c r="C11205" s="341" t="s">
        <v>7278</v>
      </c>
      <c r="D11205" s="343">
        <v>26.09</v>
      </c>
    </row>
    <row r="11206" spans="1:4" ht="25.5">
      <c r="A11206" s="341">
        <v>7524</v>
      </c>
      <c r="B11206" s="342" t="s">
        <v>12036</v>
      </c>
      <c r="C11206" s="341" t="s">
        <v>7278</v>
      </c>
      <c r="D11206" s="343">
        <v>24.59</v>
      </c>
    </row>
    <row r="11207" spans="1:4" ht="25.5">
      <c r="A11207" s="341">
        <v>38105</v>
      </c>
      <c r="B11207" s="342" t="s">
        <v>12037</v>
      </c>
      <c r="C11207" s="341" t="s">
        <v>7278</v>
      </c>
      <c r="D11207" s="343">
        <v>6.31</v>
      </c>
    </row>
    <row r="11208" spans="1:4" ht="38.25">
      <c r="A11208" s="341">
        <v>38084</v>
      </c>
      <c r="B11208" s="342" t="s">
        <v>12038</v>
      </c>
      <c r="C11208" s="341" t="s">
        <v>7278</v>
      </c>
      <c r="D11208" s="343">
        <v>8.9700000000000006</v>
      </c>
    </row>
    <row r="11209" spans="1:4">
      <c r="A11209" s="341">
        <v>38103</v>
      </c>
      <c r="B11209" s="342" t="s">
        <v>12039</v>
      </c>
      <c r="C11209" s="341" t="s">
        <v>7278</v>
      </c>
      <c r="D11209" s="343">
        <v>9.48</v>
      </c>
    </row>
    <row r="11210" spans="1:4" ht="38.25">
      <c r="A11210" s="341">
        <v>38082</v>
      </c>
      <c r="B11210" s="342" t="s">
        <v>12040</v>
      </c>
      <c r="C11210" s="341" t="s">
        <v>7278</v>
      </c>
      <c r="D11210" s="343">
        <v>11.68</v>
      </c>
    </row>
    <row r="11211" spans="1:4">
      <c r="A11211" s="341">
        <v>38104</v>
      </c>
      <c r="B11211" s="342" t="s">
        <v>12041</v>
      </c>
      <c r="C11211" s="341" t="s">
        <v>7278</v>
      </c>
      <c r="D11211" s="343">
        <v>18.57</v>
      </c>
    </row>
    <row r="11212" spans="1:4" ht="38.25">
      <c r="A11212" s="341">
        <v>38083</v>
      </c>
      <c r="B11212" s="342" t="s">
        <v>12042</v>
      </c>
      <c r="C11212" s="341" t="s">
        <v>7278</v>
      </c>
      <c r="D11212" s="343">
        <v>20.61</v>
      </c>
    </row>
    <row r="11213" spans="1:4">
      <c r="A11213" s="341">
        <v>38101</v>
      </c>
      <c r="B11213" s="342" t="s">
        <v>12043</v>
      </c>
      <c r="C11213" s="341" t="s">
        <v>7278</v>
      </c>
      <c r="D11213" s="343">
        <v>4.51</v>
      </c>
    </row>
    <row r="11214" spans="1:4" ht="38.25">
      <c r="A11214" s="341">
        <v>7528</v>
      </c>
      <c r="B11214" s="342" t="s">
        <v>12044</v>
      </c>
      <c r="C11214" s="341" t="s">
        <v>7278</v>
      </c>
      <c r="D11214" s="343">
        <v>5.3</v>
      </c>
    </row>
    <row r="11215" spans="1:4" ht="25.5">
      <c r="A11215" s="341">
        <v>12147</v>
      </c>
      <c r="B11215" s="342" t="s">
        <v>12045</v>
      </c>
      <c r="C11215" s="341" t="s">
        <v>7278</v>
      </c>
      <c r="D11215" s="343">
        <v>8.08</v>
      </c>
    </row>
    <row r="11216" spans="1:4" ht="38.25">
      <c r="A11216" s="341">
        <v>38075</v>
      </c>
      <c r="B11216" s="342" t="s">
        <v>12046</v>
      </c>
      <c r="C11216" s="341" t="s">
        <v>7278</v>
      </c>
      <c r="D11216" s="343">
        <v>9.18</v>
      </c>
    </row>
    <row r="11217" spans="1:4">
      <c r="A11217" s="341">
        <v>38102</v>
      </c>
      <c r="B11217" s="342" t="s">
        <v>12047</v>
      </c>
      <c r="C11217" s="341" t="s">
        <v>7278</v>
      </c>
      <c r="D11217" s="343">
        <v>5.77</v>
      </c>
    </row>
    <row r="11218" spans="1:4" ht="38.25">
      <c r="A11218" s="341">
        <v>38076</v>
      </c>
      <c r="B11218" s="342" t="s">
        <v>12048</v>
      </c>
      <c r="C11218" s="341" t="s">
        <v>7278</v>
      </c>
      <c r="D11218" s="343">
        <v>10.29</v>
      </c>
    </row>
    <row r="11219" spans="1:4">
      <c r="A11219" s="341">
        <v>7592</v>
      </c>
      <c r="B11219" s="342" t="s">
        <v>12049</v>
      </c>
      <c r="C11219" s="341" t="s">
        <v>7275</v>
      </c>
      <c r="D11219" s="343">
        <v>12.68</v>
      </c>
    </row>
    <row r="11220" spans="1:4">
      <c r="A11220" s="341">
        <v>40820</v>
      </c>
      <c r="B11220" s="342" t="s">
        <v>12050</v>
      </c>
      <c r="C11220" s="341" t="s">
        <v>7466</v>
      </c>
      <c r="D11220" s="344">
        <v>2344.56</v>
      </c>
    </row>
    <row r="11221" spans="1:4" ht="25.5">
      <c r="A11221" s="341">
        <v>11762</v>
      </c>
      <c r="B11221" s="342" t="s">
        <v>12051</v>
      </c>
      <c r="C11221" s="341" t="s">
        <v>7278</v>
      </c>
      <c r="D11221" s="343">
        <v>55.72</v>
      </c>
    </row>
    <row r="11222" spans="1:4" ht="38.25">
      <c r="A11222" s="341">
        <v>13418</v>
      </c>
      <c r="B11222" s="342" t="s">
        <v>12052</v>
      </c>
      <c r="C11222" s="341" t="s">
        <v>7278</v>
      </c>
      <c r="D11222" s="343">
        <v>15.57</v>
      </c>
    </row>
    <row r="11223" spans="1:4" ht="25.5">
      <c r="A11223" s="341">
        <v>13984</v>
      </c>
      <c r="B11223" s="342" t="s">
        <v>12053</v>
      </c>
      <c r="C11223" s="341" t="s">
        <v>7278</v>
      </c>
      <c r="D11223" s="343">
        <v>38.94</v>
      </c>
    </row>
    <row r="11224" spans="1:4" ht="38.25">
      <c r="A11224" s="341">
        <v>11772</v>
      </c>
      <c r="B11224" s="342" t="s">
        <v>12054</v>
      </c>
      <c r="C11224" s="341" t="s">
        <v>7278</v>
      </c>
      <c r="D11224" s="343">
        <v>94.56</v>
      </c>
    </row>
    <row r="11225" spans="1:4" ht="25.5">
      <c r="A11225" s="341">
        <v>36795</v>
      </c>
      <c r="B11225" s="342" t="s">
        <v>12055</v>
      </c>
      <c r="C11225" s="341" t="s">
        <v>7278</v>
      </c>
      <c r="D11225" s="343">
        <v>608.22</v>
      </c>
    </row>
    <row r="11226" spans="1:4" ht="25.5">
      <c r="A11226" s="341">
        <v>36796</v>
      </c>
      <c r="B11226" s="342" t="s">
        <v>12056</v>
      </c>
      <c r="C11226" s="341" t="s">
        <v>7278</v>
      </c>
      <c r="D11226" s="343">
        <v>156.6</v>
      </c>
    </row>
    <row r="11227" spans="1:4" ht="25.5">
      <c r="A11227" s="341">
        <v>36791</v>
      </c>
      <c r="B11227" s="342" t="s">
        <v>12057</v>
      </c>
      <c r="C11227" s="341" t="s">
        <v>7278</v>
      </c>
      <c r="D11227" s="343">
        <v>80.680000000000007</v>
      </c>
    </row>
    <row r="11228" spans="1:4" ht="38.25">
      <c r="A11228" s="341">
        <v>13415</v>
      </c>
      <c r="B11228" s="342" t="s">
        <v>12058</v>
      </c>
      <c r="C11228" s="341" t="s">
        <v>7278</v>
      </c>
      <c r="D11228" s="343">
        <v>46.9</v>
      </c>
    </row>
    <row r="11229" spans="1:4" ht="25.5">
      <c r="A11229" s="341">
        <v>36792</v>
      </c>
      <c r="B11229" s="342" t="s">
        <v>12059</v>
      </c>
      <c r="C11229" s="341" t="s">
        <v>7278</v>
      </c>
      <c r="D11229" s="343">
        <v>154.22999999999999</v>
      </c>
    </row>
    <row r="11230" spans="1:4" ht="38.25">
      <c r="A11230" s="341">
        <v>11773</v>
      </c>
      <c r="B11230" s="342" t="s">
        <v>12060</v>
      </c>
      <c r="C11230" s="341" t="s">
        <v>7278</v>
      </c>
      <c r="D11230" s="343">
        <v>90.28</v>
      </c>
    </row>
    <row r="11231" spans="1:4" ht="25.5">
      <c r="A11231" s="341">
        <v>11775</v>
      </c>
      <c r="B11231" s="342" t="s">
        <v>12061</v>
      </c>
      <c r="C11231" s="341" t="s">
        <v>7278</v>
      </c>
      <c r="D11231" s="343">
        <v>94.27</v>
      </c>
    </row>
    <row r="11232" spans="1:4" ht="38.25">
      <c r="A11232" s="341">
        <v>13983</v>
      </c>
      <c r="B11232" s="342" t="s">
        <v>12062</v>
      </c>
      <c r="C11232" s="341" t="s">
        <v>7278</v>
      </c>
      <c r="D11232" s="343">
        <v>48.16</v>
      </c>
    </row>
    <row r="11233" spans="1:4" ht="38.25">
      <c r="A11233" s="341">
        <v>13416</v>
      </c>
      <c r="B11233" s="342" t="s">
        <v>12063</v>
      </c>
      <c r="C11233" s="341" t="s">
        <v>7278</v>
      </c>
      <c r="D11233" s="343">
        <v>38.840000000000003</v>
      </c>
    </row>
    <row r="11234" spans="1:4" ht="25.5">
      <c r="A11234" s="341">
        <v>13417</v>
      </c>
      <c r="B11234" s="342" t="s">
        <v>12064</v>
      </c>
      <c r="C11234" s="341" t="s">
        <v>7278</v>
      </c>
      <c r="D11234" s="343">
        <v>34.26</v>
      </c>
    </row>
    <row r="11235" spans="1:4" ht="25.5">
      <c r="A11235" s="341">
        <v>7604</v>
      </c>
      <c r="B11235" s="342" t="s">
        <v>12065</v>
      </c>
      <c r="C11235" s="341" t="s">
        <v>7278</v>
      </c>
      <c r="D11235" s="343">
        <v>14.83</v>
      </c>
    </row>
    <row r="11236" spans="1:4" ht="25.5">
      <c r="A11236" s="341">
        <v>11777</v>
      </c>
      <c r="B11236" s="342" t="s">
        <v>12066</v>
      </c>
      <c r="C11236" s="341" t="s">
        <v>7278</v>
      </c>
      <c r="D11236" s="343">
        <v>112.97</v>
      </c>
    </row>
    <row r="11237" spans="1:4" ht="38.25">
      <c r="A11237" s="341">
        <v>7602</v>
      </c>
      <c r="B11237" s="342" t="s">
        <v>12067</v>
      </c>
      <c r="C11237" s="341" t="s">
        <v>7278</v>
      </c>
      <c r="D11237" s="343">
        <v>14.71</v>
      </c>
    </row>
    <row r="11238" spans="1:4" ht="38.25">
      <c r="A11238" s="341">
        <v>7603</v>
      </c>
      <c r="B11238" s="342" t="s">
        <v>12068</v>
      </c>
      <c r="C11238" s="341" t="s">
        <v>7278</v>
      </c>
      <c r="D11238" s="343">
        <v>14.26</v>
      </c>
    </row>
    <row r="11239" spans="1:4" ht="38.25">
      <c r="A11239" s="341">
        <v>11763</v>
      </c>
      <c r="B11239" s="342" t="s">
        <v>12069</v>
      </c>
      <c r="C11239" s="341" t="s">
        <v>7278</v>
      </c>
      <c r="D11239" s="343">
        <v>53.33</v>
      </c>
    </row>
    <row r="11240" spans="1:4" ht="38.25">
      <c r="A11240" s="341">
        <v>11764</v>
      </c>
      <c r="B11240" s="342" t="s">
        <v>12070</v>
      </c>
      <c r="C11240" s="341" t="s">
        <v>7278</v>
      </c>
      <c r="D11240" s="343">
        <v>56.97</v>
      </c>
    </row>
    <row r="11241" spans="1:4" ht="38.25">
      <c r="A11241" s="341">
        <v>11826</v>
      </c>
      <c r="B11241" s="342" t="s">
        <v>12071</v>
      </c>
      <c r="C11241" s="341" t="s">
        <v>7278</v>
      </c>
      <c r="D11241" s="343">
        <v>22.72</v>
      </c>
    </row>
    <row r="11242" spans="1:4" ht="38.25">
      <c r="A11242" s="341">
        <v>11829</v>
      </c>
      <c r="B11242" s="342" t="s">
        <v>12072</v>
      </c>
      <c r="C11242" s="341" t="s">
        <v>7278</v>
      </c>
      <c r="D11242" s="343">
        <v>13.65</v>
      </c>
    </row>
    <row r="11243" spans="1:4" ht="38.25">
      <c r="A11243" s="341">
        <v>11825</v>
      </c>
      <c r="B11243" s="342" t="s">
        <v>12073</v>
      </c>
      <c r="C11243" s="341" t="s">
        <v>7278</v>
      </c>
      <c r="D11243" s="343">
        <v>23.41</v>
      </c>
    </row>
    <row r="11244" spans="1:4" ht="38.25">
      <c r="A11244" s="341">
        <v>11767</v>
      </c>
      <c r="B11244" s="342" t="s">
        <v>12074</v>
      </c>
      <c r="C11244" s="341" t="s">
        <v>7278</v>
      </c>
      <c r="D11244" s="343">
        <v>94.56</v>
      </c>
    </row>
    <row r="11245" spans="1:4" ht="38.25">
      <c r="A11245" s="341">
        <v>7606</v>
      </c>
      <c r="B11245" s="342" t="s">
        <v>12075</v>
      </c>
      <c r="C11245" s="341" t="s">
        <v>7278</v>
      </c>
      <c r="D11245" s="343">
        <v>23.67</v>
      </c>
    </row>
    <row r="11246" spans="1:4" ht="38.25">
      <c r="A11246" s="341">
        <v>11830</v>
      </c>
      <c r="B11246" s="342" t="s">
        <v>12076</v>
      </c>
      <c r="C11246" s="341" t="s">
        <v>7278</v>
      </c>
      <c r="D11246" s="343">
        <v>14.75</v>
      </c>
    </row>
    <row r="11247" spans="1:4" ht="38.25">
      <c r="A11247" s="341">
        <v>11766</v>
      </c>
      <c r="B11247" s="342" t="s">
        <v>12077</v>
      </c>
      <c r="C11247" s="341" t="s">
        <v>7278</v>
      </c>
      <c r="D11247" s="343">
        <v>26.22</v>
      </c>
    </row>
    <row r="11248" spans="1:4" ht="38.25">
      <c r="A11248" s="341">
        <v>11765</v>
      </c>
      <c r="B11248" s="342" t="s">
        <v>12078</v>
      </c>
      <c r="C11248" s="341" t="s">
        <v>7278</v>
      </c>
      <c r="D11248" s="343">
        <v>35.71</v>
      </c>
    </row>
    <row r="11249" spans="1:4" ht="38.25">
      <c r="A11249" s="341">
        <v>11824</v>
      </c>
      <c r="B11249" s="342" t="s">
        <v>12079</v>
      </c>
      <c r="C11249" s="341" t="s">
        <v>7278</v>
      </c>
      <c r="D11249" s="343">
        <v>27.05</v>
      </c>
    </row>
    <row r="11250" spans="1:4" ht="51">
      <c r="A11250" s="341">
        <v>40329</v>
      </c>
      <c r="B11250" s="342" t="s">
        <v>12080</v>
      </c>
      <c r="C11250" s="341" t="s">
        <v>7278</v>
      </c>
      <c r="D11250" s="343">
        <v>11.45</v>
      </c>
    </row>
    <row r="11251" spans="1:4" ht="38.25">
      <c r="A11251" s="341">
        <v>11823</v>
      </c>
      <c r="B11251" s="342" t="s">
        <v>12081</v>
      </c>
      <c r="C11251" s="341" t="s">
        <v>7278</v>
      </c>
      <c r="D11251" s="343">
        <v>4.9400000000000004</v>
      </c>
    </row>
    <row r="11252" spans="1:4" ht="25.5">
      <c r="A11252" s="341">
        <v>11822</v>
      </c>
      <c r="B11252" s="342" t="s">
        <v>12082</v>
      </c>
      <c r="C11252" s="341" t="s">
        <v>7278</v>
      </c>
      <c r="D11252" s="343">
        <v>29.55</v>
      </c>
    </row>
    <row r="11253" spans="1:4" ht="25.5">
      <c r="A11253" s="341">
        <v>11831</v>
      </c>
      <c r="B11253" s="342" t="s">
        <v>12083</v>
      </c>
      <c r="C11253" s="341" t="s">
        <v>7278</v>
      </c>
      <c r="D11253" s="343">
        <v>22.44</v>
      </c>
    </row>
    <row r="11254" spans="1:4" ht="51">
      <c r="A11254" s="341">
        <v>7613</v>
      </c>
      <c r="B11254" s="342" t="s">
        <v>12084</v>
      </c>
      <c r="C11254" s="341" t="s">
        <v>7278</v>
      </c>
      <c r="D11254" s="344">
        <v>51160.62</v>
      </c>
    </row>
    <row r="11255" spans="1:4" ht="51">
      <c r="A11255" s="341">
        <v>7619</v>
      </c>
      <c r="B11255" s="342" t="s">
        <v>12085</v>
      </c>
      <c r="C11255" s="341" t="s">
        <v>7278</v>
      </c>
      <c r="D11255" s="344">
        <v>7908.33</v>
      </c>
    </row>
    <row r="11256" spans="1:4" ht="51">
      <c r="A11256" s="341">
        <v>12076</v>
      </c>
      <c r="B11256" s="342" t="s">
        <v>12086</v>
      </c>
      <c r="C11256" s="341" t="s">
        <v>7278</v>
      </c>
      <c r="D11256" s="344">
        <v>3627.67</v>
      </c>
    </row>
    <row r="11257" spans="1:4" ht="51">
      <c r="A11257" s="341">
        <v>7614</v>
      </c>
      <c r="B11257" s="342" t="s">
        <v>12087</v>
      </c>
      <c r="C11257" s="341" t="s">
        <v>7278</v>
      </c>
      <c r="D11257" s="344">
        <v>9974.2900000000009</v>
      </c>
    </row>
    <row r="11258" spans="1:4" ht="51">
      <c r="A11258" s="341">
        <v>7618</v>
      </c>
      <c r="B11258" s="342" t="s">
        <v>12088</v>
      </c>
      <c r="C11258" s="341" t="s">
        <v>7278</v>
      </c>
      <c r="D11258" s="344">
        <v>64690.82</v>
      </c>
    </row>
    <row r="11259" spans="1:4" ht="51">
      <c r="A11259" s="341">
        <v>7620</v>
      </c>
      <c r="B11259" s="342" t="s">
        <v>12089</v>
      </c>
      <c r="C11259" s="341" t="s">
        <v>7278</v>
      </c>
      <c r="D11259" s="344">
        <v>13992.47</v>
      </c>
    </row>
    <row r="11260" spans="1:4" ht="51">
      <c r="A11260" s="341">
        <v>7610</v>
      </c>
      <c r="B11260" s="342" t="s">
        <v>12090</v>
      </c>
      <c r="C11260" s="341" t="s">
        <v>7278</v>
      </c>
      <c r="D11260" s="344">
        <v>4430.9399999999996</v>
      </c>
    </row>
    <row r="11261" spans="1:4" ht="51">
      <c r="A11261" s="341">
        <v>7615</v>
      </c>
      <c r="B11261" s="342" t="s">
        <v>12091</v>
      </c>
      <c r="C11261" s="341" t="s">
        <v>7278</v>
      </c>
      <c r="D11261" s="344">
        <v>16324.54</v>
      </c>
    </row>
    <row r="11262" spans="1:4" ht="51">
      <c r="A11262" s="341">
        <v>7617</v>
      </c>
      <c r="B11262" s="342" t="s">
        <v>12092</v>
      </c>
      <c r="C11262" s="341" t="s">
        <v>7278</v>
      </c>
      <c r="D11262" s="344">
        <v>4949.18</v>
      </c>
    </row>
    <row r="11263" spans="1:4" ht="51">
      <c r="A11263" s="341">
        <v>7616</v>
      </c>
      <c r="B11263" s="342" t="s">
        <v>12093</v>
      </c>
      <c r="C11263" s="341" t="s">
        <v>7278</v>
      </c>
      <c r="D11263" s="344">
        <v>26639.07</v>
      </c>
    </row>
    <row r="11264" spans="1:4" ht="51">
      <c r="A11264" s="341">
        <v>7611</v>
      </c>
      <c r="B11264" s="342" t="s">
        <v>12094</v>
      </c>
      <c r="C11264" s="341" t="s">
        <v>7278</v>
      </c>
      <c r="D11264" s="344">
        <v>6400.26</v>
      </c>
    </row>
    <row r="11265" spans="1:4" ht="51">
      <c r="A11265" s="341">
        <v>7612</v>
      </c>
      <c r="B11265" s="342" t="s">
        <v>12095</v>
      </c>
      <c r="C11265" s="341" t="s">
        <v>7278</v>
      </c>
      <c r="D11265" s="344">
        <v>36540.04</v>
      </c>
    </row>
    <row r="11266" spans="1:4" ht="25.5">
      <c r="A11266" s="341">
        <v>37371</v>
      </c>
      <c r="B11266" s="342" t="s">
        <v>12096</v>
      </c>
      <c r="C11266" s="341" t="s">
        <v>7275</v>
      </c>
      <c r="D11266" s="343">
        <v>0.6</v>
      </c>
    </row>
    <row r="11267" spans="1:4" ht="25.5">
      <c r="A11267" s="341">
        <v>40861</v>
      </c>
      <c r="B11267" s="342" t="s">
        <v>12097</v>
      </c>
      <c r="C11267" s="341" t="s">
        <v>7466</v>
      </c>
      <c r="D11267" s="343">
        <v>113.44</v>
      </c>
    </row>
    <row r="11268" spans="1:4" ht="38.25">
      <c r="A11268" s="341">
        <v>36510</v>
      </c>
      <c r="B11268" s="342" t="s">
        <v>12098</v>
      </c>
      <c r="C11268" s="341" t="s">
        <v>7278</v>
      </c>
      <c r="D11268" s="344">
        <v>536697.22</v>
      </c>
    </row>
    <row r="11269" spans="1:4" ht="51">
      <c r="A11269" s="341">
        <v>25020</v>
      </c>
      <c r="B11269" s="342" t="s">
        <v>12099</v>
      </c>
      <c r="C11269" s="341" t="s">
        <v>7278</v>
      </c>
      <c r="D11269" s="344">
        <v>2211003.7400000002</v>
      </c>
    </row>
    <row r="11270" spans="1:4" ht="38.25">
      <c r="A11270" s="341">
        <v>7622</v>
      </c>
      <c r="B11270" s="342" t="s">
        <v>12100</v>
      </c>
      <c r="C11270" s="341" t="s">
        <v>7278</v>
      </c>
      <c r="D11270" s="344">
        <v>520674.75</v>
      </c>
    </row>
    <row r="11271" spans="1:4" ht="51">
      <c r="A11271" s="341">
        <v>7624</v>
      </c>
      <c r="B11271" s="342" t="s">
        <v>12101</v>
      </c>
      <c r="C11271" s="341" t="s">
        <v>7278</v>
      </c>
      <c r="D11271" s="344">
        <v>675000</v>
      </c>
    </row>
    <row r="11272" spans="1:4" ht="38.25">
      <c r="A11272" s="341">
        <v>7625</v>
      </c>
      <c r="B11272" s="342" t="s">
        <v>12102</v>
      </c>
      <c r="C11272" s="341" t="s">
        <v>7278</v>
      </c>
      <c r="D11272" s="344">
        <v>670871.49</v>
      </c>
    </row>
    <row r="11273" spans="1:4" ht="38.25">
      <c r="A11273" s="341">
        <v>7623</v>
      </c>
      <c r="B11273" s="342" t="s">
        <v>12103</v>
      </c>
      <c r="C11273" s="341" t="s">
        <v>7278</v>
      </c>
      <c r="D11273" s="344">
        <v>2211003.7400000002</v>
      </c>
    </row>
    <row r="11274" spans="1:4" ht="51">
      <c r="A11274" s="341">
        <v>36508</v>
      </c>
      <c r="B11274" s="342" t="s">
        <v>12104</v>
      </c>
      <c r="C11274" s="341" t="s">
        <v>7278</v>
      </c>
      <c r="D11274" s="344">
        <v>994376.11</v>
      </c>
    </row>
    <row r="11275" spans="1:4" ht="38.25">
      <c r="A11275" s="341">
        <v>36509</v>
      </c>
      <c r="B11275" s="342" t="s">
        <v>12105</v>
      </c>
      <c r="C11275" s="341" t="s">
        <v>7278</v>
      </c>
      <c r="D11275" s="344">
        <v>544954.09</v>
      </c>
    </row>
    <row r="11276" spans="1:4" ht="25.5">
      <c r="A11276" s="341">
        <v>13238</v>
      </c>
      <c r="B11276" s="342" t="s">
        <v>12106</v>
      </c>
      <c r="C11276" s="341" t="s">
        <v>7278</v>
      </c>
      <c r="D11276" s="344">
        <v>158677.54999999999</v>
      </c>
    </row>
    <row r="11277" spans="1:4" ht="25.5">
      <c r="A11277" s="341">
        <v>36511</v>
      </c>
      <c r="B11277" s="342" t="s">
        <v>12107</v>
      </c>
      <c r="C11277" s="341" t="s">
        <v>7278</v>
      </c>
      <c r="D11277" s="344">
        <v>183864.47</v>
      </c>
    </row>
    <row r="11278" spans="1:4" ht="25.5">
      <c r="A11278" s="341">
        <v>36515</v>
      </c>
      <c r="B11278" s="342" t="s">
        <v>12108</v>
      </c>
      <c r="C11278" s="341" t="s">
        <v>7278</v>
      </c>
      <c r="D11278" s="344">
        <v>54151.86</v>
      </c>
    </row>
    <row r="11279" spans="1:4" ht="25.5">
      <c r="A11279" s="341">
        <v>10598</v>
      </c>
      <c r="B11279" s="342" t="s">
        <v>12109</v>
      </c>
      <c r="C11279" s="341" t="s">
        <v>7278</v>
      </c>
      <c r="D11279" s="344">
        <v>87815.42</v>
      </c>
    </row>
    <row r="11280" spans="1:4" ht="25.5">
      <c r="A11280" s="341">
        <v>7640</v>
      </c>
      <c r="B11280" s="342" t="s">
        <v>12110</v>
      </c>
      <c r="C11280" s="341" t="s">
        <v>7278</v>
      </c>
      <c r="D11280" s="344">
        <v>134750</v>
      </c>
    </row>
    <row r="11281" spans="1:4" ht="25.5">
      <c r="A11281" s="341">
        <v>36513</v>
      </c>
      <c r="B11281" s="342" t="s">
        <v>12111</v>
      </c>
      <c r="C11281" s="341" t="s">
        <v>7278</v>
      </c>
      <c r="D11281" s="344">
        <v>129807.06</v>
      </c>
    </row>
    <row r="11282" spans="1:4" ht="25.5">
      <c r="A11282" s="341">
        <v>36514</v>
      </c>
      <c r="B11282" s="342" t="s">
        <v>12112</v>
      </c>
      <c r="C11282" s="341" t="s">
        <v>7278</v>
      </c>
      <c r="D11282" s="344">
        <v>144824.75</v>
      </c>
    </row>
    <row r="11283" spans="1:4" ht="38.25">
      <c r="A11283" s="341">
        <v>36149</v>
      </c>
      <c r="B11283" s="342" t="s">
        <v>12113</v>
      </c>
      <c r="C11283" s="341" t="s">
        <v>7278</v>
      </c>
      <c r="D11283" s="343">
        <v>162.38</v>
      </c>
    </row>
    <row r="11284" spans="1:4" ht="25.5">
      <c r="A11284" s="341">
        <v>11581</v>
      </c>
      <c r="B11284" s="342" t="s">
        <v>12114</v>
      </c>
      <c r="C11284" s="341" t="s">
        <v>7287</v>
      </c>
      <c r="D11284" s="343">
        <v>23.78</v>
      </c>
    </row>
    <row r="11285" spans="1:4" ht="25.5">
      <c r="A11285" s="341">
        <v>11580</v>
      </c>
      <c r="B11285" s="342" t="s">
        <v>12115</v>
      </c>
      <c r="C11285" s="341" t="s">
        <v>7287</v>
      </c>
      <c r="D11285" s="343">
        <v>10.83</v>
      </c>
    </row>
    <row r="11286" spans="1:4" ht="38.25">
      <c r="A11286" s="341">
        <v>38177</v>
      </c>
      <c r="B11286" s="342" t="s">
        <v>12116</v>
      </c>
      <c r="C11286" s="341" t="s">
        <v>7278</v>
      </c>
      <c r="D11286" s="343">
        <v>7.35</v>
      </c>
    </row>
    <row r="11287" spans="1:4">
      <c r="A11287" s="341">
        <v>10743</v>
      </c>
      <c r="B11287" s="342" t="s">
        <v>12117</v>
      </c>
      <c r="C11287" s="341" t="s">
        <v>7278</v>
      </c>
      <c r="D11287" s="343">
        <v>557.48</v>
      </c>
    </row>
    <row r="11288" spans="1:4" ht="51">
      <c r="A11288" s="341">
        <v>39848</v>
      </c>
      <c r="B11288" s="342" t="s">
        <v>12118</v>
      </c>
      <c r="C11288" s="341" t="s">
        <v>7287</v>
      </c>
      <c r="D11288" s="343">
        <v>1.2</v>
      </c>
    </row>
    <row r="11289" spans="1:4" ht="25.5">
      <c r="A11289" s="341">
        <v>20999</v>
      </c>
      <c r="B11289" s="342" t="s">
        <v>12119</v>
      </c>
      <c r="C11289" s="341" t="s">
        <v>7287</v>
      </c>
      <c r="D11289" s="343">
        <v>6.41</v>
      </c>
    </row>
    <row r="11290" spans="1:4" ht="25.5">
      <c r="A11290" s="341">
        <v>21001</v>
      </c>
      <c r="B11290" s="342" t="s">
        <v>12120</v>
      </c>
      <c r="C11290" s="341" t="s">
        <v>7287</v>
      </c>
      <c r="D11290" s="343">
        <v>11.96</v>
      </c>
    </row>
    <row r="11291" spans="1:4" ht="25.5">
      <c r="A11291" s="341">
        <v>21003</v>
      </c>
      <c r="B11291" s="342" t="s">
        <v>12121</v>
      </c>
      <c r="C11291" s="341" t="s">
        <v>7287</v>
      </c>
      <c r="D11291" s="343">
        <v>19.649999999999999</v>
      </c>
    </row>
    <row r="11292" spans="1:4" ht="25.5">
      <c r="A11292" s="341">
        <v>21006</v>
      </c>
      <c r="B11292" s="342" t="s">
        <v>12122</v>
      </c>
      <c r="C11292" s="341" t="s">
        <v>7287</v>
      </c>
      <c r="D11292" s="343">
        <v>41.71</v>
      </c>
    </row>
    <row r="11293" spans="1:4" ht="25.5">
      <c r="A11293" s="341">
        <v>21019</v>
      </c>
      <c r="B11293" s="342" t="s">
        <v>12123</v>
      </c>
      <c r="C11293" s="341" t="s">
        <v>7287</v>
      </c>
      <c r="D11293" s="343">
        <v>14.5</v>
      </c>
    </row>
    <row r="11294" spans="1:4" ht="25.5">
      <c r="A11294" s="341">
        <v>21021</v>
      </c>
      <c r="B11294" s="342" t="s">
        <v>12124</v>
      </c>
      <c r="C11294" s="341" t="s">
        <v>7287</v>
      </c>
      <c r="D11294" s="343">
        <v>22.92</v>
      </c>
    </row>
    <row r="11295" spans="1:4" ht="25.5">
      <c r="A11295" s="341">
        <v>21024</v>
      </c>
      <c r="B11295" s="342" t="s">
        <v>12125</v>
      </c>
      <c r="C11295" s="341" t="s">
        <v>7287</v>
      </c>
      <c r="D11295" s="343">
        <v>49.1</v>
      </c>
    </row>
    <row r="11296" spans="1:4" ht="25.5">
      <c r="A11296" s="341">
        <v>40624</v>
      </c>
      <c r="B11296" s="342" t="s">
        <v>12126</v>
      </c>
      <c r="C11296" s="341" t="s">
        <v>7287</v>
      </c>
      <c r="D11296" s="343">
        <v>39.47</v>
      </c>
    </row>
    <row r="11297" spans="1:4" ht="25.5">
      <c r="A11297" s="341">
        <v>13127</v>
      </c>
      <c r="B11297" s="342" t="s">
        <v>12127</v>
      </c>
      <c r="C11297" s="341" t="s">
        <v>7287</v>
      </c>
      <c r="D11297" s="343">
        <v>17.600000000000001</v>
      </c>
    </row>
    <row r="11298" spans="1:4" ht="25.5">
      <c r="A11298" s="341">
        <v>13137</v>
      </c>
      <c r="B11298" s="342" t="s">
        <v>12128</v>
      </c>
      <c r="C11298" s="341" t="s">
        <v>7287</v>
      </c>
      <c r="D11298" s="343">
        <v>23.36</v>
      </c>
    </row>
    <row r="11299" spans="1:4" ht="25.5">
      <c r="A11299" s="341">
        <v>20989</v>
      </c>
      <c r="B11299" s="342" t="s">
        <v>12129</v>
      </c>
      <c r="C11299" s="341" t="s">
        <v>7287</v>
      </c>
      <c r="D11299" s="343">
        <v>837.05</v>
      </c>
    </row>
    <row r="11300" spans="1:4" ht="25.5">
      <c r="A11300" s="341">
        <v>21147</v>
      </c>
      <c r="B11300" s="342" t="s">
        <v>12130</v>
      </c>
      <c r="C11300" s="341" t="s">
        <v>7287</v>
      </c>
      <c r="D11300" s="343">
        <v>78.48</v>
      </c>
    </row>
    <row r="11301" spans="1:4" ht="25.5">
      <c r="A11301" s="341">
        <v>21148</v>
      </c>
      <c r="B11301" s="342" t="s">
        <v>12131</v>
      </c>
      <c r="C11301" s="341" t="s">
        <v>7287</v>
      </c>
      <c r="D11301" s="343">
        <v>48.44</v>
      </c>
    </row>
    <row r="11302" spans="1:4" ht="25.5">
      <c r="A11302" s="341">
        <v>20984</v>
      </c>
      <c r="B11302" s="342" t="s">
        <v>12132</v>
      </c>
      <c r="C11302" s="341" t="s">
        <v>7287</v>
      </c>
      <c r="D11302" s="344">
        <v>1606.14</v>
      </c>
    </row>
    <row r="11303" spans="1:4" ht="25.5">
      <c r="A11303" s="341">
        <v>13042</v>
      </c>
      <c r="B11303" s="342" t="s">
        <v>12133</v>
      </c>
      <c r="C11303" s="341" t="s">
        <v>7287</v>
      </c>
      <c r="D11303" s="343">
        <v>890.04</v>
      </c>
    </row>
    <row r="11304" spans="1:4" ht="25.5">
      <c r="A11304" s="341">
        <v>21150</v>
      </c>
      <c r="B11304" s="342" t="s">
        <v>12134</v>
      </c>
      <c r="C11304" s="341" t="s">
        <v>7287</v>
      </c>
      <c r="D11304" s="343">
        <v>24.02</v>
      </c>
    </row>
    <row r="11305" spans="1:4" ht="25.5">
      <c r="A11305" s="341">
        <v>13141</v>
      </c>
      <c r="B11305" s="342" t="s">
        <v>12135</v>
      </c>
      <c r="C11305" s="341" t="s">
        <v>7287</v>
      </c>
      <c r="D11305" s="343">
        <v>30.26</v>
      </c>
    </row>
    <row r="11306" spans="1:4" ht="25.5">
      <c r="A11306" s="341">
        <v>21151</v>
      </c>
      <c r="B11306" s="342" t="s">
        <v>12136</v>
      </c>
      <c r="C11306" s="341" t="s">
        <v>7287</v>
      </c>
      <c r="D11306" s="343">
        <v>143.77000000000001</v>
      </c>
    </row>
    <row r="11307" spans="1:4" ht="25.5">
      <c r="A11307" s="341">
        <v>13142</v>
      </c>
      <c r="B11307" s="342" t="s">
        <v>12137</v>
      </c>
      <c r="C11307" s="341" t="s">
        <v>7287</v>
      </c>
      <c r="D11307" s="343">
        <v>205.53</v>
      </c>
    </row>
    <row r="11308" spans="1:4" ht="25.5">
      <c r="A11308" s="341">
        <v>20994</v>
      </c>
      <c r="B11308" s="342" t="s">
        <v>12138</v>
      </c>
      <c r="C11308" s="341" t="s">
        <v>7287</v>
      </c>
      <c r="D11308" s="343">
        <v>387.51</v>
      </c>
    </row>
    <row r="11309" spans="1:4" ht="25.5">
      <c r="A11309" s="341">
        <v>7672</v>
      </c>
      <c r="B11309" s="342" t="s">
        <v>12139</v>
      </c>
      <c r="C11309" s="341" t="s">
        <v>7287</v>
      </c>
      <c r="D11309" s="343">
        <v>253.86</v>
      </c>
    </row>
    <row r="11310" spans="1:4" ht="25.5">
      <c r="A11310" s="341">
        <v>20995</v>
      </c>
      <c r="B11310" s="342" t="s">
        <v>12140</v>
      </c>
      <c r="C11310" s="341" t="s">
        <v>7287</v>
      </c>
      <c r="D11310" s="343">
        <v>509.26</v>
      </c>
    </row>
    <row r="11311" spans="1:4" ht="25.5">
      <c r="A11311" s="341">
        <v>7690</v>
      </c>
      <c r="B11311" s="342" t="s">
        <v>12141</v>
      </c>
      <c r="C11311" s="341" t="s">
        <v>7287</v>
      </c>
      <c r="D11311" s="343">
        <v>294.54000000000002</v>
      </c>
    </row>
    <row r="11312" spans="1:4" ht="25.5">
      <c r="A11312" s="341">
        <v>20980</v>
      </c>
      <c r="B11312" s="342" t="s">
        <v>12142</v>
      </c>
      <c r="C11312" s="341" t="s">
        <v>7287</v>
      </c>
      <c r="D11312" s="343">
        <v>321.31</v>
      </c>
    </row>
    <row r="11313" spans="1:4" ht="25.5">
      <c r="A11313" s="341">
        <v>7661</v>
      </c>
      <c r="B11313" s="342" t="s">
        <v>12143</v>
      </c>
      <c r="C11313" s="341" t="s">
        <v>7287</v>
      </c>
      <c r="D11313" s="343">
        <v>382.23</v>
      </c>
    </row>
    <row r="11314" spans="1:4" ht="38.25">
      <c r="A11314" s="341">
        <v>21016</v>
      </c>
      <c r="B11314" s="342" t="s">
        <v>12144</v>
      </c>
      <c r="C11314" s="341" t="s">
        <v>7287</v>
      </c>
      <c r="D11314" s="343">
        <v>83.63</v>
      </c>
    </row>
    <row r="11315" spans="1:4" ht="38.25">
      <c r="A11315" s="341">
        <v>21008</v>
      </c>
      <c r="B11315" s="342" t="s">
        <v>12145</v>
      </c>
      <c r="C11315" s="341" t="s">
        <v>7287</v>
      </c>
      <c r="D11315" s="343">
        <v>9.77</v>
      </c>
    </row>
    <row r="11316" spans="1:4" ht="38.25">
      <c r="A11316" s="341">
        <v>21009</v>
      </c>
      <c r="B11316" s="342" t="s">
        <v>12146</v>
      </c>
      <c r="C11316" s="341" t="s">
        <v>7287</v>
      </c>
      <c r="D11316" s="343">
        <v>12.72</v>
      </c>
    </row>
    <row r="11317" spans="1:4" ht="38.25">
      <c r="A11317" s="341">
        <v>21010</v>
      </c>
      <c r="B11317" s="342" t="s">
        <v>12147</v>
      </c>
      <c r="C11317" s="341" t="s">
        <v>7287</v>
      </c>
      <c r="D11317" s="343">
        <v>17.079999999999998</v>
      </c>
    </row>
    <row r="11318" spans="1:4" ht="38.25">
      <c r="A11318" s="341">
        <v>21011</v>
      </c>
      <c r="B11318" s="342" t="s">
        <v>12148</v>
      </c>
      <c r="C11318" s="341" t="s">
        <v>7287</v>
      </c>
      <c r="D11318" s="343">
        <v>24.89</v>
      </c>
    </row>
    <row r="11319" spans="1:4" ht="38.25">
      <c r="A11319" s="341">
        <v>21012</v>
      </c>
      <c r="B11319" s="342" t="s">
        <v>12149</v>
      </c>
      <c r="C11319" s="341" t="s">
        <v>7287</v>
      </c>
      <c r="D11319" s="343">
        <v>27.51</v>
      </c>
    </row>
    <row r="11320" spans="1:4" ht="38.25">
      <c r="A11320" s="341">
        <v>21013</v>
      </c>
      <c r="B11320" s="342" t="s">
        <v>12150</v>
      </c>
      <c r="C11320" s="341" t="s">
        <v>7287</v>
      </c>
      <c r="D11320" s="343">
        <v>35.9</v>
      </c>
    </row>
    <row r="11321" spans="1:4" ht="38.25">
      <c r="A11321" s="341">
        <v>21014</v>
      </c>
      <c r="B11321" s="342" t="s">
        <v>12151</v>
      </c>
      <c r="C11321" s="341" t="s">
        <v>7287</v>
      </c>
      <c r="D11321" s="343">
        <v>50.23</v>
      </c>
    </row>
    <row r="11322" spans="1:4" ht="38.25">
      <c r="A11322" s="341">
        <v>21015</v>
      </c>
      <c r="B11322" s="342" t="s">
        <v>12152</v>
      </c>
      <c r="C11322" s="341" t="s">
        <v>7287</v>
      </c>
      <c r="D11322" s="343">
        <v>57.7</v>
      </c>
    </row>
    <row r="11323" spans="1:4" ht="38.25">
      <c r="A11323" s="341">
        <v>7697</v>
      </c>
      <c r="B11323" s="342" t="s">
        <v>12153</v>
      </c>
      <c r="C11323" s="341" t="s">
        <v>7287</v>
      </c>
      <c r="D11323" s="343">
        <v>27.53</v>
      </c>
    </row>
    <row r="11324" spans="1:4" ht="38.25">
      <c r="A11324" s="341">
        <v>7698</v>
      </c>
      <c r="B11324" s="342" t="s">
        <v>12154</v>
      </c>
      <c r="C11324" s="341" t="s">
        <v>7287</v>
      </c>
      <c r="D11324" s="343">
        <v>23.7</v>
      </c>
    </row>
    <row r="11325" spans="1:4" ht="38.25">
      <c r="A11325" s="341">
        <v>7691</v>
      </c>
      <c r="B11325" s="342" t="s">
        <v>12155</v>
      </c>
      <c r="C11325" s="341" t="s">
        <v>7287</v>
      </c>
      <c r="D11325" s="343">
        <v>10.01</v>
      </c>
    </row>
    <row r="11326" spans="1:4" ht="38.25">
      <c r="A11326" s="341">
        <v>40626</v>
      </c>
      <c r="B11326" s="342" t="s">
        <v>12156</v>
      </c>
      <c r="C11326" s="341" t="s">
        <v>7287</v>
      </c>
      <c r="D11326" s="343">
        <v>18.79</v>
      </c>
    </row>
    <row r="11327" spans="1:4" ht="38.25">
      <c r="A11327" s="341">
        <v>7701</v>
      </c>
      <c r="B11327" s="342" t="s">
        <v>12157</v>
      </c>
      <c r="C11327" s="341" t="s">
        <v>7287</v>
      </c>
      <c r="D11327" s="343">
        <v>49.28</v>
      </c>
    </row>
    <row r="11328" spans="1:4" ht="38.25">
      <c r="A11328" s="341">
        <v>7696</v>
      </c>
      <c r="B11328" s="342" t="s">
        <v>12158</v>
      </c>
      <c r="C11328" s="341" t="s">
        <v>7287</v>
      </c>
      <c r="D11328" s="343">
        <v>39.71</v>
      </c>
    </row>
    <row r="11329" spans="1:4" ht="38.25">
      <c r="A11329" s="341">
        <v>7700</v>
      </c>
      <c r="B11329" s="342" t="s">
        <v>12159</v>
      </c>
      <c r="C11329" s="341" t="s">
        <v>7287</v>
      </c>
      <c r="D11329" s="343">
        <v>12.66</v>
      </c>
    </row>
    <row r="11330" spans="1:4" ht="38.25">
      <c r="A11330" s="341">
        <v>7694</v>
      </c>
      <c r="B11330" s="342" t="s">
        <v>12160</v>
      </c>
      <c r="C11330" s="341" t="s">
        <v>7287</v>
      </c>
      <c r="D11330" s="343">
        <v>66.31</v>
      </c>
    </row>
    <row r="11331" spans="1:4" ht="38.25">
      <c r="A11331" s="341">
        <v>7693</v>
      </c>
      <c r="B11331" s="342" t="s">
        <v>12161</v>
      </c>
      <c r="C11331" s="341" t="s">
        <v>7287</v>
      </c>
      <c r="D11331" s="343">
        <v>91.32</v>
      </c>
    </row>
    <row r="11332" spans="1:4" ht="38.25">
      <c r="A11332" s="341">
        <v>7692</v>
      </c>
      <c r="B11332" s="342" t="s">
        <v>12162</v>
      </c>
      <c r="C11332" s="341" t="s">
        <v>7287</v>
      </c>
      <c r="D11332" s="343">
        <v>136.72999999999999</v>
      </c>
    </row>
    <row r="11333" spans="1:4" ht="38.25">
      <c r="A11333" s="341">
        <v>7695</v>
      </c>
      <c r="B11333" s="342" t="s">
        <v>12163</v>
      </c>
      <c r="C11333" s="341" t="s">
        <v>7287</v>
      </c>
      <c r="D11333" s="343">
        <v>148.29</v>
      </c>
    </row>
    <row r="11334" spans="1:4" ht="25.5">
      <c r="A11334" s="341">
        <v>13356</v>
      </c>
      <c r="B11334" s="342" t="s">
        <v>12164</v>
      </c>
      <c r="C11334" s="341" t="s">
        <v>7287</v>
      </c>
      <c r="D11334" s="343">
        <v>10.75</v>
      </c>
    </row>
    <row r="11335" spans="1:4" ht="25.5">
      <c r="A11335" s="341">
        <v>36365</v>
      </c>
      <c r="B11335" s="342" t="s">
        <v>12165</v>
      </c>
      <c r="C11335" s="341" t="s">
        <v>7287</v>
      </c>
      <c r="D11335" s="343">
        <v>18.329999999999998</v>
      </c>
    </row>
    <row r="11336" spans="1:4" ht="25.5">
      <c r="A11336" s="341">
        <v>41930</v>
      </c>
      <c r="B11336" s="342" t="s">
        <v>12166</v>
      </c>
      <c r="C11336" s="341" t="s">
        <v>7287</v>
      </c>
      <c r="D11336" s="343">
        <v>61.56</v>
      </c>
    </row>
    <row r="11337" spans="1:4" ht="25.5">
      <c r="A11337" s="341">
        <v>41931</v>
      </c>
      <c r="B11337" s="342" t="s">
        <v>12167</v>
      </c>
      <c r="C11337" s="341" t="s">
        <v>7287</v>
      </c>
      <c r="D11337" s="343">
        <v>104.36</v>
      </c>
    </row>
    <row r="11338" spans="1:4" ht="25.5">
      <c r="A11338" s="341">
        <v>41932</v>
      </c>
      <c r="B11338" s="342" t="s">
        <v>12168</v>
      </c>
      <c r="C11338" s="341" t="s">
        <v>7287</v>
      </c>
      <c r="D11338" s="343">
        <v>169.11</v>
      </c>
    </row>
    <row r="11339" spans="1:4" ht="25.5">
      <c r="A11339" s="341">
        <v>41933</v>
      </c>
      <c r="B11339" s="342" t="s">
        <v>12169</v>
      </c>
      <c r="C11339" s="341" t="s">
        <v>7287</v>
      </c>
      <c r="D11339" s="343">
        <v>209.69</v>
      </c>
    </row>
    <row r="11340" spans="1:4" ht="25.5">
      <c r="A11340" s="341">
        <v>41934</v>
      </c>
      <c r="B11340" s="342" t="s">
        <v>12170</v>
      </c>
      <c r="C11340" s="341" t="s">
        <v>7287</v>
      </c>
      <c r="D11340" s="343">
        <v>272.91000000000003</v>
      </c>
    </row>
    <row r="11341" spans="1:4" ht="25.5">
      <c r="A11341" s="341">
        <v>41936</v>
      </c>
      <c r="B11341" s="342" t="s">
        <v>12171</v>
      </c>
      <c r="C11341" s="341" t="s">
        <v>7287</v>
      </c>
      <c r="D11341" s="343">
        <v>39.43</v>
      </c>
    </row>
    <row r="11342" spans="1:4" ht="38.25">
      <c r="A11342" s="341">
        <v>7720</v>
      </c>
      <c r="B11342" s="342" t="s">
        <v>12172</v>
      </c>
      <c r="C11342" s="341" t="s">
        <v>7287</v>
      </c>
      <c r="D11342" s="343">
        <v>324.85000000000002</v>
      </c>
    </row>
    <row r="11343" spans="1:4" ht="25.5">
      <c r="A11343" s="341">
        <v>40335</v>
      </c>
      <c r="B11343" s="342" t="s">
        <v>12173</v>
      </c>
      <c r="C11343" s="341" t="s">
        <v>7287</v>
      </c>
      <c r="D11343" s="343">
        <v>66.16</v>
      </c>
    </row>
    <row r="11344" spans="1:4" ht="25.5">
      <c r="A11344" s="341">
        <v>7740</v>
      </c>
      <c r="B11344" s="342" t="s">
        <v>12174</v>
      </c>
      <c r="C11344" s="341" t="s">
        <v>7287</v>
      </c>
      <c r="D11344" s="343">
        <v>90.27</v>
      </c>
    </row>
    <row r="11345" spans="1:4" ht="25.5">
      <c r="A11345" s="341">
        <v>7741</v>
      </c>
      <c r="B11345" s="342" t="s">
        <v>12175</v>
      </c>
      <c r="C11345" s="341" t="s">
        <v>7287</v>
      </c>
      <c r="D11345" s="343">
        <v>113.93</v>
      </c>
    </row>
    <row r="11346" spans="1:4" ht="25.5">
      <c r="A11346" s="341">
        <v>7774</v>
      </c>
      <c r="B11346" s="342" t="s">
        <v>12176</v>
      </c>
      <c r="C11346" s="341" t="s">
        <v>7287</v>
      </c>
      <c r="D11346" s="343">
        <v>153.36000000000001</v>
      </c>
    </row>
    <row r="11347" spans="1:4" ht="25.5">
      <c r="A11347" s="341">
        <v>7744</v>
      </c>
      <c r="B11347" s="342" t="s">
        <v>12177</v>
      </c>
      <c r="C11347" s="341" t="s">
        <v>7287</v>
      </c>
      <c r="D11347" s="343">
        <v>176.79</v>
      </c>
    </row>
    <row r="11348" spans="1:4" ht="25.5">
      <c r="A11348" s="341">
        <v>7773</v>
      </c>
      <c r="B11348" s="342" t="s">
        <v>12178</v>
      </c>
      <c r="C11348" s="341" t="s">
        <v>7287</v>
      </c>
      <c r="D11348" s="343">
        <v>220.17</v>
      </c>
    </row>
    <row r="11349" spans="1:4" ht="25.5">
      <c r="A11349" s="341">
        <v>7754</v>
      </c>
      <c r="B11349" s="342" t="s">
        <v>12179</v>
      </c>
      <c r="C11349" s="341" t="s">
        <v>7287</v>
      </c>
      <c r="D11349" s="343">
        <v>299.2</v>
      </c>
    </row>
    <row r="11350" spans="1:4" ht="38.25">
      <c r="A11350" s="341">
        <v>7735</v>
      </c>
      <c r="B11350" s="342" t="s">
        <v>12180</v>
      </c>
      <c r="C11350" s="341" t="s">
        <v>7287</v>
      </c>
      <c r="D11350" s="343">
        <v>410.08</v>
      </c>
    </row>
    <row r="11351" spans="1:4" ht="25.5">
      <c r="A11351" s="341">
        <v>7755</v>
      </c>
      <c r="B11351" s="342" t="s">
        <v>12181</v>
      </c>
      <c r="C11351" s="341" t="s">
        <v>7287</v>
      </c>
      <c r="D11351" s="343">
        <v>109.97</v>
      </c>
    </row>
    <row r="11352" spans="1:4" ht="25.5">
      <c r="A11352" s="341">
        <v>7776</v>
      </c>
      <c r="B11352" s="342" t="s">
        <v>12182</v>
      </c>
      <c r="C11352" s="341" t="s">
        <v>7287</v>
      </c>
      <c r="D11352" s="343">
        <v>143.13</v>
      </c>
    </row>
    <row r="11353" spans="1:4" ht="25.5">
      <c r="A11353" s="341">
        <v>7743</v>
      </c>
      <c r="B11353" s="342" t="s">
        <v>12183</v>
      </c>
      <c r="C11353" s="341" t="s">
        <v>7287</v>
      </c>
      <c r="D11353" s="343">
        <v>189.02</v>
      </c>
    </row>
    <row r="11354" spans="1:4" ht="25.5">
      <c r="A11354" s="341">
        <v>7733</v>
      </c>
      <c r="B11354" s="342" t="s">
        <v>12184</v>
      </c>
      <c r="C11354" s="341" t="s">
        <v>7287</v>
      </c>
      <c r="D11354" s="343">
        <v>210.77</v>
      </c>
    </row>
    <row r="11355" spans="1:4" ht="25.5">
      <c r="A11355" s="341">
        <v>7775</v>
      </c>
      <c r="B11355" s="342" t="s">
        <v>12185</v>
      </c>
      <c r="C11355" s="341" t="s">
        <v>7287</v>
      </c>
      <c r="D11355" s="343">
        <v>259.32</v>
      </c>
    </row>
    <row r="11356" spans="1:4" ht="25.5">
      <c r="A11356" s="341">
        <v>7734</v>
      </c>
      <c r="B11356" s="342" t="s">
        <v>12186</v>
      </c>
      <c r="C11356" s="341" t="s">
        <v>7287</v>
      </c>
      <c r="D11356" s="343">
        <v>374.9</v>
      </c>
    </row>
    <row r="11357" spans="1:4" ht="25.5">
      <c r="A11357" s="341">
        <v>7753</v>
      </c>
      <c r="B11357" s="342" t="s">
        <v>12187</v>
      </c>
      <c r="C11357" s="341" t="s">
        <v>7287</v>
      </c>
      <c r="D11357" s="343">
        <v>190.08</v>
      </c>
    </row>
    <row r="11358" spans="1:4" ht="25.5">
      <c r="A11358" s="341">
        <v>13256</v>
      </c>
      <c r="B11358" s="342" t="s">
        <v>12188</v>
      </c>
      <c r="C11358" s="341" t="s">
        <v>7287</v>
      </c>
      <c r="D11358" s="343">
        <v>221.88</v>
      </c>
    </row>
    <row r="11359" spans="1:4" ht="25.5">
      <c r="A11359" s="341">
        <v>7757</v>
      </c>
      <c r="B11359" s="342" t="s">
        <v>12189</v>
      </c>
      <c r="C11359" s="341" t="s">
        <v>7287</v>
      </c>
      <c r="D11359" s="343">
        <v>269.38</v>
      </c>
    </row>
    <row r="11360" spans="1:4" ht="25.5">
      <c r="A11360" s="341">
        <v>7758</v>
      </c>
      <c r="B11360" s="342" t="s">
        <v>12190</v>
      </c>
      <c r="C11360" s="341" t="s">
        <v>7287</v>
      </c>
      <c r="D11360" s="343">
        <v>400.67</v>
      </c>
    </row>
    <row r="11361" spans="1:4" ht="25.5">
      <c r="A11361" s="341">
        <v>7759</v>
      </c>
      <c r="B11361" s="342" t="s">
        <v>12191</v>
      </c>
      <c r="C11361" s="341" t="s">
        <v>7287</v>
      </c>
      <c r="D11361" s="343">
        <v>872.93</v>
      </c>
    </row>
    <row r="11362" spans="1:4" ht="25.5">
      <c r="A11362" s="341">
        <v>40334</v>
      </c>
      <c r="B11362" s="342" t="s">
        <v>12192</v>
      </c>
      <c r="C11362" s="341" t="s">
        <v>7287</v>
      </c>
      <c r="D11362" s="343">
        <v>47.13</v>
      </c>
    </row>
    <row r="11363" spans="1:4" ht="25.5">
      <c r="A11363" s="341">
        <v>7745</v>
      </c>
      <c r="B11363" s="342" t="s">
        <v>12193</v>
      </c>
      <c r="C11363" s="341" t="s">
        <v>7287</v>
      </c>
      <c r="D11363" s="343">
        <v>49.8</v>
      </c>
    </row>
    <row r="11364" spans="1:4" ht="25.5">
      <c r="A11364" s="341">
        <v>7714</v>
      </c>
      <c r="B11364" s="342" t="s">
        <v>12194</v>
      </c>
      <c r="C11364" s="341" t="s">
        <v>7287</v>
      </c>
      <c r="D11364" s="343">
        <v>65.760000000000005</v>
      </c>
    </row>
    <row r="11365" spans="1:4" ht="25.5">
      <c r="A11365" s="341">
        <v>7725</v>
      </c>
      <c r="B11365" s="342" t="s">
        <v>12195</v>
      </c>
      <c r="C11365" s="341" t="s">
        <v>7287</v>
      </c>
      <c r="D11365" s="343">
        <v>87</v>
      </c>
    </row>
    <row r="11366" spans="1:4" ht="25.5">
      <c r="A11366" s="341">
        <v>7742</v>
      </c>
      <c r="B11366" s="342" t="s">
        <v>12196</v>
      </c>
      <c r="C11366" s="341" t="s">
        <v>7287</v>
      </c>
      <c r="D11366" s="343">
        <v>122.11</v>
      </c>
    </row>
    <row r="11367" spans="1:4" ht="25.5">
      <c r="A11367" s="341">
        <v>7750</v>
      </c>
      <c r="B11367" s="342" t="s">
        <v>12197</v>
      </c>
      <c r="C11367" s="341" t="s">
        <v>7287</v>
      </c>
      <c r="D11367" s="343">
        <v>138.47999999999999</v>
      </c>
    </row>
    <row r="11368" spans="1:4" ht="25.5">
      <c r="A11368" s="341">
        <v>7756</v>
      </c>
      <c r="B11368" s="342" t="s">
        <v>12198</v>
      </c>
      <c r="C11368" s="341" t="s">
        <v>7287</v>
      </c>
      <c r="D11368" s="343">
        <v>170.96</v>
      </c>
    </row>
    <row r="11369" spans="1:4" ht="25.5">
      <c r="A11369" s="341">
        <v>7765</v>
      </c>
      <c r="B11369" s="342" t="s">
        <v>12199</v>
      </c>
      <c r="C11369" s="341" t="s">
        <v>7287</v>
      </c>
      <c r="D11369" s="343">
        <v>209.91</v>
      </c>
    </row>
    <row r="11370" spans="1:4" ht="25.5">
      <c r="A11370" s="341">
        <v>12569</v>
      </c>
      <c r="B11370" s="342" t="s">
        <v>12200</v>
      </c>
      <c r="C11370" s="341" t="s">
        <v>7287</v>
      </c>
      <c r="D11370" s="343">
        <v>225.88</v>
      </c>
    </row>
    <row r="11371" spans="1:4" ht="25.5">
      <c r="A11371" s="341">
        <v>7766</v>
      </c>
      <c r="B11371" s="342" t="s">
        <v>12201</v>
      </c>
      <c r="C11371" s="341" t="s">
        <v>7287</v>
      </c>
      <c r="D11371" s="343">
        <v>305.29000000000002</v>
      </c>
    </row>
    <row r="11372" spans="1:4" ht="25.5">
      <c r="A11372" s="341">
        <v>7767</v>
      </c>
      <c r="B11372" s="342" t="s">
        <v>12202</v>
      </c>
      <c r="C11372" s="341" t="s">
        <v>7287</v>
      </c>
      <c r="D11372" s="343">
        <v>470.44</v>
      </c>
    </row>
    <row r="11373" spans="1:4" ht="25.5">
      <c r="A11373" s="341">
        <v>7727</v>
      </c>
      <c r="B11373" s="342" t="s">
        <v>12203</v>
      </c>
      <c r="C11373" s="341" t="s">
        <v>7287</v>
      </c>
      <c r="D11373" s="344">
        <v>1021.65</v>
      </c>
    </row>
    <row r="11374" spans="1:4" ht="25.5">
      <c r="A11374" s="341">
        <v>7760</v>
      </c>
      <c r="B11374" s="342" t="s">
        <v>12204</v>
      </c>
      <c r="C11374" s="341" t="s">
        <v>7287</v>
      </c>
      <c r="D11374" s="343">
        <v>49.56</v>
      </c>
    </row>
    <row r="11375" spans="1:4" ht="25.5">
      <c r="A11375" s="341">
        <v>7761</v>
      </c>
      <c r="B11375" s="342" t="s">
        <v>12205</v>
      </c>
      <c r="C11375" s="341" t="s">
        <v>7287</v>
      </c>
      <c r="D11375" s="343">
        <v>52.67</v>
      </c>
    </row>
    <row r="11376" spans="1:4" ht="25.5">
      <c r="A11376" s="341">
        <v>7752</v>
      </c>
      <c r="B11376" s="342" t="s">
        <v>12206</v>
      </c>
      <c r="C11376" s="341" t="s">
        <v>7287</v>
      </c>
      <c r="D11376" s="343">
        <v>63.81</v>
      </c>
    </row>
    <row r="11377" spans="1:4" ht="25.5">
      <c r="A11377" s="341">
        <v>7762</v>
      </c>
      <c r="B11377" s="342" t="s">
        <v>12207</v>
      </c>
      <c r="C11377" s="341" t="s">
        <v>7287</v>
      </c>
      <c r="D11377" s="343">
        <v>83.48</v>
      </c>
    </row>
    <row r="11378" spans="1:4" ht="25.5">
      <c r="A11378" s="341">
        <v>7722</v>
      </c>
      <c r="B11378" s="342" t="s">
        <v>12208</v>
      </c>
      <c r="C11378" s="341" t="s">
        <v>7287</v>
      </c>
      <c r="D11378" s="343">
        <v>128.74</v>
      </c>
    </row>
    <row r="11379" spans="1:4" ht="25.5">
      <c r="A11379" s="341">
        <v>7763</v>
      </c>
      <c r="B11379" s="342" t="s">
        <v>12209</v>
      </c>
      <c r="C11379" s="341" t="s">
        <v>7287</v>
      </c>
      <c r="D11379" s="343">
        <v>143.47</v>
      </c>
    </row>
    <row r="11380" spans="1:4" ht="25.5">
      <c r="A11380" s="341">
        <v>7764</v>
      </c>
      <c r="B11380" s="342" t="s">
        <v>12210</v>
      </c>
      <c r="C11380" s="341" t="s">
        <v>7287</v>
      </c>
      <c r="D11380" s="343">
        <v>215.5</v>
      </c>
    </row>
    <row r="11381" spans="1:4" ht="25.5">
      <c r="A11381" s="341">
        <v>12572</v>
      </c>
      <c r="B11381" s="342" t="s">
        <v>12211</v>
      </c>
      <c r="C11381" s="341" t="s">
        <v>7287</v>
      </c>
      <c r="D11381" s="343">
        <v>282.55</v>
      </c>
    </row>
    <row r="11382" spans="1:4" ht="25.5">
      <c r="A11382" s="341">
        <v>12573</v>
      </c>
      <c r="B11382" s="342" t="s">
        <v>12212</v>
      </c>
      <c r="C11382" s="341" t="s">
        <v>7287</v>
      </c>
      <c r="D11382" s="343">
        <v>296.91000000000003</v>
      </c>
    </row>
    <row r="11383" spans="1:4" ht="25.5">
      <c r="A11383" s="341">
        <v>12574</v>
      </c>
      <c r="B11383" s="342" t="s">
        <v>12213</v>
      </c>
      <c r="C11383" s="341" t="s">
        <v>7287</v>
      </c>
      <c r="D11383" s="343">
        <v>385.81</v>
      </c>
    </row>
    <row r="11384" spans="1:4" ht="25.5">
      <c r="A11384" s="341">
        <v>12575</v>
      </c>
      <c r="B11384" s="342" t="s">
        <v>12214</v>
      </c>
      <c r="C11384" s="341" t="s">
        <v>7287</v>
      </c>
      <c r="D11384" s="343">
        <v>566.29</v>
      </c>
    </row>
    <row r="11385" spans="1:4" ht="25.5">
      <c r="A11385" s="341">
        <v>12576</v>
      </c>
      <c r="B11385" s="342" t="s">
        <v>12215</v>
      </c>
      <c r="C11385" s="341" t="s">
        <v>7287</v>
      </c>
      <c r="D11385" s="343">
        <v>59.86</v>
      </c>
    </row>
    <row r="11386" spans="1:4" ht="25.5">
      <c r="A11386" s="341">
        <v>12577</v>
      </c>
      <c r="B11386" s="342" t="s">
        <v>12216</v>
      </c>
      <c r="C11386" s="341" t="s">
        <v>7287</v>
      </c>
      <c r="D11386" s="343">
        <v>77.42</v>
      </c>
    </row>
    <row r="11387" spans="1:4" ht="25.5">
      <c r="A11387" s="341">
        <v>12578</v>
      </c>
      <c r="B11387" s="342" t="s">
        <v>12217</v>
      </c>
      <c r="C11387" s="341" t="s">
        <v>7287</v>
      </c>
      <c r="D11387" s="343">
        <v>103.84</v>
      </c>
    </row>
    <row r="11388" spans="1:4" ht="25.5">
      <c r="A11388" s="341">
        <v>12579</v>
      </c>
      <c r="B11388" s="342" t="s">
        <v>12218</v>
      </c>
      <c r="C11388" s="341" t="s">
        <v>7287</v>
      </c>
      <c r="D11388" s="343">
        <v>152.05000000000001</v>
      </c>
    </row>
    <row r="11389" spans="1:4" ht="25.5">
      <c r="A11389" s="341">
        <v>12580</v>
      </c>
      <c r="B11389" s="342" t="s">
        <v>12219</v>
      </c>
      <c r="C11389" s="341" t="s">
        <v>7287</v>
      </c>
      <c r="D11389" s="343">
        <v>196.28</v>
      </c>
    </row>
    <row r="11390" spans="1:4" ht="25.5">
      <c r="A11390" s="341">
        <v>12581</v>
      </c>
      <c r="B11390" s="342" t="s">
        <v>12220</v>
      </c>
      <c r="C11390" s="341" t="s">
        <v>7287</v>
      </c>
      <c r="D11390" s="343">
        <v>268.58</v>
      </c>
    </row>
    <row r="11391" spans="1:4" ht="38.25">
      <c r="A11391" s="341">
        <v>41785</v>
      </c>
      <c r="B11391" s="342" t="s">
        <v>12221</v>
      </c>
      <c r="C11391" s="341" t="s">
        <v>7287</v>
      </c>
      <c r="D11391" s="343">
        <v>851.71</v>
      </c>
    </row>
    <row r="11392" spans="1:4" ht="38.25">
      <c r="A11392" s="341">
        <v>41781</v>
      </c>
      <c r="B11392" s="342" t="s">
        <v>12222</v>
      </c>
      <c r="C11392" s="341" t="s">
        <v>7287</v>
      </c>
      <c r="D11392" s="343">
        <v>193.87</v>
      </c>
    </row>
    <row r="11393" spans="1:4" ht="38.25">
      <c r="A11393" s="341">
        <v>41783</v>
      </c>
      <c r="B11393" s="342" t="s">
        <v>12223</v>
      </c>
      <c r="C11393" s="341" t="s">
        <v>7287</v>
      </c>
      <c r="D11393" s="343">
        <v>562.05999999999995</v>
      </c>
    </row>
    <row r="11394" spans="1:4" ht="38.25">
      <c r="A11394" s="341">
        <v>41786</v>
      </c>
      <c r="B11394" s="342" t="s">
        <v>12224</v>
      </c>
      <c r="C11394" s="341" t="s">
        <v>7287</v>
      </c>
      <c r="D11394" s="344">
        <v>1219.71</v>
      </c>
    </row>
    <row r="11395" spans="1:4" ht="38.25">
      <c r="A11395" s="341">
        <v>41779</v>
      </c>
      <c r="B11395" s="342" t="s">
        <v>12225</v>
      </c>
      <c r="C11395" s="341" t="s">
        <v>7287</v>
      </c>
      <c r="D11395" s="343">
        <v>65.790000000000006</v>
      </c>
    </row>
    <row r="11396" spans="1:4" ht="38.25">
      <c r="A11396" s="341">
        <v>41780</v>
      </c>
      <c r="B11396" s="342" t="s">
        <v>12226</v>
      </c>
      <c r="C11396" s="341" t="s">
        <v>7287</v>
      </c>
      <c r="D11396" s="343">
        <v>97.37</v>
      </c>
    </row>
    <row r="11397" spans="1:4" ht="38.25">
      <c r="A11397" s="341">
        <v>41782</v>
      </c>
      <c r="B11397" s="342" t="s">
        <v>12227</v>
      </c>
      <c r="C11397" s="341" t="s">
        <v>7287</v>
      </c>
      <c r="D11397" s="343">
        <v>378.97</v>
      </c>
    </row>
    <row r="11398" spans="1:4" ht="25.5">
      <c r="A11398" s="341">
        <v>38130</v>
      </c>
      <c r="B11398" s="342" t="s">
        <v>12228</v>
      </c>
      <c r="C11398" s="341" t="s">
        <v>7287</v>
      </c>
      <c r="D11398" s="343">
        <v>25.9</v>
      </c>
    </row>
    <row r="11399" spans="1:4" ht="25.5">
      <c r="A11399" s="341">
        <v>21123</v>
      </c>
      <c r="B11399" s="342" t="s">
        <v>12229</v>
      </c>
      <c r="C11399" s="341" t="s">
        <v>7287</v>
      </c>
      <c r="D11399" s="343">
        <v>7.35</v>
      </c>
    </row>
    <row r="11400" spans="1:4" ht="25.5">
      <c r="A11400" s="341">
        <v>21124</v>
      </c>
      <c r="B11400" s="342" t="s">
        <v>12230</v>
      </c>
      <c r="C11400" s="341" t="s">
        <v>7287</v>
      </c>
      <c r="D11400" s="343">
        <v>13.03</v>
      </c>
    </row>
    <row r="11401" spans="1:4" ht="25.5">
      <c r="A11401" s="341">
        <v>21125</v>
      </c>
      <c r="B11401" s="342" t="s">
        <v>12231</v>
      </c>
      <c r="C11401" s="341" t="s">
        <v>7287</v>
      </c>
      <c r="D11401" s="343">
        <v>20.91</v>
      </c>
    </row>
    <row r="11402" spans="1:4" ht="25.5">
      <c r="A11402" s="341">
        <v>38028</v>
      </c>
      <c r="B11402" s="342" t="s">
        <v>12232</v>
      </c>
      <c r="C11402" s="341" t="s">
        <v>7287</v>
      </c>
      <c r="D11402" s="343">
        <v>35.49</v>
      </c>
    </row>
    <row r="11403" spans="1:4" ht="25.5">
      <c r="A11403" s="341">
        <v>38029</v>
      </c>
      <c r="B11403" s="342" t="s">
        <v>12233</v>
      </c>
      <c r="C11403" s="341" t="s">
        <v>7287</v>
      </c>
      <c r="D11403" s="343">
        <v>54.1</v>
      </c>
    </row>
    <row r="11404" spans="1:4" ht="25.5">
      <c r="A11404" s="341">
        <v>38030</v>
      </c>
      <c r="B11404" s="342" t="s">
        <v>12234</v>
      </c>
      <c r="C11404" s="341" t="s">
        <v>7287</v>
      </c>
      <c r="D11404" s="343">
        <v>83.11</v>
      </c>
    </row>
    <row r="11405" spans="1:4" ht="25.5">
      <c r="A11405" s="341">
        <v>38031</v>
      </c>
      <c r="B11405" s="342" t="s">
        <v>12235</v>
      </c>
      <c r="C11405" s="341" t="s">
        <v>7287</v>
      </c>
      <c r="D11405" s="343">
        <v>131.69</v>
      </c>
    </row>
    <row r="11406" spans="1:4" ht="76.5">
      <c r="A11406" s="341">
        <v>39735</v>
      </c>
      <c r="B11406" s="342" t="s">
        <v>12236</v>
      </c>
      <c r="C11406" s="341" t="s">
        <v>7287</v>
      </c>
      <c r="D11406" s="343">
        <v>60.48</v>
      </c>
    </row>
    <row r="11407" spans="1:4" ht="76.5">
      <c r="A11407" s="341">
        <v>39734</v>
      </c>
      <c r="B11407" s="342" t="s">
        <v>12237</v>
      </c>
      <c r="C11407" s="341" t="s">
        <v>7287</v>
      </c>
      <c r="D11407" s="343">
        <v>71.739999999999995</v>
      </c>
    </row>
    <row r="11408" spans="1:4" ht="76.5">
      <c r="A11408" s="341">
        <v>39736</v>
      </c>
      <c r="B11408" s="342" t="s">
        <v>12238</v>
      </c>
      <c r="C11408" s="341" t="s">
        <v>7287</v>
      </c>
      <c r="D11408" s="343">
        <v>81.88</v>
      </c>
    </row>
    <row r="11409" spans="1:4" ht="76.5">
      <c r="A11409" s="341">
        <v>39737</v>
      </c>
      <c r="B11409" s="342" t="s">
        <v>12239</v>
      </c>
      <c r="C11409" s="341" t="s">
        <v>7287</v>
      </c>
      <c r="D11409" s="343">
        <v>11.01</v>
      </c>
    </row>
    <row r="11410" spans="1:4" ht="76.5">
      <c r="A11410" s="341">
        <v>39738</v>
      </c>
      <c r="B11410" s="342" t="s">
        <v>12240</v>
      </c>
      <c r="C11410" s="341" t="s">
        <v>7287</v>
      </c>
      <c r="D11410" s="343">
        <v>3.98</v>
      </c>
    </row>
    <row r="11411" spans="1:4" ht="76.5">
      <c r="A11411" s="341">
        <v>39739</v>
      </c>
      <c r="B11411" s="342" t="s">
        <v>12241</v>
      </c>
      <c r="C11411" s="341" t="s">
        <v>7287</v>
      </c>
      <c r="D11411" s="343">
        <v>56.62</v>
      </c>
    </row>
    <row r="11412" spans="1:4" ht="76.5">
      <c r="A11412" s="341">
        <v>39733</v>
      </c>
      <c r="B11412" s="342" t="s">
        <v>12242</v>
      </c>
      <c r="C11412" s="341" t="s">
        <v>7287</v>
      </c>
      <c r="D11412" s="343">
        <v>97.98</v>
      </c>
    </row>
    <row r="11413" spans="1:4" ht="76.5">
      <c r="A11413" s="341">
        <v>39854</v>
      </c>
      <c r="B11413" s="342" t="s">
        <v>12243</v>
      </c>
      <c r="C11413" s="341" t="s">
        <v>7287</v>
      </c>
      <c r="D11413" s="343">
        <v>99.37</v>
      </c>
    </row>
    <row r="11414" spans="1:4" ht="76.5">
      <c r="A11414" s="341">
        <v>39740</v>
      </c>
      <c r="B11414" s="342" t="s">
        <v>12244</v>
      </c>
      <c r="C11414" s="341" t="s">
        <v>7287</v>
      </c>
      <c r="D11414" s="343">
        <v>54.37</v>
      </c>
    </row>
    <row r="11415" spans="1:4" ht="76.5">
      <c r="A11415" s="341">
        <v>39741</v>
      </c>
      <c r="B11415" s="342" t="s">
        <v>12245</v>
      </c>
      <c r="C11415" s="341" t="s">
        <v>7287</v>
      </c>
      <c r="D11415" s="343">
        <v>10.02</v>
      </c>
    </row>
    <row r="11416" spans="1:4" ht="76.5">
      <c r="A11416" s="341">
        <v>39853</v>
      </c>
      <c r="B11416" s="342" t="s">
        <v>12246</v>
      </c>
      <c r="C11416" s="341" t="s">
        <v>7287</v>
      </c>
      <c r="D11416" s="343">
        <v>13.16</v>
      </c>
    </row>
    <row r="11417" spans="1:4" ht="76.5">
      <c r="A11417" s="341">
        <v>39742</v>
      </c>
      <c r="B11417" s="342" t="s">
        <v>12247</v>
      </c>
      <c r="C11417" s="341" t="s">
        <v>7287</v>
      </c>
      <c r="D11417" s="343">
        <v>43.7</v>
      </c>
    </row>
    <row r="11418" spans="1:4" ht="38.25">
      <c r="A11418" s="341">
        <v>39749</v>
      </c>
      <c r="B11418" s="342" t="s">
        <v>12248</v>
      </c>
      <c r="C11418" s="341" t="s">
        <v>7287</v>
      </c>
      <c r="D11418" s="343">
        <v>44.04</v>
      </c>
    </row>
    <row r="11419" spans="1:4" ht="38.25">
      <c r="A11419" s="341">
        <v>39751</v>
      </c>
      <c r="B11419" s="342" t="s">
        <v>12249</v>
      </c>
      <c r="C11419" s="341" t="s">
        <v>7287</v>
      </c>
      <c r="D11419" s="343">
        <v>80.03</v>
      </c>
    </row>
    <row r="11420" spans="1:4" ht="38.25">
      <c r="A11420" s="341">
        <v>39750</v>
      </c>
      <c r="B11420" s="342" t="s">
        <v>12250</v>
      </c>
      <c r="C11420" s="341" t="s">
        <v>7287</v>
      </c>
      <c r="D11420" s="343">
        <v>66.52</v>
      </c>
    </row>
    <row r="11421" spans="1:4" ht="38.25">
      <c r="A11421" s="341">
        <v>39747</v>
      </c>
      <c r="B11421" s="342" t="s">
        <v>12251</v>
      </c>
      <c r="C11421" s="341" t="s">
        <v>7287</v>
      </c>
      <c r="D11421" s="343">
        <v>21.39</v>
      </c>
    </row>
    <row r="11422" spans="1:4" ht="38.25">
      <c r="A11422" s="341">
        <v>39753</v>
      </c>
      <c r="B11422" s="342" t="s">
        <v>12252</v>
      </c>
      <c r="C11422" s="341" t="s">
        <v>7287</v>
      </c>
      <c r="D11422" s="343">
        <v>147.32</v>
      </c>
    </row>
    <row r="11423" spans="1:4" ht="38.25">
      <c r="A11423" s="341">
        <v>39754</v>
      </c>
      <c r="B11423" s="342" t="s">
        <v>12253</v>
      </c>
      <c r="C11423" s="341" t="s">
        <v>7287</v>
      </c>
      <c r="D11423" s="343">
        <v>217.04</v>
      </c>
    </row>
    <row r="11424" spans="1:4" ht="38.25">
      <c r="A11424" s="341">
        <v>39748</v>
      </c>
      <c r="B11424" s="342" t="s">
        <v>12254</v>
      </c>
      <c r="C11424" s="341" t="s">
        <v>7287</v>
      </c>
      <c r="D11424" s="343">
        <v>34.619999999999997</v>
      </c>
    </row>
    <row r="11425" spans="1:4" ht="38.25">
      <c r="A11425" s="341">
        <v>39755</v>
      </c>
      <c r="B11425" s="342" t="s">
        <v>12255</v>
      </c>
      <c r="C11425" s="341" t="s">
        <v>7287</v>
      </c>
      <c r="D11425" s="343">
        <v>329.08</v>
      </c>
    </row>
    <row r="11426" spans="1:4" ht="25.5">
      <c r="A11426" s="341">
        <v>12742</v>
      </c>
      <c r="B11426" s="342" t="s">
        <v>12256</v>
      </c>
      <c r="C11426" s="341" t="s">
        <v>7287</v>
      </c>
      <c r="D11426" s="343">
        <v>260.57</v>
      </c>
    </row>
    <row r="11427" spans="1:4" ht="25.5">
      <c r="A11427" s="341">
        <v>12713</v>
      </c>
      <c r="B11427" s="342" t="s">
        <v>12257</v>
      </c>
      <c r="C11427" s="341" t="s">
        <v>7287</v>
      </c>
      <c r="D11427" s="343">
        <v>13.82</v>
      </c>
    </row>
    <row r="11428" spans="1:4" ht="25.5">
      <c r="A11428" s="341">
        <v>12743</v>
      </c>
      <c r="B11428" s="342" t="s">
        <v>12258</v>
      </c>
      <c r="C11428" s="341" t="s">
        <v>7287</v>
      </c>
      <c r="D11428" s="343">
        <v>23.77</v>
      </c>
    </row>
    <row r="11429" spans="1:4" ht="25.5">
      <c r="A11429" s="341">
        <v>12744</v>
      </c>
      <c r="B11429" s="342" t="s">
        <v>12259</v>
      </c>
      <c r="C11429" s="341" t="s">
        <v>7287</v>
      </c>
      <c r="D11429" s="343">
        <v>30.17</v>
      </c>
    </row>
    <row r="11430" spans="1:4" ht="25.5">
      <c r="A11430" s="341">
        <v>12745</v>
      </c>
      <c r="B11430" s="342" t="s">
        <v>12260</v>
      </c>
      <c r="C11430" s="341" t="s">
        <v>7287</v>
      </c>
      <c r="D11430" s="343">
        <v>43.81</v>
      </c>
    </row>
    <row r="11431" spans="1:4" ht="25.5">
      <c r="A11431" s="341">
        <v>12746</v>
      </c>
      <c r="B11431" s="342" t="s">
        <v>12261</v>
      </c>
      <c r="C11431" s="341" t="s">
        <v>7287</v>
      </c>
      <c r="D11431" s="343">
        <v>59.16</v>
      </c>
    </row>
    <row r="11432" spans="1:4" ht="25.5">
      <c r="A11432" s="341">
        <v>12747</v>
      </c>
      <c r="B11432" s="342" t="s">
        <v>12262</v>
      </c>
      <c r="C11432" s="341" t="s">
        <v>7287</v>
      </c>
      <c r="D11432" s="343">
        <v>85.8</v>
      </c>
    </row>
    <row r="11433" spans="1:4" ht="25.5">
      <c r="A11433" s="341">
        <v>12748</v>
      </c>
      <c r="B11433" s="342" t="s">
        <v>12263</v>
      </c>
      <c r="C11433" s="341" t="s">
        <v>7287</v>
      </c>
      <c r="D11433" s="343">
        <v>120.88</v>
      </c>
    </row>
    <row r="11434" spans="1:4" ht="25.5">
      <c r="A11434" s="341">
        <v>12749</v>
      </c>
      <c r="B11434" s="342" t="s">
        <v>12264</v>
      </c>
      <c r="C11434" s="341" t="s">
        <v>7287</v>
      </c>
      <c r="D11434" s="343">
        <v>176.71</v>
      </c>
    </row>
    <row r="11435" spans="1:4" ht="38.25">
      <c r="A11435" s="341">
        <v>39726</v>
      </c>
      <c r="B11435" s="342" t="s">
        <v>12265</v>
      </c>
      <c r="C11435" s="341" t="s">
        <v>7287</v>
      </c>
      <c r="D11435" s="343">
        <v>58.04</v>
      </c>
    </row>
    <row r="11436" spans="1:4" ht="38.25">
      <c r="A11436" s="341">
        <v>39728</v>
      </c>
      <c r="B11436" s="342" t="s">
        <v>12266</v>
      </c>
      <c r="C11436" s="341" t="s">
        <v>7287</v>
      </c>
      <c r="D11436" s="343">
        <v>102.01</v>
      </c>
    </row>
    <row r="11437" spans="1:4" ht="38.25">
      <c r="A11437" s="341">
        <v>39727</v>
      </c>
      <c r="B11437" s="342" t="s">
        <v>12267</v>
      </c>
      <c r="C11437" s="341" t="s">
        <v>7287</v>
      </c>
      <c r="D11437" s="343">
        <v>83.95</v>
      </c>
    </row>
    <row r="11438" spans="1:4" ht="38.25">
      <c r="A11438" s="341">
        <v>39724</v>
      </c>
      <c r="B11438" s="342" t="s">
        <v>12268</v>
      </c>
      <c r="C11438" s="341" t="s">
        <v>7287</v>
      </c>
      <c r="D11438" s="343">
        <v>25.7</v>
      </c>
    </row>
    <row r="11439" spans="1:4" ht="38.25">
      <c r="A11439" s="341">
        <v>39729</v>
      </c>
      <c r="B11439" s="342" t="s">
        <v>12269</v>
      </c>
      <c r="C11439" s="341" t="s">
        <v>7287</v>
      </c>
      <c r="D11439" s="343">
        <v>141.27000000000001</v>
      </c>
    </row>
    <row r="11440" spans="1:4" ht="38.25">
      <c r="A11440" s="341">
        <v>39730</v>
      </c>
      <c r="B11440" s="342" t="s">
        <v>12270</v>
      </c>
      <c r="C11440" s="341" t="s">
        <v>7287</v>
      </c>
      <c r="D11440" s="343">
        <v>183.29</v>
      </c>
    </row>
    <row r="11441" spans="1:4" ht="38.25">
      <c r="A11441" s="341">
        <v>39731</v>
      </c>
      <c r="B11441" s="342" t="s">
        <v>12271</v>
      </c>
      <c r="C11441" s="341" t="s">
        <v>7287</v>
      </c>
      <c r="D11441" s="343">
        <v>271.45999999999998</v>
      </c>
    </row>
    <row r="11442" spans="1:4" ht="38.25">
      <c r="A11442" s="341">
        <v>39725</v>
      </c>
      <c r="B11442" s="342" t="s">
        <v>12272</v>
      </c>
      <c r="C11442" s="341" t="s">
        <v>7287</v>
      </c>
      <c r="D11442" s="343">
        <v>41.89</v>
      </c>
    </row>
    <row r="11443" spans="1:4" ht="38.25">
      <c r="A11443" s="341">
        <v>39732</v>
      </c>
      <c r="B11443" s="342" t="s">
        <v>12273</v>
      </c>
      <c r="C11443" s="341" t="s">
        <v>7287</v>
      </c>
      <c r="D11443" s="343">
        <v>399.58</v>
      </c>
    </row>
    <row r="11444" spans="1:4" ht="38.25">
      <c r="A11444" s="341">
        <v>39660</v>
      </c>
      <c r="B11444" s="342" t="s">
        <v>12274</v>
      </c>
      <c r="C11444" s="341" t="s">
        <v>7287</v>
      </c>
      <c r="D11444" s="343">
        <v>18.2</v>
      </c>
    </row>
    <row r="11445" spans="1:4" ht="38.25">
      <c r="A11445" s="341">
        <v>39662</v>
      </c>
      <c r="B11445" s="342" t="s">
        <v>12275</v>
      </c>
      <c r="C11445" s="341" t="s">
        <v>7287</v>
      </c>
      <c r="D11445" s="343">
        <v>8.7200000000000006</v>
      </c>
    </row>
    <row r="11446" spans="1:4" ht="38.25">
      <c r="A11446" s="341">
        <v>39661</v>
      </c>
      <c r="B11446" s="342" t="s">
        <v>12276</v>
      </c>
      <c r="C11446" s="341" t="s">
        <v>7287</v>
      </c>
      <c r="D11446" s="343">
        <v>5.95</v>
      </c>
    </row>
    <row r="11447" spans="1:4" ht="38.25">
      <c r="A11447" s="341">
        <v>39666</v>
      </c>
      <c r="B11447" s="342" t="s">
        <v>12277</v>
      </c>
      <c r="C11447" s="341" t="s">
        <v>7287</v>
      </c>
      <c r="D11447" s="343">
        <v>27.39</v>
      </c>
    </row>
    <row r="11448" spans="1:4" ht="38.25">
      <c r="A11448" s="341">
        <v>39664</v>
      </c>
      <c r="B11448" s="342" t="s">
        <v>12278</v>
      </c>
      <c r="C11448" s="341" t="s">
        <v>7287</v>
      </c>
      <c r="D11448" s="343">
        <v>13.42</v>
      </c>
    </row>
    <row r="11449" spans="1:4" ht="38.25">
      <c r="A11449" s="341">
        <v>39663</v>
      </c>
      <c r="B11449" s="342" t="s">
        <v>12279</v>
      </c>
      <c r="C11449" s="341" t="s">
        <v>7287</v>
      </c>
      <c r="D11449" s="343">
        <v>10.73</v>
      </c>
    </row>
    <row r="11450" spans="1:4" ht="38.25">
      <c r="A11450" s="341">
        <v>39665</v>
      </c>
      <c r="B11450" s="342" t="s">
        <v>12280</v>
      </c>
      <c r="C11450" s="341" t="s">
        <v>7287</v>
      </c>
      <c r="D11450" s="343">
        <v>22.64</v>
      </c>
    </row>
    <row r="11451" spans="1:4" ht="38.25">
      <c r="A11451" s="341">
        <v>39752</v>
      </c>
      <c r="B11451" s="342" t="s">
        <v>12281</v>
      </c>
      <c r="C11451" s="341" t="s">
        <v>7287</v>
      </c>
      <c r="D11451" s="343">
        <v>113.87</v>
      </c>
    </row>
    <row r="11452" spans="1:4" ht="25.5">
      <c r="A11452" s="341">
        <v>12583</v>
      </c>
      <c r="B11452" s="342" t="s">
        <v>12282</v>
      </c>
      <c r="C11452" s="341" t="s">
        <v>7287</v>
      </c>
      <c r="D11452" s="343">
        <v>23.44</v>
      </c>
    </row>
    <row r="11453" spans="1:4" ht="25.5">
      <c r="A11453" s="341">
        <v>12584</v>
      </c>
      <c r="B11453" s="342" t="s">
        <v>12283</v>
      </c>
      <c r="C11453" s="341" t="s">
        <v>7287</v>
      </c>
      <c r="D11453" s="343">
        <v>22.56</v>
      </c>
    </row>
    <row r="11454" spans="1:4" ht="38.25">
      <c r="A11454" s="341">
        <v>13159</v>
      </c>
      <c r="B11454" s="342" t="s">
        <v>12284</v>
      </c>
      <c r="C11454" s="341" t="s">
        <v>7287</v>
      </c>
      <c r="D11454" s="343">
        <v>68.33</v>
      </c>
    </row>
    <row r="11455" spans="1:4" ht="38.25">
      <c r="A11455" s="341">
        <v>13168</v>
      </c>
      <c r="B11455" s="342" t="s">
        <v>12285</v>
      </c>
      <c r="C11455" s="341" t="s">
        <v>7287</v>
      </c>
      <c r="D11455" s="343">
        <v>102.75</v>
      </c>
    </row>
    <row r="11456" spans="1:4" ht="38.25">
      <c r="A11456" s="341">
        <v>13173</v>
      </c>
      <c r="B11456" s="342" t="s">
        <v>12286</v>
      </c>
      <c r="C11456" s="341" t="s">
        <v>7287</v>
      </c>
      <c r="D11456" s="343">
        <v>126.69</v>
      </c>
    </row>
    <row r="11457" spans="1:4" ht="38.25">
      <c r="A11457" s="341">
        <v>37449</v>
      </c>
      <c r="B11457" s="342" t="s">
        <v>12287</v>
      </c>
      <c r="C11457" s="341" t="s">
        <v>7287</v>
      </c>
      <c r="D11457" s="343">
        <v>20.95</v>
      </c>
    </row>
    <row r="11458" spans="1:4" ht="38.25">
      <c r="A11458" s="341">
        <v>37450</v>
      </c>
      <c r="B11458" s="342" t="s">
        <v>12288</v>
      </c>
      <c r="C11458" s="341" t="s">
        <v>7287</v>
      </c>
      <c r="D11458" s="343">
        <v>25.53</v>
      </c>
    </row>
    <row r="11459" spans="1:4" ht="38.25">
      <c r="A11459" s="341">
        <v>37451</v>
      </c>
      <c r="B11459" s="342" t="s">
        <v>12289</v>
      </c>
      <c r="C11459" s="341" t="s">
        <v>7287</v>
      </c>
      <c r="D11459" s="343">
        <v>39.1</v>
      </c>
    </row>
    <row r="11460" spans="1:4" ht="38.25">
      <c r="A11460" s="341">
        <v>37452</v>
      </c>
      <c r="B11460" s="342" t="s">
        <v>12290</v>
      </c>
      <c r="C11460" s="341" t="s">
        <v>7287</v>
      </c>
      <c r="D11460" s="343">
        <v>51.87</v>
      </c>
    </row>
    <row r="11461" spans="1:4" ht="38.25">
      <c r="A11461" s="341">
        <v>37453</v>
      </c>
      <c r="B11461" s="342" t="s">
        <v>12291</v>
      </c>
      <c r="C11461" s="341" t="s">
        <v>7287</v>
      </c>
      <c r="D11461" s="343">
        <v>65.09</v>
      </c>
    </row>
    <row r="11462" spans="1:4" ht="25.5">
      <c r="A11462" s="341">
        <v>7778</v>
      </c>
      <c r="B11462" s="342" t="s">
        <v>12292</v>
      </c>
      <c r="C11462" s="341" t="s">
        <v>7287</v>
      </c>
      <c r="D11462" s="343">
        <v>24.44</v>
      </c>
    </row>
    <row r="11463" spans="1:4" ht="25.5">
      <c r="A11463" s="341">
        <v>7796</v>
      </c>
      <c r="B11463" s="342" t="s">
        <v>12293</v>
      </c>
      <c r="C11463" s="341" t="s">
        <v>7287</v>
      </c>
      <c r="D11463" s="343">
        <v>29.43</v>
      </c>
    </row>
    <row r="11464" spans="1:4" ht="25.5">
      <c r="A11464" s="341">
        <v>7781</v>
      </c>
      <c r="B11464" s="342" t="s">
        <v>12294</v>
      </c>
      <c r="C11464" s="341" t="s">
        <v>7287</v>
      </c>
      <c r="D11464" s="343">
        <v>38.9</v>
      </c>
    </row>
    <row r="11465" spans="1:4" ht="25.5">
      <c r="A11465" s="341">
        <v>7795</v>
      </c>
      <c r="B11465" s="342" t="s">
        <v>12295</v>
      </c>
      <c r="C11465" s="341" t="s">
        <v>7287</v>
      </c>
      <c r="D11465" s="343">
        <v>56.36</v>
      </c>
    </row>
    <row r="11466" spans="1:4" ht="25.5">
      <c r="A11466" s="341">
        <v>7791</v>
      </c>
      <c r="B11466" s="342" t="s">
        <v>12296</v>
      </c>
      <c r="C11466" s="341" t="s">
        <v>7287</v>
      </c>
      <c r="D11466" s="343">
        <v>71.819999999999993</v>
      </c>
    </row>
    <row r="11467" spans="1:4" ht="25.5">
      <c r="A11467" s="341">
        <v>7783</v>
      </c>
      <c r="B11467" s="342" t="s">
        <v>12297</v>
      </c>
      <c r="C11467" s="341" t="s">
        <v>7287</v>
      </c>
      <c r="D11467" s="343">
        <v>27.43</v>
      </c>
    </row>
    <row r="11468" spans="1:4" ht="25.5">
      <c r="A11468" s="341">
        <v>7790</v>
      </c>
      <c r="B11468" s="342" t="s">
        <v>12298</v>
      </c>
      <c r="C11468" s="341" t="s">
        <v>7287</v>
      </c>
      <c r="D11468" s="343">
        <v>31.92</v>
      </c>
    </row>
    <row r="11469" spans="1:4" ht="25.5">
      <c r="A11469" s="341">
        <v>7785</v>
      </c>
      <c r="B11469" s="342" t="s">
        <v>12299</v>
      </c>
      <c r="C11469" s="341" t="s">
        <v>7287</v>
      </c>
      <c r="D11469" s="343">
        <v>41.9</v>
      </c>
    </row>
    <row r="11470" spans="1:4" ht="25.5">
      <c r="A11470" s="341">
        <v>7792</v>
      </c>
      <c r="B11470" s="342" t="s">
        <v>12300</v>
      </c>
      <c r="C11470" s="341" t="s">
        <v>7287</v>
      </c>
      <c r="D11470" s="343">
        <v>60.85</v>
      </c>
    </row>
    <row r="11471" spans="1:4" ht="25.5">
      <c r="A11471" s="341">
        <v>7793</v>
      </c>
      <c r="B11471" s="342" t="s">
        <v>12301</v>
      </c>
      <c r="C11471" s="341" t="s">
        <v>7287</v>
      </c>
      <c r="D11471" s="343">
        <v>78.53</v>
      </c>
    </row>
    <row r="11472" spans="1:4" ht="25.5">
      <c r="A11472" s="341">
        <v>12613</v>
      </c>
      <c r="B11472" s="342" t="s">
        <v>12302</v>
      </c>
      <c r="C11472" s="341" t="s">
        <v>7278</v>
      </c>
      <c r="D11472" s="343">
        <v>12.41</v>
      </c>
    </row>
    <row r="11473" spans="1:4" ht="25.5">
      <c r="A11473" s="341">
        <v>1031</v>
      </c>
      <c r="B11473" s="342" t="s">
        <v>12303</v>
      </c>
      <c r="C11473" s="341" t="s">
        <v>7278</v>
      </c>
      <c r="D11473" s="343">
        <v>8.6999999999999993</v>
      </c>
    </row>
    <row r="11474" spans="1:4" ht="51">
      <c r="A11474" s="341">
        <v>39707</v>
      </c>
      <c r="B11474" s="342" t="s">
        <v>12304</v>
      </c>
      <c r="C11474" s="341" t="s">
        <v>7287</v>
      </c>
      <c r="D11474" s="343">
        <v>2.41</v>
      </c>
    </row>
    <row r="11475" spans="1:4" ht="51">
      <c r="A11475" s="341">
        <v>39708</v>
      </c>
      <c r="B11475" s="342" t="s">
        <v>12305</v>
      </c>
      <c r="C11475" s="341" t="s">
        <v>7287</v>
      </c>
      <c r="D11475" s="343">
        <v>2.34</v>
      </c>
    </row>
    <row r="11476" spans="1:4" ht="51">
      <c r="A11476" s="341">
        <v>39710</v>
      </c>
      <c r="B11476" s="342" t="s">
        <v>12306</v>
      </c>
      <c r="C11476" s="341" t="s">
        <v>7287</v>
      </c>
      <c r="D11476" s="343">
        <v>1.64</v>
      </c>
    </row>
    <row r="11477" spans="1:4" ht="51">
      <c r="A11477" s="341">
        <v>39709</v>
      </c>
      <c r="B11477" s="342" t="s">
        <v>12307</v>
      </c>
      <c r="C11477" s="341" t="s">
        <v>7287</v>
      </c>
      <c r="D11477" s="343">
        <v>2.2799999999999998</v>
      </c>
    </row>
    <row r="11478" spans="1:4" ht="51">
      <c r="A11478" s="341">
        <v>39711</v>
      </c>
      <c r="B11478" s="342" t="s">
        <v>12308</v>
      </c>
      <c r="C11478" s="341" t="s">
        <v>7287</v>
      </c>
      <c r="D11478" s="343">
        <v>2.56</v>
      </c>
    </row>
    <row r="11479" spans="1:4" ht="51">
      <c r="A11479" s="341">
        <v>39712</v>
      </c>
      <c r="B11479" s="342" t="s">
        <v>12309</v>
      </c>
      <c r="C11479" s="341" t="s">
        <v>7287</v>
      </c>
      <c r="D11479" s="343">
        <v>0.9</v>
      </c>
    </row>
    <row r="11480" spans="1:4" ht="51">
      <c r="A11480" s="341">
        <v>39713</v>
      </c>
      <c r="B11480" s="342" t="s">
        <v>12310</v>
      </c>
      <c r="C11480" s="341" t="s">
        <v>7287</v>
      </c>
      <c r="D11480" s="343">
        <v>0.71</v>
      </c>
    </row>
    <row r="11481" spans="1:4" ht="51">
      <c r="A11481" s="341">
        <v>39714</v>
      </c>
      <c r="B11481" s="342" t="s">
        <v>12311</v>
      </c>
      <c r="C11481" s="341" t="s">
        <v>7287</v>
      </c>
      <c r="D11481" s="343">
        <v>1.63</v>
      </c>
    </row>
    <row r="11482" spans="1:4" ht="51">
      <c r="A11482" s="341">
        <v>39715</v>
      </c>
      <c r="B11482" s="342" t="s">
        <v>12312</v>
      </c>
      <c r="C11482" s="341" t="s">
        <v>7287</v>
      </c>
      <c r="D11482" s="343">
        <v>1.1599999999999999</v>
      </c>
    </row>
    <row r="11483" spans="1:4" ht="51">
      <c r="A11483" s="341">
        <v>39716</v>
      </c>
      <c r="B11483" s="342" t="s">
        <v>12313</v>
      </c>
      <c r="C11483" s="341" t="s">
        <v>7287</v>
      </c>
      <c r="D11483" s="343">
        <v>0.88</v>
      </c>
    </row>
    <row r="11484" spans="1:4" ht="51">
      <c r="A11484" s="341">
        <v>39718</v>
      </c>
      <c r="B11484" s="342" t="s">
        <v>12314</v>
      </c>
      <c r="C11484" s="341" t="s">
        <v>7287</v>
      </c>
      <c r="D11484" s="343">
        <v>1.5</v>
      </c>
    </row>
    <row r="11485" spans="1:4" ht="38.25">
      <c r="A11485" s="341">
        <v>9813</v>
      </c>
      <c r="B11485" s="342" t="s">
        <v>12315</v>
      </c>
      <c r="C11485" s="341" t="s">
        <v>7287</v>
      </c>
      <c r="D11485" s="343">
        <v>3.44</v>
      </c>
    </row>
    <row r="11486" spans="1:4" ht="38.25">
      <c r="A11486" s="341">
        <v>9815</v>
      </c>
      <c r="B11486" s="342" t="s">
        <v>12316</v>
      </c>
      <c r="C11486" s="341" t="s">
        <v>7287</v>
      </c>
      <c r="D11486" s="343">
        <v>6.79</v>
      </c>
    </row>
    <row r="11487" spans="1:4" ht="51">
      <c r="A11487" s="341">
        <v>25876</v>
      </c>
      <c r="B11487" s="342" t="s">
        <v>12317</v>
      </c>
      <c r="C11487" s="341" t="s">
        <v>7287</v>
      </c>
      <c r="D11487" s="344">
        <v>3380.37</v>
      </c>
    </row>
    <row r="11488" spans="1:4" ht="51">
      <c r="A11488" s="341">
        <v>25888</v>
      </c>
      <c r="B11488" s="342" t="s">
        <v>12318</v>
      </c>
      <c r="C11488" s="341" t="s">
        <v>7287</v>
      </c>
      <c r="D11488" s="343">
        <v>82.85</v>
      </c>
    </row>
    <row r="11489" spans="1:4" ht="51">
      <c r="A11489" s="341">
        <v>25874</v>
      </c>
      <c r="B11489" s="342" t="s">
        <v>12319</v>
      </c>
      <c r="C11489" s="341" t="s">
        <v>7287</v>
      </c>
      <c r="D11489" s="344">
        <v>5928.66</v>
      </c>
    </row>
    <row r="11490" spans="1:4" ht="51">
      <c r="A11490" s="341">
        <v>25877</v>
      </c>
      <c r="B11490" s="342" t="s">
        <v>12320</v>
      </c>
      <c r="C11490" s="341" t="s">
        <v>7287</v>
      </c>
      <c r="D11490" s="344">
        <v>8089.88</v>
      </c>
    </row>
    <row r="11491" spans="1:4" ht="51">
      <c r="A11491" s="341">
        <v>25878</v>
      </c>
      <c r="B11491" s="342" t="s">
        <v>12321</v>
      </c>
      <c r="C11491" s="341" t="s">
        <v>7287</v>
      </c>
      <c r="D11491" s="343">
        <v>177.83</v>
      </c>
    </row>
    <row r="11492" spans="1:4" ht="51">
      <c r="A11492" s="341">
        <v>25879</v>
      </c>
      <c r="B11492" s="342" t="s">
        <v>12322</v>
      </c>
      <c r="C11492" s="341" t="s">
        <v>7287</v>
      </c>
      <c r="D11492" s="344">
        <v>7674.22</v>
      </c>
    </row>
    <row r="11493" spans="1:4" ht="51">
      <c r="A11493" s="341">
        <v>25887</v>
      </c>
      <c r="B11493" s="342" t="s">
        <v>12323</v>
      </c>
      <c r="C11493" s="341" t="s">
        <v>7287</v>
      </c>
      <c r="D11493" s="344">
        <v>3065.97</v>
      </c>
    </row>
    <row r="11494" spans="1:4" ht="51">
      <c r="A11494" s="341">
        <v>25880</v>
      </c>
      <c r="B11494" s="342" t="s">
        <v>12324</v>
      </c>
      <c r="C11494" s="341" t="s">
        <v>7287</v>
      </c>
      <c r="D11494" s="343">
        <v>277.22000000000003</v>
      </c>
    </row>
    <row r="11495" spans="1:4" ht="51">
      <c r="A11495" s="341">
        <v>25881</v>
      </c>
      <c r="B11495" s="342" t="s">
        <v>12325</v>
      </c>
      <c r="C11495" s="341" t="s">
        <v>7287</v>
      </c>
      <c r="D11495" s="343">
        <v>679.26</v>
      </c>
    </row>
    <row r="11496" spans="1:4" ht="51">
      <c r="A11496" s="341">
        <v>25882</v>
      </c>
      <c r="B11496" s="342" t="s">
        <v>12326</v>
      </c>
      <c r="C11496" s="341" t="s">
        <v>7287</v>
      </c>
      <c r="D11496" s="344">
        <v>1094.05</v>
      </c>
    </row>
    <row r="11497" spans="1:4" ht="51">
      <c r="A11497" s="341">
        <v>25883</v>
      </c>
      <c r="B11497" s="342" t="s">
        <v>12327</v>
      </c>
      <c r="C11497" s="341" t="s">
        <v>7287</v>
      </c>
      <c r="D11497" s="343">
        <v>17.649999999999999</v>
      </c>
    </row>
    <row r="11498" spans="1:4" ht="51">
      <c r="A11498" s="341">
        <v>25884</v>
      </c>
      <c r="B11498" s="342" t="s">
        <v>12328</v>
      </c>
      <c r="C11498" s="341" t="s">
        <v>7287</v>
      </c>
      <c r="D11498" s="344">
        <v>1920.75</v>
      </c>
    </row>
    <row r="11499" spans="1:4" ht="51">
      <c r="A11499" s="341">
        <v>25885</v>
      </c>
      <c r="B11499" s="342" t="s">
        <v>12329</v>
      </c>
      <c r="C11499" s="341" t="s">
        <v>7287</v>
      </c>
      <c r="D11499" s="344">
        <v>2856.7</v>
      </c>
    </row>
    <row r="11500" spans="1:4" ht="51">
      <c r="A11500" s="341">
        <v>25889</v>
      </c>
      <c r="B11500" s="342" t="s">
        <v>12330</v>
      </c>
      <c r="C11500" s="341" t="s">
        <v>7287</v>
      </c>
      <c r="D11500" s="344">
        <v>1432.56</v>
      </c>
    </row>
    <row r="11501" spans="1:4" ht="51">
      <c r="A11501" s="341">
        <v>25886</v>
      </c>
      <c r="B11501" s="342" t="s">
        <v>12331</v>
      </c>
      <c r="C11501" s="341" t="s">
        <v>7287</v>
      </c>
      <c r="D11501" s="343">
        <v>39.47</v>
      </c>
    </row>
    <row r="11502" spans="1:4" ht="51">
      <c r="A11502" s="341">
        <v>25875</v>
      </c>
      <c r="B11502" s="342" t="s">
        <v>12332</v>
      </c>
      <c r="C11502" s="341" t="s">
        <v>7287</v>
      </c>
      <c r="D11502" s="344">
        <v>1869.01</v>
      </c>
    </row>
    <row r="11503" spans="1:4" ht="25.5">
      <c r="A11503" s="341">
        <v>9876</v>
      </c>
      <c r="B11503" s="342" t="s">
        <v>12333</v>
      </c>
      <c r="C11503" s="341" t="s">
        <v>7287</v>
      </c>
      <c r="D11503" s="343">
        <v>9.44</v>
      </c>
    </row>
    <row r="11504" spans="1:4" ht="25.5">
      <c r="A11504" s="341">
        <v>9877</v>
      </c>
      <c r="B11504" s="342" t="s">
        <v>12334</v>
      </c>
      <c r="C11504" s="341" t="s">
        <v>7287</v>
      </c>
      <c r="D11504" s="343">
        <v>34.130000000000003</v>
      </c>
    </row>
    <row r="11505" spans="1:4" ht="25.5">
      <c r="A11505" s="341">
        <v>9878</v>
      </c>
      <c r="B11505" s="342" t="s">
        <v>12335</v>
      </c>
      <c r="C11505" s="341" t="s">
        <v>7287</v>
      </c>
      <c r="D11505" s="343">
        <v>47.38</v>
      </c>
    </row>
    <row r="11506" spans="1:4" ht="25.5">
      <c r="A11506" s="341">
        <v>9879</v>
      </c>
      <c r="B11506" s="342" t="s">
        <v>12336</v>
      </c>
      <c r="C11506" s="341" t="s">
        <v>7287</v>
      </c>
      <c r="D11506" s="343">
        <v>111.83</v>
      </c>
    </row>
    <row r="11507" spans="1:4" ht="63.75">
      <c r="A11507" s="341">
        <v>42001</v>
      </c>
      <c r="B11507" s="342" t="s">
        <v>12337</v>
      </c>
      <c r="C11507" s="341" t="s">
        <v>7287</v>
      </c>
      <c r="D11507" s="343">
        <v>338.27</v>
      </c>
    </row>
    <row r="11508" spans="1:4" ht="63.75">
      <c r="A11508" s="341">
        <v>41998</v>
      </c>
      <c r="B11508" s="342" t="s">
        <v>12338</v>
      </c>
      <c r="C11508" s="341" t="s">
        <v>7287</v>
      </c>
      <c r="D11508" s="343">
        <v>833.62</v>
      </c>
    </row>
    <row r="11509" spans="1:4" ht="63.75">
      <c r="A11509" s="341">
        <v>41999</v>
      </c>
      <c r="B11509" s="342" t="s">
        <v>12339</v>
      </c>
      <c r="C11509" s="341" t="s">
        <v>7287</v>
      </c>
      <c r="D11509" s="344">
        <v>1529.19</v>
      </c>
    </row>
    <row r="11510" spans="1:4" ht="63.75">
      <c r="A11510" s="341">
        <v>42000</v>
      </c>
      <c r="B11510" s="342" t="s">
        <v>12340</v>
      </c>
      <c r="C11510" s="341" t="s">
        <v>7287</v>
      </c>
      <c r="D11510" s="344">
        <v>2611.38</v>
      </c>
    </row>
    <row r="11511" spans="1:4" ht="63.75">
      <c r="A11511" s="341">
        <v>38053</v>
      </c>
      <c r="B11511" s="342" t="s">
        <v>12341</v>
      </c>
      <c r="C11511" s="341" t="s">
        <v>7287</v>
      </c>
      <c r="D11511" s="343">
        <v>11.75</v>
      </c>
    </row>
    <row r="11512" spans="1:4" ht="63.75">
      <c r="A11512" s="341">
        <v>38054</v>
      </c>
      <c r="B11512" s="342" t="s">
        <v>12342</v>
      </c>
      <c r="C11512" s="341" t="s">
        <v>7287</v>
      </c>
      <c r="D11512" s="343">
        <v>20.2</v>
      </c>
    </row>
    <row r="11513" spans="1:4" ht="63.75">
      <c r="A11513" s="341">
        <v>38052</v>
      </c>
      <c r="B11513" s="342" t="s">
        <v>12343</v>
      </c>
      <c r="C11513" s="341" t="s">
        <v>7287</v>
      </c>
      <c r="D11513" s="343">
        <v>5.69</v>
      </c>
    </row>
    <row r="11514" spans="1:4" ht="63.75">
      <c r="A11514" s="341">
        <v>38051</v>
      </c>
      <c r="B11514" s="342" t="s">
        <v>12344</v>
      </c>
      <c r="C11514" s="341" t="s">
        <v>7287</v>
      </c>
      <c r="D11514" s="343">
        <v>3.54</v>
      </c>
    </row>
    <row r="11515" spans="1:4">
      <c r="A11515" s="341">
        <v>38787</v>
      </c>
      <c r="B11515" s="342" t="s">
        <v>12345</v>
      </c>
      <c r="C11515" s="341" t="s">
        <v>7287</v>
      </c>
      <c r="D11515" s="343">
        <v>3.64</v>
      </c>
    </row>
    <row r="11516" spans="1:4">
      <c r="A11516" s="341">
        <v>38825</v>
      </c>
      <c r="B11516" s="342" t="s">
        <v>12346</v>
      </c>
      <c r="C11516" s="341" t="s">
        <v>7287</v>
      </c>
      <c r="D11516" s="343">
        <v>4.7699999999999996</v>
      </c>
    </row>
    <row r="11517" spans="1:4">
      <c r="A11517" s="341">
        <v>38826</v>
      </c>
      <c r="B11517" s="342" t="s">
        <v>12347</v>
      </c>
      <c r="C11517" s="341" t="s">
        <v>7287</v>
      </c>
      <c r="D11517" s="343">
        <v>7.06</v>
      </c>
    </row>
    <row r="11518" spans="1:4">
      <c r="A11518" s="341">
        <v>38827</v>
      </c>
      <c r="B11518" s="342" t="s">
        <v>12348</v>
      </c>
      <c r="C11518" s="341" t="s">
        <v>7287</v>
      </c>
      <c r="D11518" s="343">
        <v>11.35</v>
      </c>
    </row>
    <row r="11519" spans="1:4" ht="25.5">
      <c r="A11519" s="341">
        <v>38830</v>
      </c>
      <c r="B11519" s="342" t="s">
        <v>12349</v>
      </c>
      <c r="C11519" s="341" t="s">
        <v>7287</v>
      </c>
      <c r="D11519" s="343">
        <v>15.9</v>
      </c>
    </row>
    <row r="11520" spans="1:4" ht="25.5">
      <c r="A11520" s="341">
        <v>38828</v>
      </c>
      <c r="B11520" s="342" t="s">
        <v>12350</v>
      </c>
      <c r="C11520" s="341" t="s">
        <v>7287</v>
      </c>
      <c r="D11520" s="343">
        <v>7.01</v>
      </c>
    </row>
    <row r="11521" spans="1:4" ht="25.5">
      <c r="A11521" s="341">
        <v>38829</v>
      </c>
      <c r="B11521" s="342" t="s">
        <v>12351</v>
      </c>
      <c r="C11521" s="341" t="s">
        <v>7287</v>
      </c>
      <c r="D11521" s="343">
        <v>11.48</v>
      </c>
    </row>
    <row r="11522" spans="1:4" ht="25.5">
      <c r="A11522" s="341">
        <v>38831</v>
      </c>
      <c r="B11522" s="342" t="s">
        <v>12352</v>
      </c>
      <c r="C11522" s="341" t="s">
        <v>7287</v>
      </c>
      <c r="D11522" s="343">
        <v>22.17</v>
      </c>
    </row>
    <row r="11523" spans="1:4" ht="25.5">
      <c r="A11523" s="341">
        <v>36274</v>
      </c>
      <c r="B11523" s="342" t="s">
        <v>12353</v>
      </c>
      <c r="C11523" s="341" t="s">
        <v>7287</v>
      </c>
      <c r="D11523" s="343">
        <v>4.42</v>
      </c>
    </row>
    <row r="11524" spans="1:4" ht="25.5">
      <c r="A11524" s="341">
        <v>36278</v>
      </c>
      <c r="B11524" s="342" t="s">
        <v>12354</v>
      </c>
      <c r="C11524" s="341" t="s">
        <v>7287</v>
      </c>
      <c r="D11524" s="343">
        <v>5.99</v>
      </c>
    </row>
    <row r="11525" spans="1:4">
      <c r="A11525" s="341">
        <v>38977</v>
      </c>
      <c r="B11525" s="342" t="s">
        <v>12355</v>
      </c>
      <c r="C11525" s="341" t="s">
        <v>7287</v>
      </c>
      <c r="D11525" s="343">
        <v>91.24</v>
      </c>
    </row>
    <row r="11526" spans="1:4">
      <c r="A11526" s="341">
        <v>38971</v>
      </c>
      <c r="B11526" s="342" t="s">
        <v>12356</v>
      </c>
      <c r="C11526" s="341" t="s">
        <v>7287</v>
      </c>
      <c r="D11526" s="343">
        <v>7.51</v>
      </c>
    </row>
    <row r="11527" spans="1:4">
      <c r="A11527" s="341">
        <v>38972</v>
      </c>
      <c r="B11527" s="342" t="s">
        <v>12357</v>
      </c>
      <c r="C11527" s="341" t="s">
        <v>7287</v>
      </c>
      <c r="D11527" s="343">
        <v>11.44</v>
      </c>
    </row>
    <row r="11528" spans="1:4">
      <c r="A11528" s="341">
        <v>38973</v>
      </c>
      <c r="B11528" s="342" t="s">
        <v>12358</v>
      </c>
      <c r="C11528" s="341" t="s">
        <v>7287</v>
      </c>
      <c r="D11528" s="343">
        <v>15.14</v>
      </c>
    </row>
    <row r="11529" spans="1:4">
      <c r="A11529" s="341">
        <v>38974</v>
      </c>
      <c r="B11529" s="342" t="s">
        <v>12359</v>
      </c>
      <c r="C11529" s="341" t="s">
        <v>7287</v>
      </c>
      <c r="D11529" s="343">
        <v>22.08</v>
      </c>
    </row>
    <row r="11530" spans="1:4">
      <c r="A11530" s="341">
        <v>38975</v>
      </c>
      <c r="B11530" s="342" t="s">
        <v>12360</v>
      </c>
      <c r="C11530" s="341" t="s">
        <v>7287</v>
      </c>
      <c r="D11530" s="343">
        <v>36.799999999999997</v>
      </c>
    </row>
    <row r="11531" spans="1:4">
      <c r="A11531" s="341">
        <v>38976</v>
      </c>
      <c r="B11531" s="342" t="s">
        <v>12361</v>
      </c>
      <c r="C11531" s="341" t="s">
        <v>7287</v>
      </c>
      <c r="D11531" s="343">
        <v>51.61</v>
      </c>
    </row>
    <row r="11532" spans="1:4" ht="25.5">
      <c r="A11532" s="341">
        <v>38986</v>
      </c>
      <c r="B11532" s="342" t="s">
        <v>12362</v>
      </c>
      <c r="C11532" s="341" t="s">
        <v>7287</v>
      </c>
      <c r="D11532" s="343">
        <v>103.87</v>
      </c>
    </row>
    <row r="11533" spans="1:4" ht="25.5">
      <c r="A11533" s="341">
        <v>38978</v>
      </c>
      <c r="B11533" s="342" t="s">
        <v>12363</v>
      </c>
      <c r="C11533" s="341" t="s">
        <v>7287</v>
      </c>
      <c r="D11533" s="343">
        <v>4.42</v>
      </c>
    </row>
    <row r="11534" spans="1:4" ht="25.5">
      <c r="A11534" s="341">
        <v>38979</v>
      </c>
      <c r="B11534" s="342" t="s">
        <v>12364</v>
      </c>
      <c r="C11534" s="341" t="s">
        <v>7287</v>
      </c>
      <c r="D11534" s="343">
        <v>5.99</v>
      </c>
    </row>
    <row r="11535" spans="1:4" ht="25.5">
      <c r="A11535" s="341">
        <v>38980</v>
      </c>
      <c r="B11535" s="342" t="s">
        <v>12365</v>
      </c>
      <c r="C11535" s="341" t="s">
        <v>7287</v>
      </c>
      <c r="D11535" s="343">
        <v>10.02</v>
      </c>
    </row>
    <row r="11536" spans="1:4" ht="25.5">
      <c r="A11536" s="341">
        <v>38981</v>
      </c>
      <c r="B11536" s="342" t="s">
        <v>12366</v>
      </c>
      <c r="C11536" s="341" t="s">
        <v>7287</v>
      </c>
      <c r="D11536" s="343">
        <v>13.88</v>
      </c>
    </row>
    <row r="11537" spans="1:4" ht="25.5">
      <c r="A11537" s="341">
        <v>38982</v>
      </c>
      <c r="B11537" s="342" t="s">
        <v>12367</v>
      </c>
      <c r="C11537" s="341" t="s">
        <v>7287</v>
      </c>
      <c r="D11537" s="343">
        <v>20.2</v>
      </c>
    </row>
    <row r="11538" spans="1:4" ht="25.5">
      <c r="A11538" s="341">
        <v>38983</v>
      </c>
      <c r="B11538" s="342" t="s">
        <v>12368</v>
      </c>
      <c r="C11538" s="341" t="s">
        <v>7287</v>
      </c>
      <c r="D11538" s="343">
        <v>26.78</v>
      </c>
    </row>
    <row r="11539" spans="1:4" ht="25.5">
      <c r="A11539" s="341">
        <v>38984</v>
      </c>
      <c r="B11539" s="342" t="s">
        <v>12369</v>
      </c>
      <c r="C11539" s="341" t="s">
        <v>7287</v>
      </c>
      <c r="D11539" s="343">
        <v>51.65</v>
      </c>
    </row>
    <row r="11540" spans="1:4" ht="25.5">
      <c r="A11540" s="341">
        <v>38985</v>
      </c>
      <c r="B11540" s="342" t="s">
        <v>12370</v>
      </c>
      <c r="C11540" s="341" t="s">
        <v>7287</v>
      </c>
      <c r="D11540" s="343">
        <v>76.459999999999994</v>
      </c>
    </row>
    <row r="11541" spans="1:4" ht="25.5">
      <c r="A11541" s="341">
        <v>9836</v>
      </c>
      <c r="B11541" s="342" t="s">
        <v>12371</v>
      </c>
      <c r="C11541" s="341" t="s">
        <v>7287</v>
      </c>
      <c r="D11541" s="343">
        <v>7.49</v>
      </c>
    </row>
    <row r="11542" spans="1:4" ht="25.5">
      <c r="A11542" s="341">
        <v>20065</v>
      </c>
      <c r="B11542" s="342" t="s">
        <v>12372</v>
      </c>
      <c r="C11542" s="341" t="s">
        <v>7287</v>
      </c>
      <c r="D11542" s="343">
        <v>17.760000000000002</v>
      </c>
    </row>
    <row r="11543" spans="1:4" ht="25.5">
      <c r="A11543" s="341">
        <v>9835</v>
      </c>
      <c r="B11543" s="342" t="s">
        <v>12373</v>
      </c>
      <c r="C11543" s="341" t="s">
        <v>7287</v>
      </c>
      <c r="D11543" s="343">
        <v>2.83</v>
      </c>
    </row>
    <row r="11544" spans="1:4" ht="25.5">
      <c r="A11544" s="341">
        <v>38032</v>
      </c>
      <c r="B11544" s="342" t="s">
        <v>12374</v>
      </c>
      <c r="C11544" s="341" t="s">
        <v>7287</v>
      </c>
      <c r="D11544" s="343">
        <v>30.01</v>
      </c>
    </row>
    <row r="11545" spans="1:4" ht="25.5">
      <c r="A11545" s="341">
        <v>38033</v>
      </c>
      <c r="B11545" s="342" t="s">
        <v>12375</v>
      </c>
      <c r="C11545" s="341" t="s">
        <v>7287</v>
      </c>
      <c r="D11545" s="343">
        <v>47.24</v>
      </c>
    </row>
    <row r="11546" spans="1:4" ht="25.5">
      <c r="A11546" s="341">
        <v>38034</v>
      </c>
      <c r="B11546" s="342" t="s">
        <v>12376</v>
      </c>
      <c r="C11546" s="341" t="s">
        <v>7287</v>
      </c>
      <c r="D11546" s="343">
        <v>79.83</v>
      </c>
    </row>
    <row r="11547" spans="1:4" ht="25.5">
      <c r="A11547" s="341">
        <v>38035</v>
      </c>
      <c r="B11547" s="342" t="s">
        <v>12377</v>
      </c>
      <c r="C11547" s="341" t="s">
        <v>7287</v>
      </c>
      <c r="D11547" s="343">
        <v>127.73</v>
      </c>
    </row>
    <row r="11548" spans="1:4" ht="25.5">
      <c r="A11548" s="341">
        <v>38036</v>
      </c>
      <c r="B11548" s="342" t="s">
        <v>12378</v>
      </c>
      <c r="C11548" s="341" t="s">
        <v>7287</v>
      </c>
      <c r="D11548" s="343">
        <v>188.95</v>
      </c>
    </row>
    <row r="11549" spans="1:4" ht="25.5">
      <c r="A11549" s="341">
        <v>38037</v>
      </c>
      <c r="B11549" s="342" t="s">
        <v>12379</v>
      </c>
      <c r="C11549" s="341" t="s">
        <v>7287</v>
      </c>
      <c r="D11549" s="343">
        <v>223.39</v>
      </c>
    </row>
    <row r="11550" spans="1:4" ht="38.25">
      <c r="A11550" s="341">
        <v>9850</v>
      </c>
      <c r="B11550" s="342" t="s">
        <v>12380</v>
      </c>
      <c r="C11550" s="341" t="s">
        <v>7287</v>
      </c>
      <c r="D11550" s="343">
        <v>94.88</v>
      </c>
    </row>
    <row r="11551" spans="1:4" ht="38.25">
      <c r="A11551" s="341">
        <v>9853</v>
      </c>
      <c r="B11551" s="342" t="s">
        <v>12381</v>
      </c>
      <c r="C11551" s="341" t="s">
        <v>7287</v>
      </c>
      <c r="D11551" s="343">
        <v>168.72</v>
      </c>
    </row>
    <row r="11552" spans="1:4" ht="38.25">
      <c r="A11552" s="341">
        <v>9854</v>
      </c>
      <c r="B11552" s="342" t="s">
        <v>12382</v>
      </c>
      <c r="C11552" s="341" t="s">
        <v>7287</v>
      </c>
      <c r="D11552" s="343">
        <v>73.92</v>
      </c>
    </row>
    <row r="11553" spans="1:4" ht="38.25">
      <c r="A11553" s="341">
        <v>9851</v>
      </c>
      <c r="B11553" s="342" t="s">
        <v>12383</v>
      </c>
      <c r="C11553" s="341" t="s">
        <v>7287</v>
      </c>
      <c r="D11553" s="343">
        <v>128.19</v>
      </c>
    </row>
    <row r="11554" spans="1:4" ht="38.25">
      <c r="A11554" s="341">
        <v>9855</v>
      </c>
      <c r="B11554" s="342" t="s">
        <v>12384</v>
      </c>
      <c r="C11554" s="341" t="s">
        <v>7287</v>
      </c>
      <c r="D11554" s="343">
        <v>214.41</v>
      </c>
    </row>
    <row r="11555" spans="1:4" ht="25.5">
      <c r="A11555" s="341">
        <v>9825</v>
      </c>
      <c r="B11555" s="342" t="s">
        <v>12385</v>
      </c>
      <c r="C11555" s="341" t="s">
        <v>7287</v>
      </c>
      <c r="D11555" s="343">
        <v>35.22</v>
      </c>
    </row>
    <row r="11556" spans="1:4" ht="25.5">
      <c r="A11556" s="341">
        <v>9828</v>
      </c>
      <c r="B11556" s="342" t="s">
        <v>12386</v>
      </c>
      <c r="C11556" s="341" t="s">
        <v>7287</v>
      </c>
      <c r="D11556" s="343">
        <v>68.67</v>
      </c>
    </row>
    <row r="11557" spans="1:4" ht="25.5">
      <c r="A11557" s="341">
        <v>9829</v>
      </c>
      <c r="B11557" s="342" t="s">
        <v>12387</v>
      </c>
      <c r="C11557" s="341" t="s">
        <v>7287</v>
      </c>
      <c r="D11557" s="343">
        <v>122.24</v>
      </c>
    </row>
    <row r="11558" spans="1:4" ht="25.5">
      <c r="A11558" s="341">
        <v>9826</v>
      </c>
      <c r="B11558" s="342" t="s">
        <v>12388</v>
      </c>
      <c r="C11558" s="341" t="s">
        <v>7287</v>
      </c>
      <c r="D11558" s="343">
        <v>181.35</v>
      </c>
    </row>
    <row r="11559" spans="1:4" ht="25.5">
      <c r="A11559" s="341">
        <v>9827</v>
      </c>
      <c r="B11559" s="342" t="s">
        <v>12389</v>
      </c>
      <c r="C11559" s="341" t="s">
        <v>7287</v>
      </c>
      <c r="D11559" s="343">
        <v>263.57</v>
      </c>
    </row>
    <row r="11560" spans="1:4" ht="25.5">
      <c r="A11560" s="341">
        <v>36374</v>
      </c>
      <c r="B11560" s="342" t="s">
        <v>12390</v>
      </c>
      <c r="C11560" s="341" t="s">
        <v>7287</v>
      </c>
      <c r="D11560" s="343">
        <v>42.03</v>
      </c>
    </row>
    <row r="11561" spans="1:4" ht="25.5">
      <c r="A11561" s="341">
        <v>36084</v>
      </c>
      <c r="B11561" s="342" t="s">
        <v>12391</v>
      </c>
      <c r="C11561" s="341" t="s">
        <v>7287</v>
      </c>
      <c r="D11561" s="343">
        <v>12.67</v>
      </c>
    </row>
    <row r="11562" spans="1:4" ht="25.5">
      <c r="A11562" s="341">
        <v>36373</v>
      </c>
      <c r="B11562" s="342" t="s">
        <v>12392</v>
      </c>
      <c r="C11562" s="341" t="s">
        <v>7287</v>
      </c>
      <c r="D11562" s="343">
        <v>25.72</v>
      </c>
    </row>
    <row r="11563" spans="1:4" ht="25.5">
      <c r="A11563" s="341">
        <v>36377</v>
      </c>
      <c r="B11563" s="342" t="s">
        <v>12393</v>
      </c>
      <c r="C11563" s="341" t="s">
        <v>7287</v>
      </c>
      <c r="D11563" s="343">
        <v>48.98</v>
      </c>
    </row>
    <row r="11564" spans="1:4" ht="25.5">
      <c r="A11564" s="341">
        <v>36375</v>
      </c>
      <c r="B11564" s="342" t="s">
        <v>12394</v>
      </c>
      <c r="C11564" s="341" t="s">
        <v>7287</v>
      </c>
      <c r="D11564" s="343">
        <v>14.54</v>
      </c>
    </row>
    <row r="11565" spans="1:4" ht="25.5">
      <c r="A11565" s="341">
        <v>36376</v>
      </c>
      <c r="B11565" s="342" t="s">
        <v>12395</v>
      </c>
      <c r="C11565" s="341" t="s">
        <v>7287</v>
      </c>
      <c r="D11565" s="343">
        <v>29.09</v>
      </c>
    </row>
    <row r="11566" spans="1:4" ht="25.5">
      <c r="A11566" s="341">
        <v>36380</v>
      </c>
      <c r="B11566" s="342" t="s">
        <v>12396</v>
      </c>
      <c r="C11566" s="341" t="s">
        <v>7287</v>
      </c>
      <c r="D11566" s="343">
        <v>63.99</v>
      </c>
    </row>
    <row r="11567" spans="1:4" ht="25.5">
      <c r="A11567" s="341">
        <v>36378</v>
      </c>
      <c r="B11567" s="342" t="s">
        <v>12397</v>
      </c>
      <c r="C11567" s="341" t="s">
        <v>7287</v>
      </c>
      <c r="D11567" s="343">
        <v>19.25</v>
      </c>
    </row>
    <row r="11568" spans="1:4" ht="25.5">
      <c r="A11568" s="341">
        <v>36379</v>
      </c>
      <c r="B11568" s="342" t="s">
        <v>12398</v>
      </c>
      <c r="C11568" s="341" t="s">
        <v>7287</v>
      </c>
      <c r="D11568" s="343">
        <v>38.74</v>
      </c>
    </row>
    <row r="11569" spans="1:4">
      <c r="A11569" s="341">
        <v>9859</v>
      </c>
      <c r="B11569" s="342" t="s">
        <v>12399</v>
      </c>
      <c r="C11569" s="341" t="s">
        <v>7287</v>
      </c>
      <c r="D11569" s="343">
        <v>7.63</v>
      </c>
    </row>
    <row r="11570" spans="1:4" ht="25.5">
      <c r="A11570" s="341">
        <v>9838</v>
      </c>
      <c r="B11570" s="342" t="s">
        <v>12400</v>
      </c>
      <c r="C11570" s="341" t="s">
        <v>7287</v>
      </c>
      <c r="D11570" s="343">
        <v>4.87</v>
      </c>
    </row>
    <row r="11571" spans="1:4" ht="25.5">
      <c r="A11571" s="341">
        <v>9837</v>
      </c>
      <c r="B11571" s="342" t="s">
        <v>12401</v>
      </c>
      <c r="C11571" s="341" t="s">
        <v>7287</v>
      </c>
      <c r="D11571" s="343">
        <v>6.59</v>
      </c>
    </row>
    <row r="11572" spans="1:4" ht="38.25">
      <c r="A11572" s="341">
        <v>9833</v>
      </c>
      <c r="B11572" s="342" t="s">
        <v>12402</v>
      </c>
      <c r="C11572" s="341" t="s">
        <v>7287</v>
      </c>
      <c r="D11572" s="343">
        <v>10.63</v>
      </c>
    </row>
    <row r="11573" spans="1:4" ht="38.25">
      <c r="A11573" s="341">
        <v>9830</v>
      </c>
      <c r="B11573" s="342" t="s">
        <v>12403</v>
      </c>
      <c r="C11573" s="341" t="s">
        <v>7287</v>
      </c>
      <c r="D11573" s="343">
        <v>5.69</v>
      </c>
    </row>
    <row r="11574" spans="1:4" ht="38.25">
      <c r="A11574" s="341">
        <v>9834</v>
      </c>
      <c r="B11574" s="342" t="s">
        <v>12404</v>
      </c>
      <c r="C11574" s="341" t="s">
        <v>7287</v>
      </c>
      <c r="D11574" s="343">
        <v>29.59</v>
      </c>
    </row>
    <row r="11575" spans="1:4" ht="25.5">
      <c r="A11575" s="341">
        <v>9863</v>
      </c>
      <c r="B11575" s="342" t="s">
        <v>12405</v>
      </c>
      <c r="C11575" s="341" t="s">
        <v>7287</v>
      </c>
      <c r="D11575" s="343">
        <v>58.77</v>
      </c>
    </row>
    <row r="11576" spans="1:4" ht="25.5">
      <c r="A11576" s="341">
        <v>9860</v>
      </c>
      <c r="B11576" s="342" t="s">
        <v>12406</v>
      </c>
      <c r="C11576" s="341" t="s">
        <v>7287</v>
      </c>
      <c r="D11576" s="343">
        <v>35.340000000000003</v>
      </c>
    </row>
    <row r="11577" spans="1:4" ht="25.5">
      <c r="A11577" s="341">
        <v>9862</v>
      </c>
      <c r="B11577" s="342" t="s">
        <v>12407</v>
      </c>
      <c r="C11577" s="341" t="s">
        <v>7287</v>
      </c>
      <c r="D11577" s="343">
        <v>24.7</v>
      </c>
    </row>
    <row r="11578" spans="1:4" ht="25.5">
      <c r="A11578" s="341">
        <v>9861</v>
      </c>
      <c r="B11578" s="342" t="s">
        <v>12408</v>
      </c>
      <c r="C11578" s="341" t="s">
        <v>7287</v>
      </c>
      <c r="D11578" s="343">
        <v>19.86</v>
      </c>
    </row>
    <row r="11579" spans="1:4">
      <c r="A11579" s="341">
        <v>9856</v>
      </c>
      <c r="B11579" s="342" t="s">
        <v>12409</v>
      </c>
      <c r="C11579" s="341" t="s">
        <v>7287</v>
      </c>
      <c r="D11579" s="343">
        <v>5.64</v>
      </c>
    </row>
    <row r="11580" spans="1:4">
      <c r="A11580" s="341">
        <v>9866</v>
      </c>
      <c r="B11580" s="342" t="s">
        <v>12410</v>
      </c>
      <c r="C11580" s="341" t="s">
        <v>7287</v>
      </c>
      <c r="D11580" s="343">
        <v>14.92</v>
      </c>
    </row>
    <row r="11581" spans="1:4">
      <c r="A11581" s="341">
        <v>9857</v>
      </c>
      <c r="B11581" s="342" t="s">
        <v>12411</v>
      </c>
      <c r="C11581" s="341" t="s">
        <v>7287</v>
      </c>
      <c r="D11581" s="343">
        <v>76.17</v>
      </c>
    </row>
    <row r="11582" spans="1:4">
      <c r="A11582" s="341">
        <v>9864</v>
      </c>
      <c r="B11582" s="342" t="s">
        <v>12412</v>
      </c>
      <c r="C11582" s="341" t="s">
        <v>7287</v>
      </c>
      <c r="D11582" s="343">
        <v>89.96</v>
      </c>
    </row>
    <row r="11583" spans="1:4">
      <c r="A11583" s="341">
        <v>9865</v>
      </c>
      <c r="B11583" s="342" t="s">
        <v>12413</v>
      </c>
      <c r="C11583" s="341" t="s">
        <v>7287</v>
      </c>
      <c r="D11583" s="343">
        <v>128.16999999999999</v>
      </c>
    </row>
    <row r="11584" spans="1:4">
      <c r="A11584" s="341">
        <v>9858</v>
      </c>
      <c r="B11584" s="342" t="s">
        <v>12414</v>
      </c>
      <c r="C11584" s="341" t="s">
        <v>7287</v>
      </c>
      <c r="D11584" s="343">
        <v>148.19</v>
      </c>
    </row>
    <row r="11585" spans="1:4" ht="25.5">
      <c r="A11585" s="341">
        <v>9841</v>
      </c>
      <c r="B11585" s="342" t="s">
        <v>12415</v>
      </c>
      <c r="C11585" s="341" t="s">
        <v>7287</v>
      </c>
      <c r="D11585" s="343">
        <v>14.38</v>
      </c>
    </row>
    <row r="11586" spans="1:4" ht="25.5">
      <c r="A11586" s="341">
        <v>9840</v>
      </c>
      <c r="B11586" s="342" t="s">
        <v>12416</v>
      </c>
      <c r="C11586" s="341" t="s">
        <v>7287</v>
      </c>
      <c r="D11586" s="343">
        <v>29.9</v>
      </c>
    </row>
    <row r="11587" spans="1:4" ht="25.5">
      <c r="A11587" s="341">
        <v>20067</v>
      </c>
      <c r="B11587" s="342" t="s">
        <v>12417</v>
      </c>
      <c r="C11587" s="341" t="s">
        <v>7287</v>
      </c>
      <c r="D11587" s="343">
        <v>5.16</v>
      </c>
    </row>
    <row r="11588" spans="1:4" ht="25.5">
      <c r="A11588" s="341">
        <v>20068</v>
      </c>
      <c r="B11588" s="342" t="s">
        <v>12418</v>
      </c>
      <c r="C11588" s="341" t="s">
        <v>7287</v>
      </c>
      <c r="D11588" s="343">
        <v>6.86</v>
      </c>
    </row>
    <row r="11589" spans="1:4" ht="25.5">
      <c r="A11589" s="341">
        <v>9839</v>
      </c>
      <c r="B11589" s="342" t="s">
        <v>12419</v>
      </c>
      <c r="C11589" s="341" t="s">
        <v>7287</v>
      </c>
      <c r="D11589" s="343">
        <v>8.73</v>
      </c>
    </row>
    <row r="11590" spans="1:4" ht="25.5">
      <c r="A11590" s="341">
        <v>9870</v>
      </c>
      <c r="B11590" s="342" t="s">
        <v>12420</v>
      </c>
      <c r="C11590" s="341" t="s">
        <v>7287</v>
      </c>
      <c r="D11590" s="343">
        <v>51.7</v>
      </c>
    </row>
    <row r="11591" spans="1:4" ht="25.5">
      <c r="A11591" s="341">
        <v>9867</v>
      </c>
      <c r="B11591" s="342" t="s">
        <v>12421</v>
      </c>
      <c r="C11591" s="341" t="s">
        <v>7287</v>
      </c>
      <c r="D11591" s="343">
        <v>2.16</v>
      </c>
    </row>
    <row r="11592" spans="1:4" ht="25.5">
      <c r="A11592" s="341">
        <v>9868</v>
      </c>
      <c r="B11592" s="342" t="s">
        <v>12422</v>
      </c>
      <c r="C11592" s="341" t="s">
        <v>7287</v>
      </c>
      <c r="D11592" s="343">
        <v>2.87</v>
      </c>
    </row>
    <row r="11593" spans="1:4" ht="25.5">
      <c r="A11593" s="341">
        <v>9869</v>
      </c>
      <c r="B11593" s="342" t="s">
        <v>12423</v>
      </c>
      <c r="C11593" s="341" t="s">
        <v>7287</v>
      </c>
      <c r="D11593" s="343">
        <v>6.15</v>
      </c>
    </row>
    <row r="11594" spans="1:4" ht="25.5">
      <c r="A11594" s="341">
        <v>9874</v>
      </c>
      <c r="B11594" s="342" t="s">
        <v>12424</v>
      </c>
      <c r="C11594" s="341" t="s">
        <v>7287</v>
      </c>
      <c r="D11594" s="343">
        <v>8.9700000000000006</v>
      </c>
    </row>
    <row r="11595" spans="1:4" ht="25.5">
      <c r="A11595" s="341">
        <v>9875</v>
      </c>
      <c r="B11595" s="342" t="s">
        <v>12425</v>
      </c>
      <c r="C11595" s="341" t="s">
        <v>7287</v>
      </c>
      <c r="D11595" s="343">
        <v>11.12</v>
      </c>
    </row>
    <row r="11596" spans="1:4" ht="25.5">
      <c r="A11596" s="341">
        <v>9873</v>
      </c>
      <c r="B11596" s="342" t="s">
        <v>12426</v>
      </c>
      <c r="C11596" s="341" t="s">
        <v>7287</v>
      </c>
      <c r="D11596" s="343">
        <v>17.34</v>
      </c>
    </row>
    <row r="11597" spans="1:4" ht="25.5">
      <c r="A11597" s="341">
        <v>9871</v>
      </c>
      <c r="B11597" s="342" t="s">
        <v>12427</v>
      </c>
      <c r="C11597" s="341" t="s">
        <v>7287</v>
      </c>
      <c r="D11597" s="343">
        <v>24.33</v>
      </c>
    </row>
    <row r="11598" spans="1:4" ht="25.5">
      <c r="A11598" s="341">
        <v>9872</v>
      </c>
      <c r="B11598" s="342" t="s">
        <v>12428</v>
      </c>
      <c r="C11598" s="341" t="s">
        <v>7287</v>
      </c>
      <c r="D11598" s="343">
        <v>30.66</v>
      </c>
    </row>
    <row r="11599" spans="1:4">
      <c r="A11599" s="341">
        <v>7667</v>
      </c>
      <c r="B11599" s="342" t="s">
        <v>12429</v>
      </c>
      <c r="C11599" s="341" t="s">
        <v>7287</v>
      </c>
      <c r="D11599" s="344">
        <v>1429.82</v>
      </c>
    </row>
    <row r="11600" spans="1:4">
      <c r="A11600" s="341">
        <v>7660</v>
      </c>
      <c r="B11600" s="342" t="s">
        <v>12430</v>
      </c>
      <c r="C11600" s="341" t="s">
        <v>7287</v>
      </c>
      <c r="D11600" s="344">
        <v>1822.68</v>
      </c>
    </row>
    <row r="11601" spans="1:4">
      <c r="A11601" s="341">
        <v>7676</v>
      </c>
      <c r="B11601" s="342" t="s">
        <v>12431</v>
      </c>
      <c r="C11601" s="341" t="s">
        <v>7287</v>
      </c>
      <c r="D11601" s="344">
        <v>1843.51</v>
      </c>
    </row>
    <row r="11602" spans="1:4" ht="25.5">
      <c r="A11602" s="341">
        <v>12426</v>
      </c>
      <c r="B11602" s="342" t="s">
        <v>12432</v>
      </c>
      <c r="C11602" s="341" t="s">
        <v>7278</v>
      </c>
      <c r="D11602" s="343">
        <v>22.96</v>
      </c>
    </row>
    <row r="11603" spans="1:4" ht="25.5">
      <c r="A11603" s="341">
        <v>12425</v>
      </c>
      <c r="B11603" s="342" t="s">
        <v>12433</v>
      </c>
      <c r="C11603" s="341" t="s">
        <v>7278</v>
      </c>
      <c r="D11603" s="343">
        <v>31.55</v>
      </c>
    </row>
    <row r="11604" spans="1:4" ht="25.5">
      <c r="A11604" s="341">
        <v>12427</v>
      </c>
      <c r="B11604" s="342" t="s">
        <v>12434</v>
      </c>
      <c r="C11604" s="341" t="s">
        <v>7278</v>
      </c>
      <c r="D11604" s="343">
        <v>130.96</v>
      </c>
    </row>
    <row r="11605" spans="1:4" ht="25.5">
      <c r="A11605" s="341">
        <v>12428</v>
      </c>
      <c r="B11605" s="342" t="s">
        <v>12435</v>
      </c>
      <c r="C11605" s="341" t="s">
        <v>7278</v>
      </c>
      <c r="D11605" s="343">
        <v>84.06</v>
      </c>
    </row>
    <row r="11606" spans="1:4" ht="25.5">
      <c r="A11606" s="341">
        <v>12430</v>
      </c>
      <c r="B11606" s="342" t="s">
        <v>12436</v>
      </c>
      <c r="C11606" s="341" t="s">
        <v>7278</v>
      </c>
      <c r="D11606" s="343">
        <v>28.15</v>
      </c>
    </row>
    <row r="11607" spans="1:4" ht="25.5">
      <c r="A11607" s="341">
        <v>12429</v>
      </c>
      <c r="B11607" s="342" t="s">
        <v>12437</v>
      </c>
      <c r="C11607" s="341" t="s">
        <v>7278</v>
      </c>
      <c r="D11607" s="343">
        <v>211.77</v>
      </c>
    </row>
    <row r="11608" spans="1:4" ht="25.5">
      <c r="A11608" s="341">
        <v>12431</v>
      </c>
      <c r="B11608" s="342" t="s">
        <v>12438</v>
      </c>
      <c r="C11608" s="341" t="s">
        <v>7278</v>
      </c>
      <c r="D11608" s="343">
        <v>360.4</v>
      </c>
    </row>
    <row r="11609" spans="1:4" ht="25.5">
      <c r="A11609" s="341">
        <v>12432</v>
      </c>
      <c r="B11609" s="342" t="s">
        <v>12439</v>
      </c>
      <c r="C11609" s="341" t="s">
        <v>7278</v>
      </c>
      <c r="D11609" s="343">
        <v>74.12</v>
      </c>
    </row>
    <row r="11610" spans="1:4" ht="25.5">
      <c r="A11610" s="341">
        <v>12434</v>
      </c>
      <c r="B11610" s="342" t="s">
        <v>12440</v>
      </c>
      <c r="C11610" s="341" t="s">
        <v>7278</v>
      </c>
      <c r="D11610" s="343">
        <v>24.15</v>
      </c>
    </row>
    <row r="11611" spans="1:4" ht="25.5">
      <c r="A11611" s="341">
        <v>12433</v>
      </c>
      <c r="B11611" s="342" t="s">
        <v>12441</v>
      </c>
      <c r="C11611" s="341" t="s">
        <v>7278</v>
      </c>
      <c r="D11611" s="343">
        <v>47.18</v>
      </c>
    </row>
    <row r="11612" spans="1:4" ht="25.5">
      <c r="A11612" s="341">
        <v>12435</v>
      </c>
      <c r="B11612" s="342" t="s">
        <v>12442</v>
      </c>
      <c r="C11612" s="341" t="s">
        <v>7278</v>
      </c>
      <c r="D11612" s="343">
        <v>146.03</v>
      </c>
    </row>
    <row r="11613" spans="1:4" ht="25.5">
      <c r="A11613" s="341">
        <v>12437</v>
      </c>
      <c r="B11613" s="342" t="s">
        <v>12443</v>
      </c>
      <c r="C11613" s="341" t="s">
        <v>7278</v>
      </c>
      <c r="D11613" s="343">
        <v>117.94</v>
      </c>
    </row>
    <row r="11614" spans="1:4" ht="25.5">
      <c r="A11614" s="341">
        <v>12439</v>
      </c>
      <c r="B11614" s="342" t="s">
        <v>12444</v>
      </c>
      <c r="C11614" s="341" t="s">
        <v>7278</v>
      </c>
      <c r="D11614" s="343">
        <v>37.85</v>
      </c>
    </row>
    <row r="11615" spans="1:4" ht="25.5">
      <c r="A11615" s="341">
        <v>12438</v>
      </c>
      <c r="B11615" s="342" t="s">
        <v>12445</v>
      </c>
      <c r="C11615" s="341" t="s">
        <v>7278</v>
      </c>
      <c r="D11615" s="343">
        <v>213.44</v>
      </c>
    </row>
    <row r="11616" spans="1:4" ht="25.5">
      <c r="A11616" s="341">
        <v>12436</v>
      </c>
      <c r="B11616" s="342" t="s">
        <v>12446</v>
      </c>
      <c r="C11616" s="341" t="s">
        <v>7278</v>
      </c>
      <c r="D11616" s="343">
        <v>269.62</v>
      </c>
    </row>
    <row r="11617" spans="1:4" ht="25.5">
      <c r="A11617" s="341">
        <v>36357</v>
      </c>
      <c r="B11617" s="342" t="s">
        <v>12447</v>
      </c>
      <c r="C11617" s="341" t="s">
        <v>7278</v>
      </c>
      <c r="D11617" s="343">
        <v>78.63</v>
      </c>
    </row>
    <row r="11618" spans="1:4" ht="25.5">
      <c r="A11618" s="341">
        <v>12424</v>
      </c>
      <c r="B11618" s="342" t="s">
        <v>12448</v>
      </c>
      <c r="C11618" s="341" t="s">
        <v>7278</v>
      </c>
      <c r="D11618" s="343">
        <v>48.58</v>
      </c>
    </row>
    <row r="11619" spans="1:4" ht="25.5">
      <c r="A11619" s="341">
        <v>12440</v>
      </c>
      <c r="B11619" s="342" t="s">
        <v>12449</v>
      </c>
      <c r="C11619" s="341" t="s">
        <v>7278</v>
      </c>
      <c r="D11619" s="343">
        <v>46.96</v>
      </c>
    </row>
    <row r="11620" spans="1:4" ht="25.5">
      <c r="A11620" s="341">
        <v>9884</v>
      </c>
      <c r="B11620" s="342" t="s">
        <v>12450</v>
      </c>
      <c r="C11620" s="341" t="s">
        <v>7278</v>
      </c>
      <c r="D11620" s="343">
        <v>35.03</v>
      </c>
    </row>
    <row r="11621" spans="1:4" ht="25.5">
      <c r="A11621" s="341">
        <v>9888</v>
      </c>
      <c r="B11621" s="342" t="s">
        <v>12451</v>
      </c>
      <c r="C11621" s="341" t="s">
        <v>7278</v>
      </c>
      <c r="D11621" s="343">
        <v>28.14</v>
      </c>
    </row>
    <row r="11622" spans="1:4" ht="25.5">
      <c r="A11622" s="341">
        <v>9883</v>
      </c>
      <c r="B11622" s="342" t="s">
        <v>12452</v>
      </c>
      <c r="C11622" s="341" t="s">
        <v>7278</v>
      </c>
      <c r="D11622" s="343">
        <v>12.28</v>
      </c>
    </row>
    <row r="11623" spans="1:4" ht="25.5">
      <c r="A11623" s="341">
        <v>9886</v>
      </c>
      <c r="B11623" s="342" t="s">
        <v>12453</v>
      </c>
      <c r="C11623" s="341" t="s">
        <v>7278</v>
      </c>
      <c r="D11623" s="343">
        <v>16.82</v>
      </c>
    </row>
    <row r="11624" spans="1:4" ht="25.5">
      <c r="A11624" s="341">
        <v>9889</v>
      </c>
      <c r="B11624" s="342" t="s">
        <v>12454</v>
      </c>
      <c r="C11624" s="341" t="s">
        <v>7278</v>
      </c>
      <c r="D11624" s="343">
        <v>85.22</v>
      </c>
    </row>
    <row r="11625" spans="1:4" ht="25.5">
      <c r="A11625" s="341">
        <v>9887</v>
      </c>
      <c r="B11625" s="342" t="s">
        <v>12455</v>
      </c>
      <c r="C11625" s="341" t="s">
        <v>7278</v>
      </c>
      <c r="D11625" s="343">
        <v>51.5</v>
      </c>
    </row>
    <row r="11626" spans="1:4" ht="25.5">
      <c r="A11626" s="341">
        <v>9885</v>
      </c>
      <c r="B11626" s="342" t="s">
        <v>12456</v>
      </c>
      <c r="C11626" s="341" t="s">
        <v>7278</v>
      </c>
      <c r="D11626" s="343">
        <v>16.260000000000002</v>
      </c>
    </row>
    <row r="11627" spans="1:4" ht="25.5">
      <c r="A11627" s="341">
        <v>9890</v>
      </c>
      <c r="B11627" s="342" t="s">
        <v>12457</v>
      </c>
      <c r="C11627" s="341" t="s">
        <v>7278</v>
      </c>
      <c r="D11627" s="343">
        <v>132.02000000000001</v>
      </c>
    </row>
    <row r="11628" spans="1:4" ht="25.5">
      <c r="A11628" s="341">
        <v>9891</v>
      </c>
      <c r="B11628" s="342" t="s">
        <v>12458</v>
      </c>
      <c r="C11628" s="341" t="s">
        <v>7278</v>
      </c>
      <c r="D11628" s="343">
        <v>185.34</v>
      </c>
    </row>
    <row r="11629" spans="1:4" ht="38.25">
      <c r="A11629" s="341">
        <v>39292</v>
      </c>
      <c r="B11629" s="342" t="s">
        <v>12459</v>
      </c>
      <c r="C11629" s="341" t="s">
        <v>7278</v>
      </c>
      <c r="D11629" s="343">
        <v>7.62</v>
      </c>
    </row>
    <row r="11630" spans="1:4" ht="38.25">
      <c r="A11630" s="341">
        <v>39293</v>
      </c>
      <c r="B11630" s="342" t="s">
        <v>12460</v>
      </c>
      <c r="C11630" s="341" t="s">
        <v>7278</v>
      </c>
      <c r="D11630" s="343">
        <v>12.3</v>
      </c>
    </row>
    <row r="11631" spans="1:4" ht="38.25">
      <c r="A11631" s="341">
        <v>39294</v>
      </c>
      <c r="B11631" s="342" t="s">
        <v>12461</v>
      </c>
      <c r="C11631" s="341" t="s">
        <v>7278</v>
      </c>
      <c r="D11631" s="343">
        <v>12.3</v>
      </c>
    </row>
    <row r="11632" spans="1:4" ht="38.25">
      <c r="A11632" s="341">
        <v>39295</v>
      </c>
      <c r="B11632" s="342" t="s">
        <v>12462</v>
      </c>
      <c r="C11632" s="341" t="s">
        <v>7278</v>
      </c>
      <c r="D11632" s="343">
        <v>20.97</v>
      </c>
    </row>
    <row r="11633" spans="1:4" ht="25.5">
      <c r="A11633" s="341">
        <v>36313</v>
      </c>
      <c r="B11633" s="342" t="s">
        <v>12463</v>
      </c>
      <c r="C11633" s="341" t="s">
        <v>7278</v>
      </c>
      <c r="D11633" s="343">
        <v>18.64</v>
      </c>
    </row>
    <row r="11634" spans="1:4" ht="25.5">
      <c r="A11634" s="341">
        <v>36316</v>
      </c>
      <c r="B11634" s="342" t="s">
        <v>12464</v>
      </c>
      <c r="C11634" s="341" t="s">
        <v>7278</v>
      </c>
      <c r="D11634" s="343">
        <v>22.6</v>
      </c>
    </row>
    <row r="11635" spans="1:4" ht="25.5">
      <c r="A11635" s="341">
        <v>64</v>
      </c>
      <c r="B11635" s="342" t="s">
        <v>12465</v>
      </c>
      <c r="C11635" s="341" t="s">
        <v>7278</v>
      </c>
      <c r="D11635" s="343">
        <v>2.59</v>
      </c>
    </row>
    <row r="11636" spans="1:4" ht="25.5">
      <c r="A11636" s="341">
        <v>37423</v>
      </c>
      <c r="B11636" s="342" t="s">
        <v>12466</v>
      </c>
      <c r="C11636" s="341" t="s">
        <v>7278</v>
      </c>
      <c r="D11636" s="343">
        <v>6.4</v>
      </c>
    </row>
    <row r="11637" spans="1:4" ht="25.5">
      <c r="A11637" s="341">
        <v>39296</v>
      </c>
      <c r="B11637" s="342" t="s">
        <v>12467</v>
      </c>
      <c r="C11637" s="341" t="s">
        <v>7278</v>
      </c>
      <c r="D11637" s="343">
        <v>5.89</v>
      </c>
    </row>
    <row r="11638" spans="1:4" ht="25.5">
      <c r="A11638" s="341">
        <v>39297</v>
      </c>
      <c r="B11638" s="342" t="s">
        <v>12468</v>
      </c>
      <c r="C11638" s="341" t="s">
        <v>7278</v>
      </c>
      <c r="D11638" s="343">
        <v>8.41</v>
      </c>
    </row>
    <row r="11639" spans="1:4" ht="25.5">
      <c r="A11639" s="341">
        <v>39298</v>
      </c>
      <c r="B11639" s="342" t="s">
        <v>12469</v>
      </c>
      <c r="C11639" s="341" t="s">
        <v>7278</v>
      </c>
      <c r="D11639" s="343">
        <v>14.82</v>
      </c>
    </row>
    <row r="11640" spans="1:4" ht="25.5">
      <c r="A11640" s="341">
        <v>39299</v>
      </c>
      <c r="B11640" s="342" t="s">
        <v>12470</v>
      </c>
      <c r="C11640" s="341" t="s">
        <v>7278</v>
      </c>
      <c r="D11640" s="343">
        <v>25.23</v>
      </c>
    </row>
    <row r="11641" spans="1:4">
      <c r="A11641" s="341">
        <v>9892</v>
      </c>
      <c r="B11641" s="342" t="s">
        <v>12471</v>
      </c>
      <c r="C11641" s="341" t="s">
        <v>7278</v>
      </c>
      <c r="D11641" s="343">
        <v>6.17</v>
      </c>
    </row>
    <row r="11642" spans="1:4">
      <c r="A11642" s="341">
        <v>9893</v>
      </c>
      <c r="B11642" s="342" t="s">
        <v>12472</v>
      </c>
      <c r="C11642" s="341" t="s">
        <v>7278</v>
      </c>
      <c r="D11642" s="343">
        <v>67.61</v>
      </c>
    </row>
    <row r="11643" spans="1:4" ht="25.5">
      <c r="A11643" s="341">
        <v>9901</v>
      </c>
      <c r="B11643" s="342" t="s">
        <v>12473</v>
      </c>
      <c r="C11643" s="341" t="s">
        <v>7278</v>
      </c>
      <c r="D11643" s="343">
        <v>29.74</v>
      </c>
    </row>
    <row r="11644" spans="1:4" ht="25.5">
      <c r="A11644" s="341">
        <v>9896</v>
      </c>
      <c r="B11644" s="342" t="s">
        <v>12474</v>
      </c>
      <c r="C11644" s="341" t="s">
        <v>7278</v>
      </c>
      <c r="D11644" s="343">
        <v>25.61</v>
      </c>
    </row>
    <row r="11645" spans="1:4">
      <c r="A11645" s="341">
        <v>9900</v>
      </c>
      <c r="B11645" s="342" t="s">
        <v>12475</v>
      </c>
      <c r="C11645" s="341" t="s">
        <v>7278</v>
      </c>
      <c r="D11645" s="343">
        <v>15.85</v>
      </c>
    </row>
    <row r="11646" spans="1:4" ht="25.5">
      <c r="A11646" s="341">
        <v>9898</v>
      </c>
      <c r="B11646" s="342" t="s">
        <v>12476</v>
      </c>
      <c r="C11646" s="341" t="s">
        <v>7278</v>
      </c>
      <c r="D11646" s="343">
        <v>138.97999999999999</v>
      </c>
    </row>
    <row r="11647" spans="1:4" ht="25.5">
      <c r="A11647" s="341">
        <v>9899</v>
      </c>
      <c r="B11647" s="342" t="s">
        <v>12477</v>
      </c>
      <c r="C11647" s="341" t="s">
        <v>7278</v>
      </c>
      <c r="D11647" s="343">
        <v>8.5</v>
      </c>
    </row>
    <row r="11648" spans="1:4">
      <c r="A11648" s="341">
        <v>9902</v>
      </c>
      <c r="B11648" s="342" t="s">
        <v>12478</v>
      </c>
      <c r="C11648" s="341" t="s">
        <v>7278</v>
      </c>
      <c r="D11648" s="343">
        <v>176.08</v>
      </c>
    </row>
    <row r="11649" spans="1:4" ht="25.5">
      <c r="A11649" s="341">
        <v>9908</v>
      </c>
      <c r="B11649" s="342" t="s">
        <v>12479</v>
      </c>
      <c r="C11649" s="341" t="s">
        <v>7278</v>
      </c>
      <c r="D11649" s="343">
        <v>445.93</v>
      </c>
    </row>
    <row r="11650" spans="1:4" ht="25.5">
      <c r="A11650" s="341">
        <v>9905</v>
      </c>
      <c r="B11650" s="342" t="s">
        <v>12480</v>
      </c>
      <c r="C11650" s="341" t="s">
        <v>7278</v>
      </c>
      <c r="D11650" s="343">
        <v>6</v>
      </c>
    </row>
    <row r="11651" spans="1:4" ht="25.5">
      <c r="A11651" s="341">
        <v>9906</v>
      </c>
      <c r="B11651" s="342" t="s">
        <v>12481</v>
      </c>
      <c r="C11651" s="341" t="s">
        <v>7278</v>
      </c>
      <c r="D11651" s="343">
        <v>7.08</v>
      </c>
    </row>
    <row r="11652" spans="1:4" ht="25.5">
      <c r="A11652" s="341">
        <v>9895</v>
      </c>
      <c r="B11652" s="342" t="s">
        <v>12482</v>
      </c>
      <c r="C11652" s="341" t="s">
        <v>7278</v>
      </c>
      <c r="D11652" s="343">
        <v>11.95</v>
      </c>
    </row>
    <row r="11653" spans="1:4" ht="25.5">
      <c r="A11653" s="341">
        <v>9894</v>
      </c>
      <c r="B11653" s="342" t="s">
        <v>12483</v>
      </c>
      <c r="C11653" s="341" t="s">
        <v>7278</v>
      </c>
      <c r="D11653" s="343">
        <v>23.36</v>
      </c>
    </row>
    <row r="11654" spans="1:4" ht="25.5">
      <c r="A11654" s="341">
        <v>9897</v>
      </c>
      <c r="B11654" s="342" t="s">
        <v>12484</v>
      </c>
      <c r="C11654" s="341" t="s">
        <v>7278</v>
      </c>
      <c r="D11654" s="343">
        <v>27.47</v>
      </c>
    </row>
    <row r="11655" spans="1:4" ht="25.5">
      <c r="A11655" s="341">
        <v>9910</v>
      </c>
      <c r="B11655" s="342" t="s">
        <v>12485</v>
      </c>
      <c r="C11655" s="341" t="s">
        <v>7278</v>
      </c>
      <c r="D11655" s="343">
        <v>63.56</v>
      </c>
    </row>
    <row r="11656" spans="1:4" ht="25.5">
      <c r="A11656" s="341">
        <v>9909</v>
      </c>
      <c r="B11656" s="342" t="s">
        <v>12486</v>
      </c>
      <c r="C11656" s="341" t="s">
        <v>7278</v>
      </c>
      <c r="D11656" s="343">
        <v>132.09</v>
      </c>
    </row>
    <row r="11657" spans="1:4" ht="25.5">
      <c r="A11657" s="341">
        <v>9907</v>
      </c>
      <c r="B11657" s="342" t="s">
        <v>12487</v>
      </c>
      <c r="C11657" s="341" t="s">
        <v>7278</v>
      </c>
      <c r="D11657" s="343">
        <v>196.08</v>
      </c>
    </row>
    <row r="11658" spans="1:4" ht="51">
      <c r="A11658" s="341">
        <v>20973</v>
      </c>
      <c r="B11658" s="342" t="s">
        <v>12488</v>
      </c>
      <c r="C11658" s="341" t="s">
        <v>7278</v>
      </c>
      <c r="D11658" s="343">
        <v>87.88</v>
      </c>
    </row>
    <row r="11659" spans="1:4" ht="51">
      <c r="A11659" s="341">
        <v>20974</v>
      </c>
      <c r="B11659" s="342" t="s">
        <v>12489</v>
      </c>
      <c r="C11659" s="341" t="s">
        <v>7278</v>
      </c>
      <c r="D11659" s="343">
        <v>125.73</v>
      </c>
    </row>
    <row r="11660" spans="1:4" ht="25.5">
      <c r="A11660" s="341">
        <v>37989</v>
      </c>
      <c r="B11660" s="342" t="s">
        <v>12490</v>
      </c>
      <c r="C11660" s="341" t="s">
        <v>7278</v>
      </c>
      <c r="D11660" s="343">
        <v>10.19</v>
      </c>
    </row>
    <row r="11661" spans="1:4" ht="25.5">
      <c r="A11661" s="341">
        <v>37990</v>
      </c>
      <c r="B11661" s="342" t="s">
        <v>12491</v>
      </c>
      <c r="C11661" s="341" t="s">
        <v>7278</v>
      </c>
      <c r="D11661" s="343">
        <v>11.84</v>
      </c>
    </row>
    <row r="11662" spans="1:4" ht="25.5">
      <c r="A11662" s="341">
        <v>37991</v>
      </c>
      <c r="B11662" s="342" t="s">
        <v>12492</v>
      </c>
      <c r="C11662" s="341" t="s">
        <v>7278</v>
      </c>
      <c r="D11662" s="343">
        <v>18.739999999999998</v>
      </c>
    </row>
    <row r="11663" spans="1:4" ht="25.5">
      <c r="A11663" s="341">
        <v>37992</v>
      </c>
      <c r="B11663" s="342" t="s">
        <v>12493</v>
      </c>
      <c r="C11663" s="341" t="s">
        <v>7278</v>
      </c>
      <c r="D11663" s="343">
        <v>28.62</v>
      </c>
    </row>
    <row r="11664" spans="1:4" ht="25.5">
      <c r="A11664" s="341">
        <v>37993</v>
      </c>
      <c r="B11664" s="342" t="s">
        <v>12494</v>
      </c>
      <c r="C11664" s="341" t="s">
        <v>7278</v>
      </c>
      <c r="D11664" s="343">
        <v>42.48</v>
      </c>
    </row>
    <row r="11665" spans="1:4" ht="25.5">
      <c r="A11665" s="341">
        <v>37994</v>
      </c>
      <c r="B11665" s="342" t="s">
        <v>12495</v>
      </c>
      <c r="C11665" s="341" t="s">
        <v>7278</v>
      </c>
      <c r="D11665" s="343">
        <v>102.09</v>
      </c>
    </row>
    <row r="11666" spans="1:4" ht="25.5">
      <c r="A11666" s="341">
        <v>37995</v>
      </c>
      <c r="B11666" s="342" t="s">
        <v>12496</v>
      </c>
      <c r="C11666" s="341" t="s">
        <v>7278</v>
      </c>
      <c r="D11666" s="343">
        <v>148.18</v>
      </c>
    </row>
    <row r="11667" spans="1:4" ht="25.5">
      <c r="A11667" s="341">
        <v>37996</v>
      </c>
      <c r="B11667" s="342" t="s">
        <v>12497</v>
      </c>
      <c r="C11667" s="341" t="s">
        <v>7278</v>
      </c>
      <c r="D11667" s="343">
        <v>218.48</v>
      </c>
    </row>
    <row r="11668" spans="1:4" ht="25.5">
      <c r="A11668" s="341">
        <v>13883</v>
      </c>
      <c r="B11668" s="342" t="s">
        <v>12498</v>
      </c>
      <c r="C11668" s="341" t="s">
        <v>7278</v>
      </c>
      <c r="D11668" s="344">
        <v>81627.8</v>
      </c>
    </row>
    <row r="11669" spans="1:4" ht="25.5">
      <c r="A11669" s="341">
        <v>38604</v>
      </c>
      <c r="B11669" s="342" t="s">
        <v>12499</v>
      </c>
      <c r="C11669" s="341" t="s">
        <v>7278</v>
      </c>
      <c r="D11669" s="344">
        <v>101666.34</v>
      </c>
    </row>
    <row r="11670" spans="1:4" ht="51">
      <c r="A11670" s="341">
        <v>10601</v>
      </c>
      <c r="B11670" s="342" t="s">
        <v>12500</v>
      </c>
      <c r="C11670" s="341" t="s">
        <v>7278</v>
      </c>
      <c r="D11670" s="344">
        <v>1977613.23</v>
      </c>
    </row>
    <row r="11671" spans="1:4" ht="25.5">
      <c r="A11671" s="341">
        <v>26034</v>
      </c>
      <c r="B11671" s="342" t="s">
        <v>12501</v>
      </c>
      <c r="C11671" s="341" t="s">
        <v>7278</v>
      </c>
      <c r="D11671" s="344">
        <v>5206985.84</v>
      </c>
    </row>
    <row r="11672" spans="1:4" ht="25.5">
      <c r="A11672" s="341">
        <v>13894</v>
      </c>
      <c r="B11672" s="342" t="s">
        <v>12502</v>
      </c>
      <c r="C11672" s="341" t="s">
        <v>7278</v>
      </c>
      <c r="D11672" s="344">
        <v>392649.25</v>
      </c>
    </row>
    <row r="11673" spans="1:4" ht="25.5">
      <c r="A11673" s="341">
        <v>13895</v>
      </c>
      <c r="B11673" s="342" t="s">
        <v>12503</v>
      </c>
      <c r="C11673" s="341" t="s">
        <v>7278</v>
      </c>
      <c r="D11673" s="344">
        <v>527982.35</v>
      </c>
    </row>
    <row r="11674" spans="1:4" ht="25.5">
      <c r="A11674" s="341">
        <v>13892</v>
      </c>
      <c r="B11674" s="342" t="s">
        <v>12504</v>
      </c>
      <c r="C11674" s="341" t="s">
        <v>7278</v>
      </c>
      <c r="D11674" s="344">
        <v>647029.46</v>
      </c>
    </row>
    <row r="11675" spans="1:4" ht="25.5">
      <c r="A11675" s="341">
        <v>9914</v>
      </c>
      <c r="B11675" s="342" t="s">
        <v>12505</v>
      </c>
      <c r="C11675" s="341" t="s">
        <v>7278</v>
      </c>
      <c r="D11675" s="344">
        <v>700000</v>
      </c>
    </row>
    <row r="11676" spans="1:4" ht="63.75">
      <c r="A11676" s="341">
        <v>36485</v>
      </c>
      <c r="B11676" s="342" t="s">
        <v>12506</v>
      </c>
      <c r="C11676" s="341" t="s">
        <v>7278</v>
      </c>
      <c r="D11676" s="344">
        <v>392892.76</v>
      </c>
    </row>
    <row r="11677" spans="1:4" ht="38.25">
      <c r="A11677" s="341">
        <v>9912</v>
      </c>
      <c r="B11677" s="342" t="s">
        <v>12507</v>
      </c>
      <c r="C11677" s="341" t="s">
        <v>7278</v>
      </c>
      <c r="D11677" s="344">
        <v>1610000</v>
      </c>
    </row>
    <row r="11678" spans="1:4" ht="38.25">
      <c r="A11678" s="341">
        <v>9921</v>
      </c>
      <c r="B11678" s="342" t="s">
        <v>12508</v>
      </c>
      <c r="C11678" s="341" t="s">
        <v>7278</v>
      </c>
      <c r="D11678" s="344">
        <v>830514.15</v>
      </c>
    </row>
    <row r="11679" spans="1:4" ht="38.25">
      <c r="A11679" s="341">
        <v>21112</v>
      </c>
      <c r="B11679" s="342" t="s">
        <v>12509</v>
      </c>
      <c r="C11679" s="341" t="s">
        <v>7278</v>
      </c>
      <c r="D11679" s="343">
        <v>123.26</v>
      </c>
    </row>
    <row r="11680" spans="1:4" ht="25.5">
      <c r="A11680" s="341">
        <v>10228</v>
      </c>
      <c r="B11680" s="342" t="s">
        <v>12510</v>
      </c>
      <c r="C11680" s="341" t="s">
        <v>7278</v>
      </c>
      <c r="D11680" s="343">
        <v>143.19999999999999</v>
      </c>
    </row>
    <row r="11681" spans="1:4" ht="25.5">
      <c r="A11681" s="341">
        <v>11781</v>
      </c>
      <c r="B11681" s="342" t="s">
        <v>12511</v>
      </c>
      <c r="C11681" s="341" t="s">
        <v>7278</v>
      </c>
      <c r="D11681" s="343">
        <v>116.01</v>
      </c>
    </row>
    <row r="11682" spans="1:4" ht="25.5">
      <c r="A11682" s="341">
        <v>11746</v>
      </c>
      <c r="B11682" s="342" t="s">
        <v>12512</v>
      </c>
      <c r="C11682" s="341" t="s">
        <v>7278</v>
      </c>
      <c r="D11682" s="343">
        <v>24.51</v>
      </c>
    </row>
    <row r="11683" spans="1:4" ht="25.5">
      <c r="A11683" s="341">
        <v>11751</v>
      </c>
      <c r="B11683" s="342" t="s">
        <v>12513</v>
      </c>
      <c r="C11683" s="341" t="s">
        <v>7278</v>
      </c>
      <c r="D11683" s="343">
        <v>44.02</v>
      </c>
    </row>
    <row r="11684" spans="1:4" ht="25.5">
      <c r="A11684" s="341">
        <v>11750</v>
      </c>
      <c r="B11684" s="342" t="s">
        <v>12514</v>
      </c>
      <c r="C11684" s="341" t="s">
        <v>7278</v>
      </c>
      <c r="D11684" s="343">
        <v>36.53</v>
      </c>
    </row>
    <row r="11685" spans="1:4" ht="25.5">
      <c r="A11685" s="341">
        <v>11748</v>
      </c>
      <c r="B11685" s="342" t="s">
        <v>12515</v>
      </c>
      <c r="C11685" s="341" t="s">
        <v>7278</v>
      </c>
      <c r="D11685" s="343">
        <v>15.72</v>
      </c>
    </row>
    <row r="11686" spans="1:4" ht="25.5">
      <c r="A11686" s="341">
        <v>11747</v>
      </c>
      <c r="B11686" s="342" t="s">
        <v>12516</v>
      </c>
      <c r="C11686" s="341" t="s">
        <v>7278</v>
      </c>
      <c r="D11686" s="343">
        <v>67.88</v>
      </c>
    </row>
    <row r="11687" spans="1:4" ht="25.5">
      <c r="A11687" s="341">
        <v>11749</v>
      </c>
      <c r="B11687" s="342" t="s">
        <v>12517</v>
      </c>
      <c r="C11687" s="341" t="s">
        <v>7278</v>
      </c>
      <c r="D11687" s="343">
        <v>18.149999999999999</v>
      </c>
    </row>
    <row r="11688" spans="1:4" ht="38.25">
      <c r="A11688" s="341">
        <v>10236</v>
      </c>
      <c r="B11688" s="342" t="s">
        <v>12518</v>
      </c>
      <c r="C11688" s="341" t="s">
        <v>7278</v>
      </c>
      <c r="D11688" s="343">
        <v>56.94</v>
      </c>
    </row>
    <row r="11689" spans="1:4" ht="38.25">
      <c r="A11689" s="341">
        <v>10233</v>
      </c>
      <c r="B11689" s="342" t="s">
        <v>12519</v>
      </c>
      <c r="C11689" s="341" t="s">
        <v>7278</v>
      </c>
      <c r="D11689" s="343">
        <v>53.36</v>
      </c>
    </row>
    <row r="11690" spans="1:4" ht="38.25">
      <c r="A11690" s="341">
        <v>10234</v>
      </c>
      <c r="B11690" s="342" t="s">
        <v>12520</v>
      </c>
      <c r="C11690" s="341" t="s">
        <v>7278</v>
      </c>
      <c r="D11690" s="343">
        <v>33.61</v>
      </c>
    </row>
    <row r="11691" spans="1:4" ht="38.25">
      <c r="A11691" s="341">
        <v>10231</v>
      </c>
      <c r="B11691" s="342" t="s">
        <v>12521</v>
      </c>
      <c r="C11691" s="341" t="s">
        <v>7278</v>
      </c>
      <c r="D11691" s="343">
        <v>154.13999999999999</v>
      </c>
    </row>
    <row r="11692" spans="1:4" ht="38.25">
      <c r="A11692" s="341">
        <v>10232</v>
      </c>
      <c r="B11692" s="342" t="s">
        <v>12522</v>
      </c>
      <c r="C11692" s="341" t="s">
        <v>7278</v>
      </c>
      <c r="D11692" s="343">
        <v>86.25</v>
      </c>
    </row>
    <row r="11693" spans="1:4" ht="38.25">
      <c r="A11693" s="341">
        <v>10229</v>
      </c>
      <c r="B11693" s="342" t="s">
        <v>12523</v>
      </c>
      <c r="C11693" s="341" t="s">
        <v>7278</v>
      </c>
      <c r="D11693" s="343">
        <v>30.4</v>
      </c>
    </row>
    <row r="11694" spans="1:4" ht="38.25">
      <c r="A11694" s="341">
        <v>10235</v>
      </c>
      <c r="B11694" s="342" t="s">
        <v>12524</v>
      </c>
      <c r="C11694" s="341" t="s">
        <v>7278</v>
      </c>
      <c r="D11694" s="343">
        <v>211.31</v>
      </c>
    </row>
    <row r="11695" spans="1:4" ht="38.25">
      <c r="A11695" s="341">
        <v>10230</v>
      </c>
      <c r="B11695" s="342" t="s">
        <v>12525</v>
      </c>
      <c r="C11695" s="341" t="s">
        <v>7278</v>
      </c>
      <c r="D11695" s="343">
        <v>371.89</v>
      </c>
    </row>
    <row r="11696" spans="1:4" ht="38.25">
      <c r="A11696" s="341">
        <v>10409</v>
      </c>
      <c r="B11696" s="342" t="s">
        <v>12526</v>
      </c>
      <c r="C11696" s="341" t="s">
        <v>7278</v>
      </c>
      <c r="D11696" s="343">
        <v>110.48</v>
      </c>
    </row>
    <row r="11697" spans="1:4" ht="38.25">
      <c r="A11697" s="341">
        <v>10411</v>
      </c>
      <c r="B11697" s="342" t="s">
        <v>12527</v>
      </c>
      <c r="C11697" s="341" t="s">
        <v>7278</v>
      </c>
      <c r="D11697" s="343">
        <v>98.86</v>
      </c>
    </row>
    <row r="11698" spans="1:4" ht="38.25">
      <c r="A11698" s="341">
        <v>10404</v>
      </c>
      <c r="B11698" s="342" t="s">
        <v>12528</v>
      </c>
      <c r="C11698" s="341" t="s">
        <v>7278</v>
      </c>
      <c r="D11698" s="343">
        <v>40.090000000000003</v>
      </c>
    </row>
    <row r="11699" spans="1:4" ht="38.25">
      <c r="A11699" s="341">
        <v>10410</v>
      </c>
      <c r="B11699" s="342" t="s">
        <v>12529</v>
      </c>
      <c r="C11699" s="341" t="s">
        <v>7278</v>
      </c>
      <c r="D11699" s="343">
        <v>66.040000000000006</v>
      </c>
    </row>
    <row r="11700" spans="1:4" ht="38.25">
      <c r="A11700" s="341">
        <v>10405</v>
      </c>
      <c r="B11700" s="342" t="s">
        <v>12530</v>
      </c>
      <c r="C11700" s="341" t="s">
        <v>7278</v>
      </c>
      <c r="D11700" s="343">
        <v>221.36</v>
      </c>
    </row>
    <row r="11701" spans="1:4" ht="38.25">
      <c r="A11701" s="341">
        <v>10408</v>
      </c>
      <c r="B11701" s="342" t="s">
        <v>12531</v>
      </c>
      <c r="C11701" s="341" t="s">
        <v>7278</v>
      </c>
      <c r="D11701" s="343">
        <v>154.79</v>
      </c>
    </row>
    <row r="11702" spans="1:4" ht="38.25">
      <c r="A11702" s="341">
        <v>10412</v>
      </c>
      <c r="B11702" s="342" t="s">
        <v>12532</v>
      </c>
      <c r="C11702" s="341" t="s">
        <v>7278</v>
      </c>
      <c r="D11702" s="343">
        <v>48.59</v>
      </c>
    </row>
    <row r="11703" spans="1:4" ht="38.25">
      <c r="A11703" s="341">
        <v>10406</v>
      </c>
      <c r="B11703" s="342" t="s">
        <v>12533</v>
      </c>
      <c r="C11703" s="341" t="s">
        <v>7278</v>
      </c>
      <c r="D11703" s="343">
        <v>305.74</v>
      </c>
    </row>
    <row r="11704" spans="1:4" ht="38.25">
      <c r="A11704" s="341">
        <v>10407</v>
      </c>
      <c r="B11704" s="342" t="s">
        <v>12534</v>
      </c>
      <c r="C11704" s="341" t="s">
        <v>7278</v>
      </c>
      <c r="D11704" s="343">
        <v>474.2</v>
      </c>
    </row>
    <row r="11705" spans="1:4" ht="38.25">
      <c r="A11705" s="341">
        <v>10416</v>
      </c>
      <c r="B11705" s="342" t="s">
        <v>12535</v>
      </c>
      <c r="C11705" s="341" t="s">
        <v>7278</v>
      </c>
      <c r="D11705" s="343">
        <v>58.82</v>
      </c>
    </row>
    <row r="11706" spans="1:4" ht="38.25">
      <c r="A11706" s="341">
        <v>10419</v>
      </c>
      <c r="B11706" s="342" t="s">
        <v>12536</v>
      </c>
      <c r="C11706" s="341" t="s">
        <v>7278</v>
      </c>
      <c r="D11706" s="343">
        <v>51.05</v>
      </c>
    </row>
    <row r="11707" spans="1:4" ht="38.25">
      <c r="A11707" s="341">
        <v>21092</v>
      </c>
      <c r="B11707" s="342" t="s">
        <v>12537</v>
      </c>
      <c r="C11707" s="341" t="s">
        <v>7278</v>
      </c>
      <c r="D11707" s="343">
        <v>29.19</v>
      </c>
    </row>
    <row r="11708" spans="1:4" ht="25.5">
      <c r="A11708" s="341">
        <v>10418</v>
      </c>
      <c r="B11708" s="342" t="s">
        <v>12538</v>
      </c>
      <c r="C11708" s="341" t="s">
        <v>7278</v>
      </c>
      <c r="D11708" s="343">
        <v>34.03</v>
      </c>
    </row>
    <row r="11709" spans="1:4" ht="38.25">
      <c r="A11709" s="341">
        <v>12657</v>
      </c>
      <c r="B11709" s="342" t="s">
        <v>12539</v>
      </c>
      <c r="C11709" s="341" t="s">
        <v>7278</v>
      </c>
      <c r="D11709" s="343">
        <v>137.33000000000001</v>
      </c>
    </row>
    <row r="11710" spans="1:4" ht="25.5">
      <c r="A11710" s="341">
        <v>10417</v>
      </c>
      <c r="B11710" s="342" t="s">
        <v>12540</v>
      </c>
      <c r="C11710" s="341" t="s">
        <v>7278</v>
      </c>
      <c r="D11710" s="343">
        <v>85.7</v>
      </c>
    </row>
    <row r="11711" spans="1:4" ht="38.25">
      <c r="A11711" s="341">
        <v>10413</v>
      </c>
      <c r="B11711" s="342" t="s">
        <v>12541</v>
      </c>
      <c r="C11711" s="341" t="s">
        <v>7278</v>
      </c>
      <c r="D11711" s="343">
        <v>31.15</v>
      </c>
    </row>
    <row r="11712" spans="1:4" ht="25.5">
      <c r="A11712" s="341">
        <v>10414</v>
      </c>
      <c r="B11712" s="342" t="s">
        <v>12542</v>
      </c>
      <c r="C11712" s="341" t="s">
        <v>7278</v>
      </c>
      <c r="D11712" s="343">
        <v>187.53</v>
      </c>
    </row>
    <row r="11713" spans="1:4" ht="25.5">
      <c r="A11713" s="341">
        <v>10415</v>
      </c>
      <c r="B11713" s="342" t="s">
        <v>12543</v>
      </c>
      <c r="C11713" s="341" t="s">
        <v>7278</v>
      </c>
      <c r="D11713" s="343">
        <v>325.48</v>
      </c>
    </row>
    <row r="11714" spans="1:4" ht="25.5">
      <c r="A11714" s="341">
        <v>38643</v>
      </c>
      <c r="B11714" s="342" t="s">
        <v>12544</v>
      </c>
      <c r="C11714" s="341" t="s">
        <v>7278</v>
      </c>
      <c r="D11714" s="343">
        <v>32.11</v>
      </c>
    </row>
    <row r="11715" spans="1:4" ht="25.5">
      <c r="A11715" s="341">
        <v>6157</v>
      </c>
      <c r="B11715" s="342" t="s">
        <v>12545</v>
      </c>
      <c r="C11715" s="341" t="s">
        <v>7278</v>
      </c>
      <c r="D11715" s="343">
        <v>43.86</v>
      </c>
    </row>
    <row r="11716" spans="1:4" ht="25.5">
      <c r="A11716" s="341">
        <v>37588</v>
      </c>
      <c r="B11716" s="342" t="s">
        <v>12546</v>
      </c>
      <c r="C11716" s="341" t="s">
        <v>7278</v>
      </c>
      <c r="D11716" s="343">
        <v>21.19</v>
      </c>
    </row>
    <row r="11717" spans="1:4" ht="25.5">
      <c r="A11717" s="341">
        <v>6152</v>
      </c>
      <c r="B11717" s="342" t="s">
        <v>12547</v>
      </c>
      <c r="C11717" s="341" t="s">
        <v>7278</v>
      </c>
      <c r="D11717" s="343">
        <v>2.58</v>
      </c>
    </row>
    <row r="11718" spans="1:4" ht="25.5">
      <c r="A11718" s="341">
        <v>6158</v>
      </c>
      <c r="B11718" s="342" t="s">
        <v>12548</v>
      </c>
      <c r="C11718" s="341" t="s">
        <v>7278</v>
      </c>
      <c r="D11718" s="343">
        <v>3.12</v>
      </c>
    </row>
    <row r="11719" spans="1:4" ht="25.5">
      <c r="A11719" s="341">
        <v>6153</v>
      </c>
      <c r="B11719" s="342" t="s">
        <v>12549</v>
      </c>
      <c r="C11719" s="341" t="s">
        <v>7278</v>
      </c>
      <c r="D11719" s="343">
        <v>2.4300000000000002</v>
      </c>
    </row>
    <row r="11720" spans="1:4" ht="25.5">
      <c r="A11720" s="341">
        <v>6156</v>
      </c>
      <c r="B11720" s="342" t="s">
        <v>12550</v>
      </c>
      <c r="C11720" s="341" t="s">
        <v>7278</v>
      </c>
      <c r="D11720" s="343">
        <v>3.07</v>
      </c>
    </row>
    <row r="11721" spans="1:4" ht="25.5">
      <c r="A11721" s="341">
        <v>6154</v>
      </c>
      <c r="B11721" s="342" t="s">
        <v>12551</v>
      </c>
      <c r="C11721" s="341" t="s">
        <v>7278</v>
      </c>
      <c r="D11721" s="343">
        <v>5.79</v>
      </c>
    </row>
    <row r="11722" spans="1:4" ht="38.25">
      <c r="A11722" s="341">
        <v>6155</v>
      </c>
      <c r="B11722" s="342" t="s">
        <v>12552</v>
      </c>
      <c r="C11722" s="341" t="s">
        <v>7278</v>
      </c>
      <c r="D11722" s="343">
        <v>11.97</v>
      </c>
    </row>
    <row r="11723" spans="1:4" ht="25.5">
      <c r="A11723" s="341">
        <v>3115</v>
      </c>
      <c r="B11723" s="342" t="s">
        <v>12553</v>
      </c>
      <c r="C11723" s="341" t="s">
        <v>7278</v>
      </c>
      <c r="D11723" s="343">
        <v>16.03</v>
      </c>
    </row>
    <row r="11724" spans="1:4" ht="25.5">
      <c r="A11724" s="341">
        <v>3116</v>
      </c>
      <c r="B11724" s="342" t="s">
        <v>12554</v>
      </c>
      <c r="C11724" s="341" t="s">
        <v>7278</v>
      </c>
      <c r="D11724" s="343">
        <v>16.53</v>
      </c>
    </row>
    <row r="11725" spans="1:4" ht="25.5">
      <c r="A11725" s="341">
        <v>38166</v>
      </c>
      <c r="B11725" s="342" t="s">
        <v>12555</v>
      </c>
      <c r="C11725" s="341" t="s">
        <v>7278</v>
      </c>
      <c r="D11725" s="343">
        <v>33.82</v>
      </c>
    </row>
    <row r="11726" spans="1:4" ht="25.5">
      <c r="A11726" s="341">
        <v>38108</v>
      </c>
      <c r="B11726" s="342" t="s">
        <v>12556</v>
      </c>
      <c r="C11726" s="341" t="s">
        <v>7278</v>
      </c>
      <c r="D11726" s="343">
        <v>27.6</v>
      </c>
    </row>
    <row r="11727" spans="1:4" ht="51">
      <c r="A11727" s="341">
        <v>38087</v>
      </c>
      <c r="B11727" s="342" t="s">
        <v>12557</v>
      </c>
      <c r="C11727" s="341" t="s">
        <v>7278</v>
      </c>
      <c r="D11727" s="343">
        <v>35.5</v>
      </c>
    </row>
    <row r="11728" spans="1:4" ht="25.5">
      <c r="A11728" s="341">
        <v>38109</v>
      </c>
      <c r="B11728" s="342" t="s">
        <v>12558</v>
      </c>
      <c r="C11728" s="341" t="s">
        <v>7278</v>
      </c>
      <c r="D11728" s="343">
        <v>44.11</v>
      </c>
    </row>
    <row r="11729" spans="1:4" ht="51">
      <c r="A11729" s="341">
        <v>38088</v>
      </c>
      <c r="B11729" s="342" t="s">
        <v>12559</v>
      </c>
      <c r="C11729" s="341" t="s">
        <v>7278</v>
      </c>
      <c r="D11729" s="343">
        <v>46.38</v>
      </c>
    </row>
    <row r="11730" spans="1:4" ht="25.5">
      <c r="A11730" s="341">
        <v>38110</v>
      </c>
      <c r="B11730" s="342" t="s">
        <v>12560</v>
      </c>
      <c r="C11730" s="341" t="s">
        <v>7278</v>
      </c>
      <c r="D11730" s="343">
        <v>16.97</v>
      </c>
    </row>
    <row r="11731" spans="1:4" ht="63.75">
      <c r="A11731" s="341">
        <v>38089</v>
      </c>
      <c r="B11731" s="342" t="s">
        <v>12561</v>
      </c>
      <c r="C11731" s="341" t="s">
        <v>7278</v>
      </c>
      <c r="D11731" s="343">
        <v>29.57</v>
      </c>
    </row>
    <row r="11732" spans="1:4" ht="25.5">
      <c r="A11732" s="341">
        <v>38111</v>
      </c>
      <c r="B11732" s="342" t="s">
        <v>12562</v>
      </c>
      <c r="C11732" s="341" t="s">
        <v>7278</v>
      </c>
      <c r="D11732" s="343">
        <v>18.97</v>
      </c>
    </row>
    <row r="11733" spans="1:4" ht="63.75">
      <c r="A11733" s="341">
        <v>38090</v>
      </c>
      <c r="B11733" s="342" t="s">
        <v>12563</v>
      </c>
      <c r="C11733" s="341" t="s">
        <v>7278</v>
      </c>
      <c r="D11733" s="343">
        <v>30.56</v>
      </c>
    </row>
    <row r="11734" spans="1:4" ht="25.5">
      <c r="A11734" s="341">
        <v>11786</v>
      </c>
      <c r="B11734" s="342" t="s">
        <v>12564</v>
      </c>
      <c r="C11734" s="341" t="s">
        <v>7278</v>
      </c>
      <c r="D11734" s="343">
        <v>243.25</v>
      </c>
    </row>
    <row r="11735" spans="1:4" ht="38.25">
      <c r="A11735" s="341">
        <v>13726</v>
      </c>
      <c r="B11735" s="342" t="s">
        <v>12565</v>
      </c>
      <c r="C11735" s="341" t="s">
        <v>7278</v>
      </c>
      <c r="D11735" s="344">
        <v>31212.3</v>
      </c>
    </row>
    <row r="11736" spans="1:4">
      <c r="A11736" s="341">
        <v>38400</v>
      </c>
      <c r="B11736" s="342" t="s">
        <v>12566</v>
      </c>
      <c r="C11736" s="341" t="s">
        <v>7278</v>
      </c>
      <c r="D11736" s="343">
        <v>10.039999999999999</v>
      </c>
    </row>
    <row r="11737" spans="1:4" ht="38.25">
      <c r="A11737" s="341">
        <v>12627</v>
      </c>
      <c r="B11737" s="342" t="s">
        <v>12567</v>
      </c>
      <c r="C11737" s="341" t="s">
        <v>7278</v>
      </c>
      <c r="D11737" s="343">
        <v>0.43</v>
      </c>
    </row>
    <row r="11738" spans="1:4" ht="25.5">
      <c r="A11738" s="341">
        <v>6138</v>
      </c>
      <c r="B11738" s="342" t="s">
        <v>12568</v>
      </c>
      <c r="C11738" s="341" t="s">
        <v>7278</v>
      </c>
      <c r="D11738" s="343">
        <v>1.54</v>
      </c>
    </row>
    <row r="11739" spans="1:4" ht="25.5">
      <c r="A11739" s="341">
        <v>39996</v>
      </c>
      <c r="B11739" s="342" t="s">
        <v>12569</v>
      </c>
      <c r="C11739" s="341" t="s">
        <v>7287</v>
      </c>
      <c r="D11739" s="343">
        <v>2.57</v>
      </c>
    </row>
    <row r="11740" spans="1:4" ht="38.25">
      <c r="A11740" s="341">
        <v>10478</v>
      </c>
      <c r="B11740" s="342" t="s">
        <v>12570</v>
      </c>
      <c r="C11740" s="341" t="s">
        <v>7340</v>
      </c>
      <c r="D11740" s="343">
        <v>24.18</v>
      </c>
    </row>
    <row r="11741" spans="1:4" ht="38.25">
      <c r="A11741" s="341">
        <v>40514</v>
      </c>
      <c r="B11741" s="342" t="s">
        <v>12571</v>
      </c>
      <c r="C11741" s="341" t="s">
        <v>7340</v>
      </c>
      <c r="D11741" s="343">
        <v>21.42</v>
      </c>
    </row>
    <row r="11742" spans="1:4" ht="25.5">
      <c r="A11742" s="341">
        <v>10475</v>
      </c>
      <c r="B11742" s="342" t="s">
        <v>12572</v>
      </c>
      <c r="C11742" s="341" t="s">
        <v>7340</v>
      </c>
      <c r="D11742" s="343">
        <v>21.27</v>
      </c>
    </row>
    <row r="11743" spans="1:4" ht="38.25">
      <c r="A11743" s="341">
        <v>10481</v>
      </c>
      <c r="B11743" s="342" t="s">
        <v>12573</v>
      </c>
      <c r="C11743" s="341" t="s">
        <v>7340</v>
      </c>
      <c r="D11743" s="343">
        <v>23.2</v>
      </c>
    </row>
    <row r="11744" spans="1:4">
      <c r="A11744" s="341">
        <v>4031</v>
      </c>
      <c r="B11744" s="342" t="s">
        <v>12574</v>
      </c>
      <c r="C11744" s="341" t="s">
        <v>7273</v>
      </c>
      <c r="D11744" s="343">
        <v>23.01</v>
      </c>
    </row>
    <row r="11745" spans="1:4">
      <c r="A11745" s="341">
        <v>4030</v>
      </c>
      <c r="B11745" s="342" t="s">
        <v>12575</v>
      </c>
      <c r="C11745" s="341" t="s">
        <v>7273</v>
      </c>
      <c r="D11745" s="343">
        <v>4.8899999999999997</v>
      </c>
    </row>
    <row r="11746" spans="1:4" ht="25.5">
      <c r="A11746" s="341">
        <v>39399</v>
      </c>
      <c r="B11746" s="342" t="s">
        <v>12576</v>
      </c>
      <c r="C11746" s="341" t="s">
        <v>7278</v>
      </c>
      <c r="D11746" s="343">
        <v>838.67</v>
      </c>
    </row>
    <row r="11747" spans="1:4" ht="25.5">
      <c r="A11747" s="341">
        <v>39400</v>
      </c>
      <c r="B11747" s="342" t="s">
        <v>12577</v>
      </c>
      <c r="C11747" s="341" t="s">
        <v>7278</v>
      </c>
      <c r="D11747" s="343">
        <v>911.6</v>
      </c>
    </row>
    <row r="11748" spans="1:4" ht="25.5">
      <c r="A11748" s="341">
        <v>39401</v>
      </c>
      <c r="B11748" s="342" t="s">
        <v>12578</v>
      </c>
      <c r="C11748" s="341" t="s">
        <v>7278</v>
      </c>
      <c r="D11748" s="344">
        <v>1022.59</v>
      </c>
    </row>
    <row r="11749" spans="1:4" ht="38.25">
      <c r="A11749" s="341">
        <v>11652</v>
      </c>
      <c r="B11749" s="342" t="s">
        <v>12579</v>
      </c>
      <c r="C11749" s="341" t="s">
        <v>7278</v>
      </c>
      <c r="D11749" s="344">
        <v>2200</v>
      </c>
    </row>
    <row r="11750" spans="1:4" ht="38.25">
      <c r="A11750" s="341">
        <v>13896</v>
      </c>
      <c r="B11750" s="342" t="s">
        <v>12580</v>
      </c>
      <c r="C11750" s="341" t="s">
        <v>7278</v>
      </c>
      <c r="D11750" s="344">
        <v>1973.59</v>
      </c>
    </row>
    <row r="11751" spans="1:4" ht="38.25">
      <c r="A11751" s="341">
        <v>13475</v>
      </c>
      <c r="B11751" s="342" t="s">
        <v>12581</v>
      </c>
      <c r="C11751" s="341" t="s">
        <v>7278</v>
      </c>
      <c r="D11751" s="344">
        <v>2404.0700000000002</v>
      </c>
    </row>
    <row r="11752" spans="1:4" ht="38.25">
      <c r="A11752" s="341">
        <v>25971</v>
      </c>
      <c r="B11752" s="342" t="s">
        <v>12582</v>
      </c>
      <c r="C11752" s="341" t="s">
        <v>7278</v>
      </c>
      <c r="D11752" s="344">
        <v>2361172.1800000002</v>
      </c>
    </row>
    <row r="11753" spans="1:4" ht="38.25">
      <c r="A11753" s="341">
        <v>25970</v>
      </c>
      <c r="B11753" s="342" t="s">
        <v>12583</v>
      </c>
      <c r="C11753" s="341" t="s">
        <v>7278</v>
      </c>
      <c r="D11753" s="344">
        <v>994026.08</v>
      </c>
    </row>
    <row r="11754" spans="1:4" ht="38.25">
      <c r="A11754" s="341">
        <v>13476</v>
      </c>
      <c r="B11754" s="342" t="s">
        <v>12584</v>
      </c>
      <c r="C11754" s="341" t="s">
        <v>7278</v>
      </c>
      <c r="D11754" s="344">
        <v>1001229.24</v>
      </c>
    </row>
    <row r="11755" spans="1:4" ht="38.25">
      <c r="A11755" s="341">
        <v>10488</v>
      </c>
      <c r="B11755" s="342" t="s">
        <v>12585</v>
      </c>
      <c r="C11755" s="341" t="s">
        <v>7278</v>
      </c>
      <c r="D11755" s="344">
        <v>1213000</v>
      </c>
    </row>
    <row r="11756" spans="1:4" ht="38.25">
      <c r="A11756" s="341">
        <v>13606</v>
      </c>
      <c r="B11756" s="342" t="s">
        <v>12586</v>
      </c>
      <c r="C11756" s="341" t="s">
        <v>7278</v>
      </c>
      <c r="D11756" s="344">
        <v>1074700.6499999999</v>
      </c>
    </row>
    <row r="11757" spans="1:4">
      <c r="A11757" s="341">
        <v>10489</v>
      </c>
      <c r="B11757" s="342" t="s">
        <v>12587</v>
      </c>
      <c r="C11757" s="341" t="s">
        <v>7275</v>
      </c>
      <c r="D11757" s="343">
        <v>12.13</v>
      </c>
    </row>
    <row r="11758" spans="1:4">
      <c r="A11758" s="341">
        <v>41073</v>
      </c>
      <c r="B11758" s="342" t="s">
        <v>12588</v>
      </c>
      <c r="C11758" s="341" t="s">
        <v>7466</v>
      </c>
      <c r="D11758" s="344">
        <v>2143.0700000000002</v>
      </c>
    </row>
    <row r="11759" spans="1:4" ht="38.25">
      <c r="A11759" s="341">
        <v>34391</v>
      </c>
      <c r="B11759" s="342" t="s">
        <v>12589</v>
      </c>
      <c r="C11759" s="341" t="s">
        <v>7273</v>
      </c>
      <c r="D11759" s="343">
        <v>497.8</v>
      </c>
    </row>
    <row r="11760" spans="1:4" ht="38.25">
      <c r="A11760" s="341">
        <v>10496</v>
      </c>
      <c r="B11760" s="342" t="s">
        <v>12590</v>
      </c>
      <c r="C11760" s="341" t="s">
        <v>7273</v>
      </c>
      <c r="D11760" s="343">
        <v>433.33</v>
      </c>
    </row>
    <row r="11761" spans="1:4" ht="38.25">
      <c r="A11761" s="341">
        <v>10497</v>
      </c>
      <c r="B11761" s="342" t="s">
        <v>12591</v>
      </c>
      <c r="C11761" s="341" t="s">
        <v>7273</v>
      </c>
      <c r="D11761" s="344">
        <v>1126.6600000000001</v>
      </c>
    </row>
    <row r="11762" spans="1:4" ht="38.25">
      <c r="A11762" s="341">
        <v>10504</v>
      </c>
      <c r="B11762" s="342" t="s">
        <v>12592</v>
      </c>
      <c r="C11762" s="341" t="s">
        <v>7273</v>
      </c>
      <c r="D11762" s="344">
        <v>1317.33</v>
      </c>
    </row>
    <row r="11763" spans="1:4" ht="25.5">
      <c r="A11763" s="341">
        <v>34390</v>
      </c>
      <c r="B11763" s="342" t="s">
        <v>12593</v>
      </c>
      <c r="C11763" s="341" t="s">
        <v>7273</v>
      </c>
      <c r="D11763" s="343">
        <v>388.26</v>
      </c>
    </row>
    <row r="11764" spans="1:4" ht="25.5">
      <c r="A11764" s="341">
        <v>34389</v>
      </c>
      <c r="B11764" s="342" t="s">
        <v>12594</v>
      </c>
      <c r="C11764" s="341" t="s">
        <v>7273</v>
      </c>
      <c r="D11764" s="343">
        <v>121.33</v>
      </c>
    </row>
    <row r="11765" spans="1:4" ht="25.5">
      <c r="A11765" s="341">
        <v>34388</v>
      </c>
      <c r="B11765" s="342" t="s">
        <v>12595</v>
      </c>
      <c r="C11765" s="341" t="s">
        <v>7273</v>
      </c>
      <c r="D11765" s="343">
        <v>172.44</v>
      </c>
    </row>
    <row r="11766" spans="1:4" ht="25.5">
      <c r="A11766" s="341">
        <v>34387</v>
      </c>
      <c r="B11766" s="342" t="s">
        <v>12596</v>
      </c>
      <c r="C11766" s="341" t="s">
        <v>7273</v>
      </c>
      <c r="D11766" s="343">
        <v>279.93</v>
      </c>
    </row>
    <row r="11767" spans="1:4">
      <c r="A11767" s="341">
        <v>11188</v>
      </c>
      <c r="B11767" s="342" t="s">
        <v>12597</v>
      </c>
      <c r="C11767" s="341" t="s">
        <v>7273</v>
      </c>
      <c r="D11767" s="343">
        <v>138.66</v>
      </c>
    </row>
    <row r="11768" spans="1:4">
      <c r="A11768" s="341">
        <v>11189</v>
      </c>
      <c r="B11768" s="342" t="s">
        <v>12598</v>
      </c>
      <c r="C11768" s="341" t="s">
        <v>7273</v>
      </c>
      <c r="D11768" s="343">
        <v>208</v>
      </c>
    </row>
    <row r="11769" spans="1:4">
      <c r="A11769" s="341">
        <v>21107</v>
      </c>
      <c r="B11769" s="342" t="s">
        <v>12599</v>
      </c>
      <c r="C11769" s="341" t="s">
        <v>7273</v>
      </c>
      <c r="D11769" s="343">
        <v>149.68</v>
      </c>
    </row>
    <row r="11770" spans="1:4">
      <c r="A11770" s="341">
        <v>34386</v>
      </c>
      <c r="B11770" s="342" t="s">
        <v>12600</v>
      </c>
      <c r="C11770" s="341" t="s">
        <v>7273</v>
      </c>
      <c r="D11770" s="343">
        <v>259.99</v>
      </c>
    </row>
    <row r="11771" spans="1:4" ht="25.5">
      <c r="A11771" s="341">
        <v>10490</v>
      </c>
      <c r="B11771" s="342" t="s">
        <v>12601</v>
      </c>
      <c r="C11771" s="341" t="s">
        <v>7273</v>
      </c>
      <c r="D11771" s="343">
        <v>78</v>
      </c>
    </row>
    <row r="11772" spans="1:4">
      <c r="A11772" s="341">
        <v>10492</v>
      </c>
      <c r="B11772" s="342" t="s">
        <v>12602</v>
      </c>
      <c r="C11772" s="341" t="s">
        <v>7273</v>
      </c>
      <c r="D11772" s="343">
        <v>103.99</v>
      </c>
    </row>
    <row r="11773" spans="1:4">
      <c r="A11773" s="341">
        <v>10493</v>
      </c>
      <c r="B11773" s="342" t="s">
        <v>12603</v>
      </c>
      <c r="C11773" s="341" t="s">
        <v>7273</v>
      </c>
      <c r="D11773" s="343">
        <v>121.33</v>
      </c>
    </row>
    <row r="11774" spans="1:4">
      <c r="A11774" s="341">
        <v>10491</v>
      </c>
      <c r="B11774" s="342" t="s">
        <v>12604</v>
      </c>
      <c r="C11774" s="341" t="s">
        <v>7273</v>
      </c>
      <c r="D11774" s="343">
        <v>147.33000000000001</v>
      </c>
    </row>
    <row r="11775" spans="1:4">
      <c r="A11775" s="341">
        <v>34385</v>
      </c>
      <c r="B11775" s="342" t="s">
        <v>12605</v>
      </c>
      <c r="C11775" s="341" t="s">
        <v>7273</v>
      </c>
      <c r="D11775" s="343">
        <v>214.93</v>
      </c>
    </row>
    <row r="11776" spans="1:4" ht="25.5">
      <c r="A11776" s="341">
        <v>10499</v>
      </c>
      <c r="B11776" s="342" t="s">
        <v>12606</v>
      </c>
      <c r="C11776" s="341" t="s">
        <v>7273</v>
      </c>
      <c r="D11776" s="343">
        <v>86.66</v>
      </c>
    </row>
    <row r="11777" spans="1:4" ht="25.5">
      <c r="A11777" s="341">
        <v>34384</v>
      </c>
      <c r="B11777" s="342" t="s">
        <v>12607</v>
      </c>
      <c r="C11777" s="341" t="s">
        <v>7273</v>
      </c>
      <c r="D11777" s="343">
        <v>259.99</v>
      </c>
    </row>
    <row r="11778" spans="1:4" ht="25.5">
      <c r="A11778" s="341">
        <v>11185</v>
      </c>
      <c r="B11778" s="342" t="s">
        <v>12608</v>
      </c>
      <c r="C11778" s="341" t="s">
        <v>7273</v>
      </c>
      <c r="D11778" s="343">
        <v>268.66000000000003</v>
      </c>
    </row>
    <row r="11779" spans="1:4" ht="25.5">
      <c r="A11779" s="341">
        <v>10507</v>
      </c>
      <c r="B11779" s="342" t="s">
        <v>12609</v>
      </c>
      <c r="C11779" s="341" t="s">
        <v>7273</v>
      </c>
      <c r="D11779" s="343">
        <v>221.89</v>
      </c>
    </row>
    <row r="11780" spans="1:4" ht="25.5">
      <c r="A11780" s="341">
        <v>10505</v>
      </c>
      <c r="B11780" s="342" t="s">
        <v>12610</v>
      </c>
      <c r="C11780" s="341" t="s">
        <v>7273</v>
      </c>
      <c r="D11780" s="343">
        <v>130.93</v>
      </c>
    </row>
    <row r="11781" spans="1:4" ht="25.5">
      <c r="A11781" s="341">
        <v>10506</v>
      </c>
      <c r="B11781" s="342" t="s">
        <v>12611</v>
      </c>
      <c r="C11781" s="341" t="s">
        <v>7273</v>
      </c>
      <c r="D11781" s="343">
        <v>170.92</v>
      </c>
    </row>
    <row r="11782" spans="1:4" ht="38.25">
      <c r="A11782" s="341">
        <v>5031</v>
      </c>
      <c r="B11782" s="342" t="s">
        <v>12612</v>
      </c>
      <c r="C11782" s="341" t="s">
        <v>7273</v>
      </c>
      <c r="D11782" s="343">
        <v>240</v>
      </c>
    </row>
    <row r="11783" spans="1:4" ht="25.5">
      <c r="A11783" s="341">
        <v>10502</v>
      </c>
      <c r="B11783" s="342" t="s">
        <v>12613</v>
      </c>
      <c r="C11783" s="341" t="s">
        <v>7273</v>
      </c>
      <c r="D11783" s="343">
        <v>279.64999999999998</v>
      </c>
    </row>
    <row r="11784" spans="1:4" ht="25.5">
      <c r="A11784" s="341">
        <v>10501</v>
      </c>
      <c r="B11784" s="342" t="s">
        <v>12614</v>
      </c>
      <c r="C11784" s="341" t="s">
        <v>7273</v>
      </c>
      <c r="D11784" s="343">
        <v>157.99</v>
      </c>
    </row>
    <row r="11785" spans="1:4" ht="25.5">
      <c r="A11785" s="341">
        <v>10503</v>
      </c>
      <c r="B11785" s="342" t="s">
        <v>12615</v>
      </c>
      <c r="C11785" s="341" t="s">
        <v>7273</v>
      </c>
      <c r="D11785" s="343">
        <v>213.45</v>
      </c>
    </row>
    <row r="11786" spans="1:4" ht="38.25">
      <c r="A11786" s="341">
        <v>40270</v>
      </c>
      <c r="B11786" s="342" t="s">
        <v>12616</v>
      </c>
      <c r="C11786" s="341" t="s">
        <v>7287</v>
      </c>
      <c r="D11786" s="343">
        <v>45.38</v>
      </c>
    </row>
    <row r="11787" spans="1:4" ht="38.25">
      <c r="A11787" s="341">
        <v>20213</v>
      </c>
      <c r="B11787" s="342" t="s">
        <v>12617</v>
      </c>
      <c r="C11787" s="341" t="s">
        <v>7287</v>
      </c>
      <c r="D11787" s="343">
        <v>10.76</v>
      </c>
    </row>
    <row r="11788" spans="1:4" ht="38.25">
      <c r="A11788" s="341">
        <v>20211</v>
      </c>
      <c r="B11788" s="342" t="s">
        <v>12618</v>
      </c>
      <c r="C11788" s="341" t="s">
        <v>7287</v>
      </c>
      <c r="D11788" s="343">
        <v>15.89</v>
      </c>
    </row>
    <row r="11789" spans="1:4" ht="38.25">
      <c r="A11789" s="341">
        <v>4472</v>
      </c>
      <c r="B11789" s="342" t="s">
        <v>12619</v>
      </c>
      <c r="C11789" s="341" t="s">
        <v>7287</v>
      </c>
      <c r="D11789" s="343">
        <v>13.47</v>
      </c>
    </row>
    <row r="11790" spans="1:4" ht="38.25">
      <c r="A11790" s="341">
        <v>35272</v>
      </c>
      <c r="B11790" s="342" t="s">
        <v>12620</v>
      </c>
      <c r="C11790" s="341" t="s">
        <v>7287</v>
      </c>
      <c r="D11790" s="343">
        <v>17.7</v>
      </c>
    </row>
    <row r="11791" spans="1:4" ht="38.25">
      <c r="A11791" s="341">
        <v>4425</v>
      </c>
      <c r="B11791" s="342" t="s">
        <v>12621</v>
      </c>
      <c r="C11791" s="341" t="s">
        <v>7287</v>
      </c>
      <c r="D11791" s="343">
        <v>9.9</v>
      </c>
    </row>
    <row r="11792" spans="1:4" ht="38.25">
      <c r="A11792" s="341">
        <v>4481</v>
      </c>
      <c r="B11792" s="342" t="s">
        <v>12622</v>
      </c>
      <c r="C11792" s="341" t="s">
        <v>7287</v>
      </c>
      <c r="D11792" s="343">
        <v>18.23</v>
      </c>
    </row>
    <row r="11793" spans="1:4">
      <c r="A11793" s="341">
        <v>34345</v>
      </c>
      <c r="B11793" s="342" t="s">
        <v>12623</v>
      </c>
      <c r="C11793" s="341" t="s">
        <v>7275</v>
      </c>
      <c r="D11793" s="343">
        <v>9.83</v>
      </c>
    </row>
    <row r="11794" spans="1:4">
      <c r="A11794" s="341">
        <v>41096</v>
      </c>
      <c r="B11794" s="342" t="s">
        <v>12624</v>
      </c>
      <c r="C11794" s="341" t="s">
        <v>7466</v>
      </c>
      <c r="D11794" s="344">
        <v>1734.87</v>
      </c>
    </row>
    <row r="11795" spans="1:4" ht="38.25">
      <c r="A11795" s="341">
        <v>41776</v>
      </c>
      <c r="B11795" s="342" t="s">
        <v>12625</v>
      </c>
      <c r="C11795" s="341" t="s">
        <v>7275</v>
      </c>
      <c r="D11795" s="343">
        <v>12.12</v>
      </c>
    </row>
    <row r="11796" spans="1:4" ht="38.25">
      <c r="A11796" s="341">
        <v>4487</v>
      </c>
      <c r="B11796" s="342" t="s">
        <v>12626</v>
      </c>
      <c r="C11796" s="341" t="s">
        <v>7287</v>
      </c>
      <c r="D11796" s="343">
        <v>8.85</v>
      </c>
    </row>
    <row r="11797" spans="1:4">
      <c r="A11797" s="341">
        <v>11157</v>
      </c>
      <c r="B11797" s="342" t="s">
        <v>12627</v>
      </c>
      <c r="C11797" s="341" t="s">
        <v>9603</v>
      </c>
      <c r="D11797" s="343">
        <v>131.53</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B1:E39"/>
  <sheetViews>
    <sheetView tabSelected="1" view="pageBreakPreview" zoomScale="85" zoomScaleNormal="70" zoomScaleSheetLayoutView="85" workbookViewId="0">
      <selection activeCell="B3" sqref="B3:E3"/>
    </sheetView>
  </sheetViews>
  <sheetFormatPr defaultRowHeight="12.75"/>
  <cols>
    <col min="2" max="2" width="13.140625" bestFit="1" customWidth="1"/>
    <col min="3" max="3" width="58.140625" customWidth="1"/>
    <col min="4" max="4" width="22" style="8" customWidth="1"/>
    <col min="5" max="5" width="17.5703125" customWidth="1"/>
    <col min="6" max="6" width="10.140625" bestFit="1" customWidth="1"/>
  </cols>
  <sheetData>
    <row r="1" spans="2:5" ht="47.25" customHeight="1" thickBot="1"/>
    <row r="2" spans="2:5" ht="97.5" customHeight="1">
      <c r="B2" s="518"/>
      <c r="C2" s="519"/>
      <c r="D2" s="519"/>
      <c r="E2" s="520"/>
    </row>
    <row r="3" spans="2:5" ht="15">
      <c r="B3" s="515" t="str">
        <f>'2-ORÇAMENTO'!B3:G3</f>
        <v xml:space="preserve">OBRA: REFORMA DO ESTÁDIO BENEDITO LAURINDO DE SOUZA </v>
      </c>
      <c r="C3" s="516"/>
      <c r="D3" s="516"/>
      <c r="E3" s="517"/>
    </row>
    <row r="4" spans="2:5" ht="15">
      <c r="B4" s="515" t="str">
        <f>'2-ORÇAMENTO'!B4:G4</f>
        <v>LOCAL: ESTÁDIO BENEDITO LAURINDO DE SOUZA "DITO SOUZA"</v>
      </c>
      <c r="C4" s="516"/>
      <c r="D4" s="516"/>
      <c r="E4" s="517"/>
    </row>
    <row r="5" spans="2:5" ht="15">
      <c r="B5" s="515" t="str">
        <f>'2-ORÇAMENTO'!B5:G5</f>
        <v>ENDEREÇO: RUA PROF. ISABEL PINTO ESQUINA COM RUA MIGUEL MARCONDES, BAIRRO CRISTO REI, S/N</v>
      </c>
      <c r="C5" s="516"/>
      <c r="D5" s="516"/>
      <c r="E5" s="517"/>
    </row>
    <row r="6" spans="2:5" ht="15" customHeight="1">
      <c r="B6" s="515" t="str">
        <f>'2-ORÇAMENTO'!B6:G6</f>
        <v>MUNICÍPIO: VÁRZEA GRANDE - MT</v>
      </c>
      <c r="C6" s="516"/>
      <c r="D6" s="516"/>
      <c r="E6" s="517"/>
    </row>
    <row r="7" spans="2:5" ht="15">
      <c r="B7" s="515" t="str">
        <f>'2-ORÇAMENTO'!B7:G7</f>
        <v>DATA BASE: SINAPI JULHO- COM DESONERAÇÃO / 2018 - BDI - 28,24%</v>
      </c>
      <c r="C7" s="516"/>
      <c r="D7" s="516"/>
      <c r="E7" s="517"/>
    </row>
    <row r="8" spans="2:5" ht="16.5" customHeight="1">
      <c r="B8" s="509" t="s">
        <v>12628</v>
      </c>
      <c r="C8" s="510"/>
      <c r="D8" s="510"/>
      <c r="E8" s="511"/>
    </row>
    <row r="9" spans="2:5" ht="17.25" customHeight="1">
      <c r="B9" s="512" t="s">
        <v>12629</v>
      </c>
      <c r="C9" s="513" t="s">
        <v>12630</v>
      </c>
      <c r="D9" s="513" t="s">
        <v>12631</v>
      </c>
      <c r="E9" s="514"/>
    </row>
    <row r="10" spans="2:5" ht="15.75">
      <c r="B10" s="512"/>
      <c r="C10" s="513"/>
      <c r="D10" s="412" t="s">
        <v>12632</v>
      </c>
      <c r="E10" s="414" t="s">
        <v>12633</v>
      </c>
    </row>
    <row r="11" spans="2:5" ht="39" customHeight="1">
      <c r="B11" s="409" t="str">
        <f>'2-ORÇAMENTO'!B10</f>
        <v>1.0</v>
      </c>
      <c r="C11" s="410" t="str">
        <f>'2-ORÇAMENTO'!E10</f>
        <v>ADIMINISTRAÇÃO LOCAL</v>
      </c>
      <c r="D11" s="411">
        <f>'2-ORÇAMENTO'!K14</f>
        <v>106269.95999999999</v>
      </c>
      <c r="E11" s="416">
        <f>D11/$D$35</f>
        <v>5.5833372851558365E-2</v>
      </c>
    </row>
    <row r="12" spans="2:5" ht="39" customHeight="1">
      <c r="B12" s="409" t="str">
        <f>'2-ORÇAMENTO'!B15</f>
        <v>2.0</v>
      </c>
      <c r="C12" s="410" t="str">
        <f>'2-ORÇAMENTO'!E15</f>
        <v>INSTALAÇÕES DE CANTEIRO E SERVIÇOS PRELIMINARES</v>
      </c>
      <c r="D12" s="411">
        <f>'2-ORÇAMENTO'!K26</f>
        <v>77403.589999999982</v>
      </c>
      <c r="E12" s="416">
        <f t="shared" ref="E12:E34" si="0">D12/$D$35</f>
        <v>4.066721677997389E-2</v>
      </c>
    </row>
    <row r="13" spans="2:5" ht="39" customHeight="1">
      <c r="B13" s="409" t="str">
        <f>'2-ORÇAMENTO'!B27</f>
        <v>3.0</v>
      </c>
      <c r="C13" s="410" t="str">
        <f>'2-ORÇAMENTO'!E27</f>
        <v>DEMOLIÇÕES E RETIRADAS</v>
      </c>
      <c r="D13" s="411">
        <f>'2-ORÇAMENTO'!K36</f>
        <v>31362.649999999998</v>
      </c>
      <c r="E13" s="416">
        <f t="shared" si="0"/>
        <v>1.6477681285124481E-2</v>
      </c>
    </row>
    <row r="14" spans="2:5" ht="39" customHeight="1">
      <c r="B14" s="409" t="str">
        <f>'2-ORÇAMENTO'!B37</f>
        <v>4.0</v>
      </c>
      <c r="C14" s="410" t="str">
        <f>'2-ORÇAMENTO'!E37</f>
        <v xml:space="preserve">FUNDAÇÕES </v>
      </c>
      <c r="D14" s="411">
        <f>'2-ORÇAMENTO'!K95</f>
        <v>33582.860000000015</v>
      </c>
      <c r="E14" s="416">
        <f t="shared" si="0"/>
        <v>1.7644161565523186E-2</v>
      </c>
    </row>
    <row r="15" spans="2:5" ht="39" customHeight="1">
      <c r="B15" s="409" t="str">
        <f>'2-ORÇAMENTO'!B96</f>
        <v>5.0</v>
      </c>
      <c r="C15" s="410" t="str">
        <f>'2-ORÇAMENTO'!E96</f>
        <v xml:space="preserve">SUPERESTRUTURA </v>
      </c>
      <c r="D15" s="411">
        <f>'2-ORÇAMENTO'!K117</f>
        <v>9256.5499999999993</v>
      </c>
      <c r="E15" s="416">
        <f t="shared" si="0"/>
        <v>4.8633161005150714E-3</v>
      </c>
    </row>
    <row r="16" spans="2:5" ht="39" customHeight="1">
      <c r="B16" s="409" t="str">
        <f>'2-ORÇAMENTO'!B118</f>
        <v>6.0</v>
      </c>
      <c r="C16" s="410" t="str">
        <f>'2-ORÇAMENTO'!E118</f>
        <v>ALAMBRADO</v>
      </c>
      <c r="D16" s="411">
        <f>'2-ORÇAMENTO'!K122</f>
        <v>98450.7</v>
      </c>
      <c r="E16" s="416">
        <f t="shared" si="0"/>
        <v>5.1725197229743169E-2</v>
      </c>
    </row>
    <row r="17" spans="2:5" ht="39" customHeight="1">
      <c r="B17" s="409" t="str">
        <f>'2-ORÇAMENTO'!B123</f>
        <v>7.0</v>
      </c>
      <c r="C17" s="410" t="str">
        <f>'2-ORÇAMENTO'!E123</f>
        <v xml:space="preserve">MURETA </v>
      </c>
      <c r="D17" s="411">
        <f>'2-ORÇAMENTO'!K127</f>
        <v>13709.860000000002</v>
      </c>
      <c r="E17" s="416">
        <f t="shared" si="0"/>
        <v>7.2030489624976442E-3</v>
      </c>
    </row>
    <row r="18" spans="2:5" ht="39" customHeight="1">
      <c r="B18" s="409" t="str">
        <f>'2-ORÇAMENTO'!B128</f>
        <v>8.0</v>
      </c>
      <c r="C18" s="410" t="str">
        <f>'2-ORÇAMENTO'!E128</f>
        <v>REFORMA DE VESTIARIOS E BILHETERIA EXISTENTES</v>
      </c>
      <c r="D18" s="411">
        <f>'2-ORÇAMENTO'!K187</f>
        <v>185627.70000000004</v>
      </c>
      <c r="E18" s="416">
        <f t="shared" si="0"/>
        <v>9.7527284151393528E-2</v>
      </c>
    </row>
    <row r="19" spans="2:5" ht="39" customHeight="1">
      <c r="B19" s="409" t="str">
        <f>'2-ORÇAMENTO'!B188</f>
        <v>9.0</v>
      </c>
      <c r="C19" s="410" t="str">
        <f>'2-ORÇAMENTO'!E188</f>
        <v xml:space="preserve">GUARDA CORPO </v>
      </c>
      <c r="D19" s="411">
        <f>'2-ORÇAMENTO'!K192</f>
        <v>6432.1399999999994</v>
      </c>
      <c r="E19" s="416">
        <f t="shared" si="0"/>
        <v>3.3793940531587911E-3</v>
      </c>
    </row>
    <row r="20" spans="2:5" ht="39" customHeight="1">
      <c r="B20" s="409" t="str">
        <f>'2-ORÇAMENTO'!B193</f>
        <v>10.0</v>
      </c>
      <c r="C20" s="410" t="str">
        <f>'2-ORÇAMENTO'!E193</f>
        <v>URBANIZAÇÃO</v>
      </c>
      <c r="D20" s="411">
        <f>'2-ORÇAMENTO'!K204</f>
        <v>141531.22</v>
      </c>
      <c r="E20" s="416">
        <f t="shared" si="0"/>
        <v>7.4359352129199405E-2</v>
      </c>
    </row>
    <row r="21" spans="2:5" ht="39" customHeight="1">
      <c r="B21" s="409" t="str">
        <f>'2-ORÇAMENTO'!B205</f>
        <v>11.0</v>
      </c>
      <c r="C21" s="410" t="str">
        <f>'2-ORÇAMENTO'!E205</f>
        <v>PISOS EXTERNOS E CALÇAMENTOS</v>
      </c>
      <c r="D21" s="411">
        <f>'2-ORÇAMENTO'!K211</f>
        <v>20087.95</v>
      </c>
      <c r="E21" s="416">
        <f t="shared" si="0"/>
        <v>1.0554045585163126E-2</v>
      </c>
    </row>
    <row r="22" spans="2:5" ht="39" customHeight="1">
      <c r="B22" s="409" t="str">
        <f>'2-ORÇAMENTO'!B212</f>
        <v>12.0</v>
      </c>
      <c r="C22" s="410" t="str">
        <f>'2-ORÇAMENTO'!E212</f>
        <v>PORTÕES DE ACESSO</v>
      </c>
      <c r="D22" s="411">
        <f>'2-ORÇAMENTO'!K217</f>
        <v>15383.77</v>
      </c>
      <c r="E22" s="416">
        <f t="shared" si="0"/>
        <v>8.0825076651258564E-3</v>
      </c>
    </row>
    <row r="23" spans="2:5" ht="39" customHeight="1">
      <c r="B23" s="409" t="str">
        <f>'2-ORÇAMENTO'!B218</f>
        <v>13.0</v>
      </c>
      <c r="C23" s="410" t="str">
        <f>'2-ORÇAMENTO'!E218</f>
        <v>ARQUIBANCADA</v>
      </c>
      <c r="D23" s="411">
        <f>'2-ORÇAMENTO'!K222</f>
        <v>39717.550000000003</v>
      </c>
      <c r="E23" s="416">
        <f t="shared" si="0"/>
        <v>2.0867277807391782E-2</v>
      </c>
    </row>
    <row r="24" spans="2:5" ht="39" customHeight="1">
      <c r="B24" s="409" t="str">
        <f>'2-ORÇAMENTO'!B223</f>
        <v>14.0</v>
      </c>
      <c r="C24" s="410" t="str">
        <f>'2-ORÇAMENTO'!E223</f>
        <v>MURO DE VEDAÇÃO</v>
      </c>
      <c r="D24" s="411">
        <f>'2-ORÇAMENTO'!K395+'2-ORÇAMENTO'!K315+'2-ORÇAMENTO'!K272+'2-ORÇAMENTO'!K228</f>
        <v>386603.85000000003</v>
      </c>
      <c r="E24" s="416">
        <f t="shared" si="0"/>
        <v>0.2031185191271169</v>
      </c>
    </row>
    <row r="25" spans="2:5" ht="39" customHeight="1">
      <c r="B25" s="409" t="str">
        <f>'2-ORÇAMENTO'!B396</f>
        <v>15.0</v>
      </c>
      <c r="C25" s="410" t="str">
        <f>'2-ORÇAMENTO'!E396</f>
        <v>BILHETERIA SECUNDARIA</v>
      </c>
      <c r="D25" s="411">
        <f>'2-ORÇAMENTO'!K460</f>
        <v>21092.539999999997</v>
      </c>
      <c r="E25" s="416">
        <f t="shared" si="0"/>
        <v>1.1081849002355971E-2</v>
      </c>
    </row>
    <row r="26" spans="2:5" ht="39" customHeight="1">
      <c r="B26" s="409" t="str">
        <f>'2-ORÇAMENTO'!B461</f>
        <v>16.0</v>
      </c>
      <c r="C26" s="410" t="str">
        <f>'2-ORÇAMENTO'!E461</f>
        <v>BANHEIRO PUBLICO 01</v>
      </c>
      <c r="D26" s="411">
        <f>'2-ORÇAMENTO'!K552</f>
        <v>84960.760000000024</v>
      </c>
      <c r="E26" s="416">
        <f t="shared" si="0"/>
        <v>4.4637692446969655E-2</v>
      </c>
    </row>
    <row r="27" spans="2:5" ht="39" customHeight="1">
      <c r="B27" s="409" t="str">
        <f>'2-ORÇAMENTO'!B553</f>
        <v>17.0</v>
      </c>
      <c r="C27" s="410" t="str">
        <f>'2-ORÇAMENTO'!E553</f>
        <v>RESTAURAÇÃO CANTINA E ACESSO</v>
      </c>
      <c r="D27" s="411">
        <f>'2-ORÇAMENTO'!K588</f>
        <v>43567.08</v>
      </c>
      <c r="E27" s="416">
        <f t="shared" si="0"/>
        <v>2.2889789567001547E-2</v>
      </c>
    </row>
    <row r="28" spans="2:5" ht="39" customHeight="1">
      <c r="B28" s="409" t="str">
        <f>'2-ORÇAMENTO'!B589</f>
        <v>18.0</v>
      </c>
      <c r="C28" s="410" t="str">
        <f>'2-ORÇAMENTO'!E589</f>
        <v>BANHEIRO PUBLICO 02</v>
      </c>
      <c r="D28" s="411">
        <f>'2-ORÇAMENTO'!K676</f>
        <v>63338.879999999997</v>
      </c>
      <c r="E28" s="416">
        <f t="shared" si="0"/>
        <v>3.3277732512933228E-2</v>
      </c>
    </row>
    <row r="29" spans="2:5" ht="39" customHeight="1">
      <c r="B29" s="409" t="str">
        <f>'2-ORÇAMENTO'!B677</f>
        <v>19.0</v>
      </c>
      <c r="C29" s="410" t="str">
        <f>'2-ORÇAMENTO'!E677</f>
        <v>2 MODULOS DE ARQUIBANCADAS DE 35 M</v>
      </c>
      <c r="D29" s="411">
        <f>'2-ORÇAMENTO'!K719</f>
        <v>199366.11</v>
      </c>
      <c r="E29" s="416">
        <f t="shared" si="0"/>
        <v>0.10474533305173728</v>
      </c>
    </row>
    <row r="30" spans="2:5" ht="39" customHeight="1">
      <c r="B30" s="409" t="str">
        <f>'2-ORÇAMENTO'!B720</f>
        <v>20.0</v>
      </c>
      <c r="C30" s="410" t="str">
        <f>'2-ORÇAMENTO'!E720</f>
        <v xml:space="preserve">PISO DE CONCRETO NO ENTORNO DE ARQIBANCADA </v>
      </c>
      <c r="D30" s="411">
        <f>'2-ORÇAMENTO'!K725</f>
        <v>34508.589999999997</v>
      </c>
      <c r="E30" s="416">
        <f t="shared" si="0"/>
        <v>1.8130532579964824E-2</v>
      </c>
    </row>
    <row r="31" spans="2:5" ht="39" customHeight="1">
      <c r="B31" s="409" t="str">
        <f>'2-ORÇAMENTO'!B726</f>
        <v>21.0</v>
      </c>
      <c r="C31" s="410" t="str">
        <f>'2-ORÇAMENTO'!E726</f>
        <v>INSTALAÇÕES HIDROSANITARIAS</v>
      </c>
      <c r="D31" s="411">
        <f>'2-ORÇAMENTO'!K762+'2-ORÇAMENTO'!K745</f>
        <v>71601.62</v>
      </c>
      <c r="E31" s="416">
        <f t="shared" si="0"/>
        <v>3.7618908920598056E-2</v>
      </c>
    </row>
    <row r="32" spans="2:5" ht="39" customHeight="1">
      <c r="B32" s="409" t="str">
        <f>'2-ORÇAMENTO'!B763</f>
        <v>22.0</v>
      </c>
      <c r="C32" s="410" t="str">
        <f>'2-ORÇAMENTO'!E763</f>
        <v>INSTALAÇÕES ELÉTRICAS</v>
      </c>
      <c r="D32" s="411">
        <f>'2-ORÇAMENTO'!K825</f>
        <v>196535.25000000006</v>
      </c>
      <c r="E32" s="416">
        <f t="shared" si="0"/>
        <v>0.10325802222682912</v>
      </c>
    </row>
    <row r="33" spans="2:5" ht="39" customHeight="1">
      <c r="B33" s="409" t="str">
        <f>'2-ORÇAMENTO'!B826</f>
        <v>23.0</v>
      </c>
      <c r="C33" s="410" t="str">
        <f>'2-ORÇAMENTO'!E826</f>
        <v>SERVIÇOS DIVERSOS</v>
      </c>
      <c r="D33" s="411">
        <f>'2-ORÇAMENTO'!K829</f>
        <v>5011.1900000000005</v>
      </c>
      <c r="E33" s="416">
        <f t="shared" si="0"/>
        <v>2.6328384775904765E-3</v>
      </c>
    </row>
    <row r="34" spans="2:5" ht="39" customHeight="1">
      <c r="B34" s="409" t="str">
        <f>'2-ORÇAMENTO'!B830</f>
        <v>24.0</v>
      </c>
      <c r="C34" s="410" t="str">
        <f>'2-ORÇAMENTO'!E830</f>
        <v xml:space="preserve">LIMPEZA DE OBRA </v>
      </c>
      <c r="D34" s="411">
        <f>'2-ORÇAMENTO'!K832</f>
        <v>17938.849999999999</v>
      </c>
      <c r="E34" s="416">
        <f t="shared" si="0"/>
        <v>9.4249259205346249E-3</v>
      </c>
    </row>
    <row r="35" spans="2:5" ht="18.75" customHeight="1">
      <c r="B35" s="507" t="s">
        <v>12634</v>
      </c>
      <c r="C35" s="508"/>
      <c r="D35" s="413">
        <f>SUM(D11:D34)</f>
        <v>1903341.2200000002</v>
      </c>
      <c r="E35" s="415">
        <f>SUM(E11:E34)</f>
        <v>1</v>
      </c>
    </row>
    <row r="36" spans="2:5" ht="18" customHeight="1">
      <c r="B36" s="22"/>
      <c r="E36" s="25"/>
    </row>
    <row r="37" spans="2:5" ht="14.25" customHeight="1">
      <c r="B37" s="22"/>
      <c r="D37" s="23"/>
      <c r="E37" s="25"/>
    </row>
    <row r="38" spans="2:5" ht="15">
      <c r="B38" s="34"/>
      <c r="C38" s="32" t="s">
        <v>12635</v>
      </c>
      <c r="D38" s="26"/>
      <c r="E38" s="259"/>
    </row>
    <row r="39" spans="2:5" ht="15.75" thickBot="1">
      <c r="B39" s="217"/>
      <c r="C39" s="33" t="s">
        <v>12636</v>
      </c>
      <c r="D39" s="29"/>
      <c r="E39" s="260"/>
    </row>
  </sheetData>
  <mergeCells count="11">
    <mergeCell ref="B7:E7"/>
    <mergeCell ref="B2:E2"/>
    <mergeCell ref="B3:E3"/>
    <mergeCell ref="B4:E4"/>
    <mergeCell ref="B5:E5"/>
    <mergeCell ref="B6:E6"/>
    <mergeCell ref="B35:C35"/>
    <mergeCell ref="B8:E8"/>
    <mergeCell ref="B9:B10"/>
    <mergeCell ref="C9:C10"/>
    <mergeCell ref="D9:E9"/>
  </mergeCells>
  <printOptions horizontalCentered="1"/>
  <pageMargins left="0.39370078740157483" right="0.39370078740157483" top="0.19685039370078741" bottom="0.19685039370078741" header="0" footer="0"/>
  <pageSetup scale="60" orientation="portrait" horizontalDpi="4294967293" verticalDpi="300" r:id="rId1"/>
  <drawing r:id="rId2"/>
</worksheet>
</file>

<file path=xl/worksheets/sheet4.xml><?xml version="1.0" encoding="utf-8"?>
<worksheet xmlns="http://schemas.openxmlformats.org/spreadsheetml/2006/main" xmlns:r="http://schemas.openxmlformats.org/officeDocument/2006/relationships">
  <dimension ref="B1:K839"/>
  <sheetViews>
    <sheetView view="pageBreakPreview" zoomScale="70" zoomScaleSheetLayoutView="70" workbookViewId="0">
      <pane ySplit="9" topLeftCell="A222" activePane="bottomLeft" state="frozen"/>
      <selection pane="bottomLeft" activeCell="B2" sqref="B2:K839"/>
    </sheetView>
  </sheetViews>
  <sheetFormatPr defaultRowHeight="14.25"/>
  <cols>
    <col min="1" max="1" width="12.85546875" style="167" customWidth="1"/>
    <col min="2" max="2" width="10.140625" style="165" bestFit="1" customWidth="1"/>
    <col min="3" max="3" width="13.85546875" style="166" bestFit="1" customWidth="1"/>
    <col min="4" max="4" width="10.5703125" style="167" bestFit="1" customWidth="1"/>
    <col min="5" max="5" width="74.140625" style="168" customWidth="1"/>
    <col min="6" max="6" width="10.7109375" style="169" customWidth="1"/>
    <col min="7" max="7" width="12.42578125" style="170" bestFit="1" customWidth="1"/>
    <col min="8" max="8" width="15.85546875" style="171" hidden="1" customWidth="1"/>
    <col min="9" max="9" width="14.42578125" style="171" customWidth="1"/>
    <col min="10" max="10" width="21.28515625" style="172" hidden="1" customWidth="1"/>
    <col min="11" max="11" width="21" style="172" customWidth="1"/>
    <col min="12" max="58" width="9.140625" style="167"/>
    <col min="59" max="59" width="9.28515625" style="167" customWidth="1"/>
    <col min="60" max="60" width="9.140625" style="167"/>
    <col min="61" max="61" width="9.42578125" style="167" customWidth="1"/>
    <col min="62" max="16384" width="9.140625" style="167"/>
  </cols>
  <sheetData>
    <row r="1" spans="2:11" ht="37.5" customHeight="1" thickBot="1"/>
    <row r="2" spans="2:11" ht="100.5" customHeight="1" thickBot="1">
      <c r="B2" s="528"/>
      <c r="C2" s="529"/>
      <c r="D2" s="529"/>
      <c r="E2" s="529"/>
      <c r="F2" s="529"/>
      <c r="G2" s="529"/>
      <c r="H2" s="529"/>
      <c r="I2" s="529"/>
      <c r="J2" s="529"/>
      <c r="K2" s="530"/>
    </row>
    <row r="3" spans="2:11" ht="15">
      <c r="B3" s="534" t="s">
        <v>13591</v>
      </c>
      <c r="C3" s="535"/>
      <c r="D3" s="535"/>
      <c r="E3" s="535"/>
      <c r="F3" s="535"/>
      <c r="G3" s="535"/>
      <c r="H3" s="535"/>
      <c r="I3" s="535"/>
      <c r="J3" s="535"/>
      <c r="K3" s="536"/>
    </row>
    <row r="4" spans="2:11" ht="15">
      <c r="B4" s="515" t="s">
        <v>13592</v>
      </c>
      <c r="C4" s="516"/>
      <c r="D4" s="516"/>
      <c r="E4" s="516"/>
      <c r="F4" s="516"/>
      <c r="G4" s="516"/>
      <c r="H4" s="516"/>
      <c r="I4" s="516"/>
      <c r="J4" s="516"/>
      <c r="K4" s="517"/>
    </row>
    <row r="5" spans="2:11" ht="15">
      <c r="B5" s="515" t="s">
        <v>13593</v>
      </c>
      <c r="C5" s="516"/>
      <c r="D5" s="516"/>
      <c r="E5" s="516"/>
      <c r="F5" s="516"/>
      <c r="G5" s="516"/>
      <c r="H5" s="516"/>
      <c r="I5" s="516"/>
      <c r="J5" s="516"/>
      <c r="K5" s="517"/>
    </row>
    <row r="6" spans="2:11" ht="15">
      <c r="B6" s="515" t="s">
        <v>12637</v>
      </c>
      <c r="C6" s="516"/>
      <c r="D6" s="516"/>
      <c r="E6" s="516"/>
      <c r="F6" s="516"/>
      <c r="G6" s="516"/>
      <c r="H6" s="516"/>
      <c r="I6" s="516"/>
      <c r="J6" s="516"/>
      <c r="K6" s="517"/>
    </row>
    <row r="7" spans="2:11" ht="15.75" thickBot="1">
      <c r="B7" s="537" t="s">
        <v>12638</v>
      </c>
      <c r="C7" s="538"/>
      <c r="D7" s="538"/>
      <c r="E7" s="538"/>
      <c r="F7" s="538"/>
      <c r="G7" s="538"/>
      <c r="H7" s="538"/>
      <c r="I7" s="538"/>
      <c r="J7" s="538"/>
      <c r="K7" s="539"/>
    </row>
    <row r="8" spans="2:11" ht="21.75" customHeight="1" thickBot="1">
      <c r="B8" s="531" t="s">
        <v>12639</v>
      </c>
      <c r="C8" s="532"/>
      <c r="D8" s="532"/>
      <c r="E8" s="532"/>
      <c r="F8" s="532"/>
      <c r="G8" s="532"/>
      <c r="H8" s="532"/>
      <c r="I8" s="532"/>
      <c r="J8" s="532"/>
      <c r="K8" s="533"/>
    </row>
    <row r="9" spans="2:11" s="173" customFormat="1" ht="33.75" customHeight="1">
      <c r="B9" s="289" t="s">
        <v>12629</v>
      </c>
      <c r="C9" s="290" t="s">
        <v>12640</v>
      </c>
      <c r="D9" s="290" t="s">
        <v>12641</v>
      </c>
      <c r="E9" s="288" t="s">
        <v>12642</v>
      </c>
      <c r="F9" s="291" t="s">
        <v>12643</v>
      </c>
      <c r="G9" s="292" t="s">
        <v>201</v>
      </c>
      <c r="H9" s="288" t="s">
        <v>12644</v>
      </c>
      <c r="I9" s="288" t="s">
        <v>12645</v>
      </c>
      <c r="J9" s="288" t="s">
        <v>12646</v>
      </c>
      <c r="K9" s="293" t="s">
        <v>12647</v>
      </c>
    </row>
    <row r="10" spans="2:11" ht="15">
      <c r="B10" s="305" t="s">
        <v>12648</v>
      </c>
      <c r="C10" s="306"/>
      <c r="D10" s="307"/>
      <c r="E10" s="308" t="str">
        <f>QUANT!E6:J6</f>
        <v>ADIMINISTRAÇÃO LOCAL</v>
      </c>
      <c r="F10" s="309"/>
      <c r="G10" s="310"/>
      <c r="H10" s="311"/>
      <c r="I10" s="311"/>
      <c r="J10" s="312"/>
      <c r="K10" s="313"/>
    </row>
    <row r="11" spans="2:11" ht="15">
      <c r="B11" s="13" t="s">
        <v>12649</v>
      </c>
      <c r="C11" s="435">
        <f>QUANT!C8</f>
        <v>90777</v>
      </c>
      <c r="D11" s="435" t="str">
        <f>QUANT!D8</f>
        <v>SINAPI</v>
      </c>
      <c r="E11" s="436" t="str">
        <f>IFERROR(VLOOKUP($C11,'SINAPI JULHO 2018'!$1:$1048576,2,0),IFERROR(VLOOKUP($C11,'5-COMP. PROPRIA'!$B$13:$I$518,4,0),""))</f>
        <v>ENGENHEIRO CIVIL DE OBRA JUNIOR COM ENCARGOS COMPLEMENTARES</v>
      </c>
      <c r="F11" s="437" t="str">
        <f>IFERROR(VLOOKUP($C11,'SINAPI JULHO 2018'!$A:$D,3,0),IFERROR(VLOOKUP($C11,'5-COMP. PROPRIA'!$B$13:$I$518,5,0),""))</f>
        <v>H</v>
      </c>
      <c r="G11" s="438">
        <f>QUANT!K8</f>
        <v>132</v>
      </c>
      <c r="H11" s="439">
        <f>IFERROR(VLOOKUP($C11,'SINAPI JULHO 2018'!$A:$D,4,0),IFERROR(VLOOKUP($C11,'5-COMP. PROPRIA'!$B$13:$I$518,8,0),""))</f>
        <v>80.77</v>
      </c>
      <c r="I11" s="440">
        <f>H11*'4-BDI'!$E$29</f>
        <v>103.579448</v>
      </c>
      <c r="J11" s="63">
        <f>TRUNC(G11*H11,2)</f>
        <v>10661.64</v>
      </c>
      <c r="K11" s="190">
        <f>TRUNC(G11*I11,2)</f>
        <v>13672.48</v>
      </c>
    </row>
    <row r="12" spans="2:11" ht="15">
      <c r="B12" s="13" t="s">
        <v>12650</v>
      </c>
      <c r="C12" s="435">
        <f>QUANT!C12</f>
        <v>90780</v>
      </c>
      <c r="D12" s="435" t="str">
        <f>QUANT!D12</f>
        <v>SINAPI</v>
      </c>
      <c r="E12" s="436" t="str">
        <f>IFERROR(VLOOKUP($C12,'SINAPI JULHO 2018'!$1:$1048576,2,0),IFERROR(VLOOKUP($C12,'5-COMP. PROPRIA'!$B$13:$I$518,4,0),""))</f>
        <v>MESTRE DE OBRAS COM ENCARGOS COMPLEMENTARES</v>
      </c>
      <c r="F12" s="437" t="str">
        <f>IFERROR(VLOOKUP($C12,'SINAPI JULHO 2018'!$A:$D,3,0),IFERROR(VLOOKUP($C12,'5-COMP. PROPRIA'!$B$13:$I$518,5,0),""))</f>
        <v>H</v>
      </c>
      <c r="G12" s="438">
        <f>QUANT!K12</f>
        <v>1056</v>
      </c>
      <c r="H12" s="439">
        <f>IFERROR(VLOOKUP($C12,'SINAPI JULHO 2018'!$A:$D,4,0),IFERROR(VLOOKUP($C12,'5-COMP. PROPRIA'!$B$13:$I$518,8,0),""))</f>
        <v>26.65</v>
      </c>
      <c r="I12" s="440">
        <f>H12*'4-BDI'!$E$29</f>
        <v>34.175959999999996</v>
      </c>
      <c r="J12" s="63">
        <f t="shared" ref="J12:J13" si="0">TRUNC(G12*H12,2)</f>
        <v>28142.400000000001</v>
      </c>
      <c r="K12" s="190">
        <f t="shared" ref="K12:K13" si="1">TRUNC(G12*I12,2)</f>
        <v>36089.81</v>
      </c>
    </row>
    <row r="13" spans="2:11" ht="15">
      <c r="B13" s="13" t="s">
        <v>12651</v>
      </c>
      <c r="C13" s="435">
        <f>QUANT!C16</f>
        <v>88326</v>
      </c>
      <c r="D13" s="435" t="str">
        <f>QUANT!D16</f>
        <v>SINAPI</v>
      </c>
      <c r="E13" s="436" t="str">
        <f>IFERROR(VLOOKUP($C13,'SINAPI JULHO 2018'!$1:$1048576,2,0),IFERROR(VLOOKUP($C13,'5-COMP. PROPRIA'!$B$13:$I$518,4,0),""))</f>
        <v>VIGIA NOTURNO COM ENCARGOS COMPLEMENTARES</v>
      </c>
      <c r="F13" s="437" t="str">
        <f>IFERROR(VLOOKUP($C13,'SINAPI JULHO 2018'!$A:$D,3,0),IFERROR(VLOOKUP($C13,'5-COMP. PROPRIA'!$B$13:$I$518,5,0),""))</f>
        <v>H</v>
      </c>
      <c r="G13" s="438">
        <f>QUANT!K16</f>
        <v>2880</v>
      </c>
      <c r="H13" s="439">
        <f>IFERROR(VLOOKUP($C13,'SINAPI JULHO 2018'!$A:$D,4,0),IFERROR(VLOOKUP($C13,'5-COMP. PROPRIA'!$B$13:$I$518,8,0),""))</f>
        <v>15.3</v>
      </c>
      <c r="I13" s="440">
        <f>H13*'4-BDI'!$E$29</f>
        <v>19.620720000000002</v>
      </c>
      <c r="J13" s="63">
        <f t="shared" si="0"/>
        <v>44064</v>
      </c>
      <c r="K13" s="190">
        <f t="shared" si="1"/>
        <v>56507.67</v>
      </c>
    </row>
    <row r="14" spans="2:11" ht="15" customHeight="1">
      <c r="B14" s="523" t="s">
        <v>12652</v>
      </c>
      <c r="C14" s="524"/>
      <c r="D14" s="524"/>
      <c r="E14" s="524"/>
      <c r="F14" s="524"/>
      <c r="G14" s="524"/>
      <c r="H14" s="525"/>
      <c r="I14" s="294"/>
      <c r="J14" s="192">
        <f>SUM(J11:J13)</f>
        <v>82868.040000000008</v>
      </c>
      <c r="K14" s="192">
        <f>SUM(K11:K13)</f>
        <v>106269.95999999999</v>
      </c>
    </row>
    <row r="15" spans="2:11" ht="15">
      <c r="B15" s="305" t="s">
        <v>12653</v>
      </c>
      <c r="C15" s="306"/>
      <c r="D15" s="307"/>
      <c r="E15" s="308" t="str">
        <f>QUANT!E22:J22</f>
        <v>INSTALAÇÕES DE CANTEIRO E SERVIÇOS PRELIMINARES</v>
      </c>
      <c r="F15" s="309"/>
      <c r="G15" s="310"/>
      <c r="H15" s="311"/>
      <c r="I15" s="311"/>
      <c r="J15" s="312"/>
      <c r="K15" s="313"/>
    </row>
    <row r="16" spans="2:11" ht="30">
      <c r="B16" s="13" t="s">
        <v>12654</v>
      </c>
      <c r="C16" s="435" t="str">
        <f>QUANT!C24</f>
        <v>73992/1</v>
      </c>
      <c r="D16" s="435" t="str">
        <f>QUANT!D24</f>
        <v>SINAPI</v>
      </c>
      <c r="E16" s="436" t="str">
        <f>IFERROR(VLOOKUP($C16,'SINAPI JULHO 2018'!$1:$1048576,2,0),IFERROR(VLOOKUP($C16,'5-COMP. PROPRIA'!$B$13:$I$518,4,0),""))</f>
        <v>LOCACAO CONVENCIONAL DE OBRA, ATRAVÉS DE GABARITO DE TABUAS CORRIDAS PONTALETADAS A CADA 1,50M, SEM REAPROVEITAMENTO</v>
      </c>
      <c r="F16" s="437" t="str">
        <f>IFERROR(VLOOKUP($C16,'SINAPI JULHO 2018'!$A:$D,3,0),IFERROR(VLOOKUP($C16,'5-COMP. PROPRIA'!$B$13:$I$518,5,0),""))</f>
        <v>M2</v>
      </c>
      <c r="G16" s="438">
        <f>QUANT!K24</f>
        <v>995</v>
      </c>
      <c r="H16" s="439">
        <f>IFERROR(VLOOKUP($C16,'SINAPI JULHO 2018'!$A:$D,4,0),IFERROR(VLOOKUP($C16,'5-COMP. PROPRIA'!$B$13:$I$518,8,0),""))</f>
        <v>7.48</v>
      </c>
      <c r="I16" s="440">
        <f>H16*'4-BDI'!$E$29</f>
        <v>9.592352</v>
      </c>
      <c r="J16" s="63">
        <f t="shared" ref="J16:J25" si="2">TRUNC(G16*H16,2)</f>
        <v>7442.6</v>
      </c>
      <c r="K16" s="190">
        <f t="shared" ref="K16:K25" si="3">TRUNC(G16*I16,2)</f>
        <v>9544.39</v>
      </c>
    </row>
    <row r="17" spans="2:11" ht="45">
      <c r="B17" s="13" t="s">
        <v>12655</v>
      </c>
      <c r="C17" s="435" t="str">
        <f>QUANT!C28</f>
        <v>73847/1</v>
      </c>
      <c r="D17" s="435" t="str">
        <f>QUANT!D28</f>
        <v>SINAPI</v>
      </c>
      <c r="E17" s="436" t="str">
        <f>IFERROR(VLOOKUP($C17,'SINAPI JULHO 2018'!$1:$1048576,2,0),IFERROR(VLOOKUP($C17,'5-COMP. PROPRIA'!$B$13:$I$518,4,0),""))</f>
        <v>ALUGUEL CONTAINER/ESCRIT INCL INST ELET LARG=2,20 COMP=6,20M          ALT=2,50M CHAPA ACO C/NERV TRAPEZ FORRO C/ISOL TERMO/ACUSTICO         CHASSIS REFORC PISO COMPENS NAVAL EXC TRANSP/CARGA/DESCARGA</v>
      </c>
      <c r="F17" s="437" t="str">
        <f>IFERROR(VLOOKUP($C17,'SINAPI JULHO 2018'!$A:$D,3,0),IFERROR(VLOOKUP($C17,'5-COMP. PROPRIA'!$B$13:$I$518,5,0),""))</f>
        <v>MES</v>
      </c>
      <c r="G17" s="438">
        <f>QUANT!K28</f>
        <v>4</v>
      </c>
      <c r="H17" s="439">
        <f>IFERROR(VLOOKUP($C17,'SINAPI JULHO 2018'!$A:$D,4,0),IFERROR(VLOOKUP($C17,'5-COMP. PROPRIA'!$B$13:$I$518,8,0),""))</f>
        <v>394.53</v>
      </c>
      <c r="I17" s="440">
        <f>H17*'4-BDI'!$E$29</f>
        <v>505.94527199999993</v>
      </c>
      <c r="J17" s="63">
        <f t="shared" si="2"/>
        <v>1578.12</v>
      </c>
      <c r="K17" s="190">
        <f t="shared" si="3"/>
        <v>2023.78</v>
      </c>
    </row>
    <row r="18" spans="2:11" ht="30">
      <c r="B18" s="13" t="s">
        <v>12656</v>
      </c>
      <c r="C18" s="435" t="str">
        <f>QUANT!C32</f>
        <v>CP-IP-01</v>
      </c>
      <c r="D18" s="435" t="str">
        <f>QUANT!D32</f>
        <v>PRÓRPIA</v>
      </c>
      <c r="E18" s="436" t="str">
        <f>IFERROR(VLOOKUP($C18,'SINAPI JULHO 2018'!$1:$1048576,2,0),IFERROR(VLOOKUP($C18,'5-COMP. PROPRIA'!$B$13:$I$518,4,0),""))</f>
        <v>CONTAINER 2,30 X 4,30 M, ALT. 2,50 M, P/ SANITARIO, C/ 5 BACIAS, 1 LAVATORIO E 4 MICTORIOS (LOCACAO) - SANITARIO</v>
      </c>
      <c r="F18" s="437" t="str">
        <f>IFERROR(VLOOKUP($C18,'SINAPI JULHO 2018'!$A:$D,3,0),IFERROR(VLOOKUP($C18,'5-COMP. PROPRIA'!$B$13:$I$518,5,0),""))</f>
        <v xml:space="preserve">MES   </v>
      </c>
      <c r="G18" s="438">
        <f>QUANT!K32</f>
        <v>4</v>
      </c>
      <c r="H18" s="439">
        <f>IFERROR(VLOOKUP($C18,'SINAPI JULHO 2018'!$A:$D,4,0),IFERROR(VLOOKUP($C18,'5-COMP. PROPRIA'!$B$13:$I$518,8,0),""))</f>
        <v>746.68000000000006</v>
      </c>
      <c r="I18" s="440">
        <f>H18*'4-BDI'!$E$29</f>
        <v>957.54243200000008</v>
      </c>
      <c r="J18" s="63">
        <f t="shared" si="2"/>
        <v>2986.72</v>
      </c>
      <c r="K18" s="190">
        <f t="shared" si="3"/>
        <v>3830.16</v>
      </c>
    </row>
    <row r="19" spans="2:11" ht="30">
      <c r="B19" s="13" t="s">
        <v>12657</v>
      </c>
      <c r="C19" s="435">
        <f>QUANT!C36</f>
        <v>93210</v>
      </c>
      <c r="D19" s="435" t="str">
        <f>QUANT!D36</f>
        <v>SINAPI</v>
      </c>
      <c r="E19" s="436" t="str">
        <f>IFERROR(VLOOKUP($C19,'SINAPI JULHO 2018'!$1:$1048576,2,0),IFERROR(VLOOKUP($C19,'5-COMP. PROPRIA'!$B$13:$I$518,4,0),""))</f>
        <v>EXECUÇÃO DE REFEITÓRIO EM CANTEIRO DE OBRA EM CHAPA DE MADEIRA COMPENSADA, NÃO INCLUSO MOBILIÁRIO E EQUIPAMENTOS. AF_02/2016</v>
      </c>
      <c r="F19" s="437" t="str">
        <f>IFERROR(VLOOKUP($C19,'SINAPI JULHO 2018'!$A:$D,3,0),IFERROR(VLOOKUP($C19,'5-COMP. PROPRIA'!$B$13:$I$518,5,0),""))</f>
        <v>M2</v>
      </c>
      <c r="G19" s="438">
        <f>QUANT!K36</f>
        <v>18</v>
      </c>
      <c r="H19" s="439">
        <f>IFERROR(VLOOKUP($C19,'SINAPI JULHO 2018'!$A:$D,4,0),IFERROR(VLOOKUP($C19,'5-COMP. PROPRIA'!$B$13:$I$518,8,0),""))</f>
        <v>334.16</v>
      </c>
      <c r="I19" s="440">
        <f>H19*'4-BDI'!$E$29</f>
        <v>428.52678400000002</v>
      </c>
      <c r="J19" s="63">
        <f t="shared" si="2"/>
        <v>6014.88</v>
      </c>
      <c r="K19" s="190">
        <f t="shared" si="3"/>
        <v>7713.48</v>
      </c>
    </row>
    <row r="20" spans="2:11" ht="30">
      <c r="B20" s="13" t="s">
        <v>12658</v>
      </c>
      <c r="C20" s="435" t="str">
        <f>QUANT!C40</f>
        <v>74220/1</v>
      </c>
      <c r="D20" s="435" t="str">
        <f>QUANT!D40</f>
        <v>SINAPI</v>
      </c>
      <c r="E20" s="436" t="str">
        <f>IFERROR(VLOOKUP($C20,'SINAPI JULHO 2018'!$1:$1048576,2,0),IFERROR(VLOOKUP($C20,'5-COMP. PROPRIA'!$B$13:$I$518,4,0),""))</f>
        <v>TAPUME DE CHAPA DE MADEIRA COMPENSADA, E= 6MM, COM PINTURA A CAL E REAPROVEITAMENTO DE 2X</v>
      </c>
      <c r="F20" s="437" t="str">
        <f>IFERROR(VLOOKUP($C20,'SINAPI JULHO 2018'!$A:$D,3,0),IFERROR(VLOOKUP($C20,'5-COMP. PROPRIA'!$B$13:$I$518,5,0),""))</f>
        <v>M2</v>
      </c>
      <c r="G20" s="438">
        <f>QUANT!K40</f>
        <v>651</v>
      </c>
      <c r="H20" s="439">
        <f>IFERROR(VLOOKUP($C20,'SINAPI JULHO 2018'!$A:$D,4,0),IFERROR(VLOOKUP($C20,'5-COMP. PROPRIA'!$B$13:$I$518,8,0),""))</f>
        <v>47.11</v>
      </c>
      <c r="I20" s="440">
        <f>H20*'4-BDI'!$E$29</f>
        <v>60.413863999999997</v>
      </c>
      <c r="J20" s="63">
        <f t="shared" si="2"/>
        <v>30668.61</v>
      </c>
      <c r="K20" s="190">
        <f t="shared" si="3"/>
        <v>39329.42</v>
      </c>
    </row>
    <row r="21" spans="2:11" ht="30">
      <c r="B21" s="13" t="s">
        <v>12659</v>
      </c>
      <c r="C21" s="435">
        <f>QUANT!C44</f>
        <v>41598</v>
      </c>
      <c r="D21" s="435" t="str">
        <f>QUANT!D44</f>
        <v>SINAPI</v>
      </c>
      <c r="E21" s="436" t="str">
        <f>IFERROR(VLOOKUP($C21,'SINAPI JULHO 2018'!$1:$1048576,2,0),IFERROR(VLOOKUP($C21,'5-COMP. PROPRIA'!$B$13:$I$518,4,0),""))</f>
        <v>ENTRADA PROVISORIA DE ENERGIA ELETRICA AEREA TRIFASICA 40A EM POSTE MADEIRA</v>
      </c>
      <c r="F21" s="437" t="str">
        <f>IFERROR(VLOOKUP($C21,'SINAPI JULHO 2018'!$A:$D,3,0),IFERROR(VLOOKUP($C21,'5-COMP. PROPRIA'!$B$13:$I$518,5,0),""))</f>
        <v>UN</v>
      </c>
      <c r="G21" s="438">
        <f>QUANT!K44</f>
        <v>1</v>
      </c>
      <c r="H21" s="439">
        <f>IFERROR(VLOOKUP($C21,'SINAPI JULHO 2018'!$A:$D,4,0),IFERROR(VLOOKUP($C21,'5-COMP. PROPRIA'!$B$13:$I$518,8,0),""))</f>
        <v>1328.41</v>
      </c>
      <c r="I21" s="440">
        <f>H21*'4-BDI'!$E$29</f>
        <v>1703.5529840000002</v>
      </c>
      <c r="J21" s="63">
        <f t="shared" si="2"/>
        <v>1328.41</v>
      </c>
      <c r="K21" s="190">
        <f t="shared" si="3"/>
        <v>1703.55</v>
      </c>
    </row>
    <row r="22" spans="2:11" ht="15">
      <c r="B22" s="13" t="s">
        <v>12660</v>
      </c>
      <c r="C22" s="435" t="str">
        <f>QUANT!C49</f>
        <v>CP-IP-02</v>
      </c>
      <c r="D22" s="435" t="str">
        <f>QUANT!D49</f>
        <v>PRÓRPIA</v>
      </c>
      <c r="E22" s="436" t="str">
        <f>IFERROR(VLOOKUP($C22,'SINAPI JULHO 2018'!$1:$1048576,2,0),IFERROR(VLOOKUP($C22,'5-COMP. PROPRIA'!$B$13:$I$518,4,0),""))</f>
        <v>INSTALAÇÃO PROVISÓRIA DE ÁGUA E SANITÁRIOS</v>
      </c>
      <c r="F22" s="437" t="str">
        <f>IFERROR(VLOOKUP($C22,'SINAPI JULHO 2018'!$A:$D,3,0),IFERROR(VLOOKUP($C22,'5-COMP. PROPRIA'!$B$13:$I$518,5,0),""))</f>
        <v>UN</v>
      </c>
      <c r="G22" s="438">
        <f>QUANT!K49</f>
        <v>1</v>
      </c>
      <c r="H22" s="439">
        <f>IFERROR(VLOOKUP($C22,'SINAPI JULHO 2018'!$A:$D,4,0),IFERROR(VLOOKUP($C22,'5-COMP. PROPRIA'!$B$13:$I$518,8,0),""))</f>
        <v>5250.47</v>
      </c>
      <c r="I22" s="440">
        <f>H22*'4-BDI'!$E$29</f>
        <v>6733.2027280000002</v>
      </c>
      <c r="J22" s="63">
        <f t="shared" si="2"/>
        <v>5250.47</v>
      </c>
      <c r="K22" s="190">
        <f t="shared" si="3"/>
        <v>6733.2</v>
      </c>
    </row>
    <row r="23" spans="2:11" ht="15">
      <c r="B23" s="13" t="s">
        <v>12661</v>
      </c>
      <c r="C23" s="435" t="str">
        <f>QUANT!C54</f>
        <v>74209/1</v>
      </c>
      <c r="D23" s="435" t="str">
        <f>QUANT!D54</f>
        <v>SINAPI</v>
      </c>
      <c r="E23" s="436" t="str">
        <f>IFERROR(VLOOKUP($C23,'SINAPI JULHO 2018'!$1:$1048576,2,0),IFERROR(VLOOKUP($C23,'5-COMP. PROPRIA'!$B$13:$I$518,4,0),""))</f>
        <v>PLACA DE OBRA EM CHAPA DE ACO GALVANIZADO</v>
      </c>
      <c r="F23" s="437" t="str">
        <f>IFERROR(VLOOKUP($C23,'SINAPI JULHO 2018'!$A:$D,3,0),IFERROR(VLOOKUP($C23,'5-COMP. PROPRIA'!$B$13:$I$518,5,0),""))</f>
        <v>M2</v>
      </c>
      <c r="G23" s="438">
        <f>QUANT!K54</f>
        <v>6</v>
      </c>
      <c r="H23" s="439">
        <f>IFERROR(VLOOKUP($C23,'SINAPI JULHO 2018'!$A:$D,4,0),IFERROR(VLOOKUP($C23,'5-COMP. PROPRIA'!$B$13:$I$518,8,0),""))</f>
        <v>569.71</v>
      </c>
      <c r="I23" s="440">
        <f>H23*'4-BDI'!$E$29</f>
        <v>730.59610400000008</v>
      </c>
      <c r="J23" s="63">
        <f t="shared" si="2"/>
        <v>3418.26</v>
      </c>
      <c r="K23" s="190">
        <f t="shared" si="3"/>
        <v>4383.57</v>
      </c>
    </row>
    <row r="24" spans="2:11" ht="30">
      <c r="B24" s="13" t="s">
        <v>12662</v>
      </c>
      <c r="C24" s="435" t="str">
        <f>QUANT!C58</f>
        <v>73775/2</v>
      </c>
      <c r="D24" s="435" t="str">
        <f>QUANT!D58</f>
        <v>SINAPI</v>
      </c>
      <c r="E24" s="436" t="str">
        <f>IFERROR(VLOOKUP($C24,'SINAPI JULHO 2018'!$1:$1048576,2,0),IFERROR(VLOOKUP($C24,'5-COMP. PROPRIA'!$B$13:$I$518,4,0),""))</f>
        <v>EXTINTOR INCENDIO AGUA-PRESSURIZADA 10L INCL SUPORTE PAREDE CARGA     COMPLETA FORNECIMENTO E COLOCACAO</v>
      </c>
      <c r="F24" s="437" t="str">
        <f>IFERROR(VLOOKUP($C24,'SINAPI JULHO 2018'!$A:$D,3,0),IFERROR(VLOOKUP($C24,'5-COMP. PROPRIA'!$B$13:$I$518,5,0),""))</f>
        <v>UN</v>
      </c>
      <c r="G24" s="438">
        <f>QUANT!K58</f>
        <v>1</v>
      </c>
      <c r="H24" s="439">
        <f>IFERROR(VLOOKUP($C24,'SINAPI JULHO 2018'!$A:$D,4,0),IFERROR(VLOOKUP($C24,'5-COMP. PROPRIA'!$B$13:$I$518,8,0),""))</f>
        <v>152.33000000000001</v>
      </c>
      <c r="I24" s="440">
        <f>H24*'4-BDI'!$E$29</f>
        <v>195.347992</v>
      </c>
      <c r="J24" s="63">
        <f t="shared" si="2"/>
        <v>152.33000000000001</v>
      </c>
      <c r="K24" s="190">
        <f t="shared" si="3"/>
        <v>195.34</v>
      </c>
    </row>
    <row r="25" spans="2:11" ht="15">
      <c r="B25" s="13" t="s">
        <v>12663</v>
      </c>
      <c r="C25" s="435" t="str">
        <f>QUANT!C63</f>
        <v>CP-TX-01</v>
      </c>
      <c r="D25" s="435" t="str">
        <f>QUANT!D63</f>
        <v>PRÓRPIA</v>
      </c>
      <c r="E25" s="436" t="str">
        <f>IFERROR(VLOOKUP($C25,'SINAPI JULHO 2018'!$1:$1048576,2,0),IFERROR(VLOOKUP($C25,'5-COMP. PROPRIA'!$B$13:$I$518,4,0),""))</f>
        <v>AQUISIÇÃO E INSTALAÇÃO DE BEBEDOURO DE CAPACIDADE DE 100L</v>
      </c>
      <c r="F25" s="437" t="str">
        <f>IFERROR(VLOOKUP($C25,'SINAPI JULHO 2018'!$A:$D,3,0),IFERROR(VLOOKUP($C25,'5-COMP. PROPRIA'!$B$13:$I$518,5,0),""))</f>
        <v>UNI</v>
      </c>
      <c r="G25" s="438">
        <f>QUANT!K63</f>
        <v>1</v>
      </c>
      <c r="H25" s="439">
        <f>IFERROR(VLOOKUP($C25,'SINAPI JULHO 2018'!$A:$D,4,0),IFERROR(VLOOKUP($C25,'5-COMP. PROPRIA'!$B$13:$I$518,8,0),""))</f>
        <v>1518.02</v>
      </c>
      <c r="I25" s="440">
        <f>H25*'4-BDI'!$E$29</f>
        <v>1946.708848</v>
      </c>
      <c r="J25" s="63">
        <f t="shared" si="2"/>
        <v>1518.02</v>
      </c>
      <c r="K25" s="190">
        <f t="shared" si="3"/>
        <v>1946.7</v>
      </c>
    </row>
    <row r="26" spans="2:11" ht="15" customHeight="1">
      <c r="B26" s="526" t="s">
        <v>12652</v>
      </c>
      <c r="C26" s="527"/>
      <c r="D26" s="527"/>
      <c r="E26" s="527"/>
      <c r="F26" s="527"/>
      <c r="G26" s="527"/>
      <c r="H26" s="527"/>
      <c r="I26" s="294"/>
      <c r="J26" s="192">
        <f>SUM(J16:J25)</f>
        <v>60358.420000000006</v>
      </c>
      <c r="K26" s="192">
        <f>SUM(K16:K25)</f>
        <v>77403.589999999982</v>
      </c>
    </row>
    <row r="27" spans="2:11" ht="15">
      <c r="B27" s="305" t="s">
        <v>12664</v>
      </c>
      <c r="C27" s="306"/>
      <c r="D27" s="307"/>
      <c r="E27" s="308" t="str">
        <f>QUANT!E68:J68</f>
        <v>DEMOLIÇÕES E RETIRADAS</v>
      </c>
      <c r="F27" s="309"/>
      <c r="G27" s="310"/>
      <c r="H27" s="311"/>
      <c r="I27" s="311"/>
      <c r="J27" s="312"/>
      <c r="K27" s="313"/>
    </row>
    <row r="28" spans="2:11" ht="45">
      <c r="B28" s="14" t="s">
        <v>12665</v>
      </c>
      <c r="C28" s="435">
        <f>QUANT!C70</f>
        <v>5928</v>
      </c>
      <c r="D28" s="435" t="str">
        <f>QUANT!D70</f>
        <v>SINAPI</v>
      </c>
      <c r="E28" s="436" t="str">
        <f>IFERROR(VLOOKUP($C28,'SINAPI JULHO 2018'!$1:$1048576,2,0),IFERROR(VLOOKUP($C28,'5-COMP. PROPRIA'!$B$13:$I$518,4,0),""))</f>
        <v>GUINDAUTO HIDRÁULICO, CAPACIDADE MÁXIMA DE CARGA 6200 KG, MOMENTO MÁXIMO DE CARGA 11,7 TM, ALCANCE MÁXIMO HORIZONTAL 9,70 M, INCLUSIVE CAMINHÃO TOCO PBT 16.000 KG, POTÊNCIA DE 189 CV - CHP DIURNO. AF_06/2014</v>
      </c>
      <c r="F28" s="437" t="str">
        <f>IFERROR(VLOOKUP($C28,'SINAPI JULHO 2018'!$A:$D,3,0),IFERROR(VLOOKUP($C28,'5-COMP. PROPRIA'!$B$13:$I$518,5,0),""))</f>
        <v>CHP</v>
      </c>
      <c r="G28" s="438">
        <f>QUANT!K70</f>
        <v>20</v>
      </c>
      <c r="H28" s="439">
        <f>IFERROR(VLOOKUP($C28,'SINAPI JULHO 2018'!$A:$D,4,0),IFERROR(VLOOKUP($C28,'5-COMP. PROPRIA'!$B$13:$I$518,8,0),""))</f>
        <v>137.74</v>
      </c>
      <c r="I28" s="440">
        <f>H28*'4-BDI'!$E$29</f>
        <v>176.637776</v>
      </c>
      <c r="J28" s="63">
        <f t="shared" ref="J28" si="4">TRUNC(G28*H28,2)</f>
        <v>2754.8</v>
      </c>
      <c r="K28" s="190">
        <f t="shared" ref="K28" si="5">TRUNC(G28*I28,2)</f>
        <v>3532.75</v>
      </c>
    </row>
    <row r="29" spans="2:11" ht="45">
      <c r="B29" s="14" t="s">
        <v>12666</v>
      </c>
      <c r="C29" s="435">
        <f>QUANT!C74</f>
        <v>5930</v>
      </c>
      <c r="D29" s="435" t="str">
        <f>QUANT!D74</f>
        <v>SINAPI</v>
      </c>
      <c r="E29" s="436" t="str">
        <f>IFERROR(VLOOKUP($C29,'SINAPI JULHO 2018'!$1:$1048576,2,0),IFERROR(VLOOKUP($C29,'5-COMP. PROPRIA'!$B$13:$I$518,4,0),""))</f>
        <v>GUINDAUTO HIDRÁULICO, CAPACIDADE MÁXIMA DE CARGA 6200 KG, MOMENTO MÁXIMO DE CARGA 11,7 TM, ALCANCE MÁXIMO HORIZONTAL 9,70 M, INCLUSIVE CAMINHÃO TOCO PBT 16.000 KG, POTÊNCIA DE 189 CV - CHI DIURNO. AF_06/2014</v>
      </c>
      <c r="F29" s="437" t="str">
        <f>IFERROR(VLOOKUP($C29,'SINAPI JULHO 2018'!$A:$D,3,0),IFERROR(VLOOKUP($C29,'5-COMP. PROPRIA'!$B$13:$I$518,5,0),""))</f>
        <v>CHI</v>
      </c>
      <c r="G29" s="438">
        <f>QUANT!K74</f>
        <v>16</v>
      </c>
      <c r="H29" s="439">
        <f>IFERROR(VLOOKUP($C29,'SINAPI JULHO 2018'!$A:$D,4,0),IFERROR(VLOOKUP($C29,'5-COMP. PROPRIA'!$B$13:$I$518,8,0),""))</f>
        <v>28.67</v>
      </c>
      <c r="I29" s="440">
        <f>H29*'4-BDI'!$E$29</f>
        <v>36.766407999999998</v>
      </c>
      <c r="J29" s="63">
        <f t="shared" ref="J29" si="6">TRUNC(G29*H29,2)</f>
        <v>458.72</v>
      </c>
      <c r="K29" s="190">
        <f t="shared" ref="K29" si="7">TRUNC(G29*I29,2)</f>
        <v>588.26</v>
      </c>
    </row>
    <row r="30" spans="2:11" ht="30">
      <c r="B30" s="14" t="s">
        <v>12667</v>
      </c>
      <c r="C30" s="282">
        <f>QUANT!C78</f>
        <v>97661</v>
      </c>
      <c r="D30" s="282" t="str">
        <f>QUANT!D78</f>
        <v>SINAPI</v>
      </c>
      <c r="E30" s="283" t="str">
        <f>IFERROR(VLOOKUP($C30,'SINAPI JULHO 2018'!$1:$1048576,2,0),IFERROR(VLOOKUP($C30,'5-COMP. PROPRIA'!$B$13:$I$518,4,0),""))</f>
        <v>REMOÇÃO DE CABOS ELÉTRICOS, DE FORMA MANUAL, SEM REAPROVEITAMENTO. AF_12/2017</v>
      </c>
      <c r="F30" s="284" t="str">
        <f>IFERROR(VLOOKUP($C30,'SINAPI JULHO 2018'!$A:$D,3,0),IFERROR(VLOOKUP($C30,'5-COMP. PROPRIA'!$B$13:$I$518,5,0),""))</f>
        <v>M</v>
      </c>
      <c r="G30" s="285">
        <f>QUANT!K78</f>
        <v>7500</v>
      </c>
      <c r="H30" s="286">
        <f>IFERROR(VLOOKUP($C30,'SINAPI JULHO 2018'!$A:$D,4,0),IFERROR(VLOOKUP($C30,'5-COMP. PROPRIA'!$B$13:$I$518,8,0),""))</f>
        <v>0.43</v>
      </c>
      <c r="I30" s="287">
        <f>H30*'4-BDI'!$E$29</f>
        <v>0.55143200000000003</v>
      </c>
      <c r="J30" s="63">
        <f t="shared" ref="J30:J35" si="8">TRUNC(G30*H30,2)</f>
        <v>3225</v>
      </c>
      <c r="K30" s="190">
        <f t="shared" ref="K30:K35" si="9">TRUNC(G30*I30,2)</f>
        <v>4135.74</v>
      </c>
    </row>
    <row r="31" spans="2:11" ht="30">
      <c r="B31" s="14" t="s">
        <v>12668</v>
      </c>
      <c r="C31" s="282">
        <f>QUANT!C80</f>
        <v>97662</v>
      </c>
      <c r="D31" s="282" t="str">
        <f>QUANT!D80</f>
        <v>SINAPI</v>
      </c>
      <c r="E31" s="283" t="str">
        <f>IFERROR(VLOOKUP($C31,'SINAPI JULHO 2018'!$1:$1048576,2,0),IFERROR(VLOOKUP($C31,'5-COMP. PROPRIA'!$B$13:$I$518,4,0),""))</f>
        <v>REMOÇÃO DE TUBULAÇÕES (TUBOS E CONEXÕES) DE ÁGUA FRIA, DE FORMA MANUAL, SEM REAPROVEITAMENTO. AF_12/2017</v>
      </c>
      <c r="F31" s="284" t="str">
        <f>IFERROR(VLOOKUP($C31,'SINAPI JULHO 2018'!$A:$D,3,0),IFERROR(VLOOKUP($C31,'5-COMP. PROPRIA'!$B$13:$I$518,5,0),""))</f>
        <v>M</v>
      </c>
      <c r="G31" s="285">
        <f>QUANT!K80</f>
        <v>1800</v>
      </c>
      <c r="H31" s="286">
        <f>IFERROR(VLOOKUP($C31,'SINAPI JULHO 2018'!$A:$D,4,0),IFERROR(VLOOKUP($C31,'5-COMP. PROPRIA'!$B$13:$I$518,8,0),""))</f>
        <v>0.32</v>
      </c>
      <c r="I31" s="287">
        <f>H31*'4-BDI'!$E$29</f>
        <v>0.41036800000000001</v>
      </c>
      <c r="J31" s="63">
        <f t="shared" si="8"/>
        <v>576</v>
      </c>
      <c r="K31" s="190">
        <f t="shared" si="9"/>
        <v>738.66</v>
      </c>
    </row>
    <row r="32" spans="2:11" ht="15">
      <c r="B32" s="14" t="s">
        <v>12669</v>
      </c>
      <c r="C32" s="435" t="str">
        <f>QUANT!C82</f>
        <v>CP-DEM-01</v>
      </c>
      <c r="D32" s="435" t="str">
        <f>QUANT!D82</f>
        <v>PRÓRPIA</v>
      </c>
      <c r="E32" s="436" t="str">
        <f>IFERROR(VLOOKUP($C32,'SINAPI JULHO 2018'!$1:$1048576,2,0),IFERROR(VLOOKUP($C32,'5-COMP. PROPRIA'!$B$13:$I$518,4,0),""))</f>
        <v>DEMOLIÇÃO DE CONCRETO SIMPLES</v>
      </c>
      <c r="F32" s="437" t="str">
        <f>IFERROR(VLOOKUP($C32,'SINAPI JULHO 2018'!$A:$D,3,0),IFERROR(VLOOKUP($C32,'5-COMP. PROPRIA'!$B$13:$I$518,5,0),""))</f>
        <v>M3</v>
      </c>
      <c r="G32" s="438">
        <f>QUANT!K82</f>
        <v>69.099999999999994</v>
      </c>
      <c r="H32" s="439">
        <f>IFERROR(VLOOKUP($C32,'SINAPI JULHO 2018'!$A:$D,4,0),IFERROR(VLOOKUP($C32,'5-COMP. PROPRIA'!$B$13:$I$518,8,0),""))</f>
        <v>165.98</v>
      </c>
      <c r="I32" s="440">
        <f>H32*'4-BDI'!$E$29</f>
        <v>212.85275199999998</v>
      </c>
      <c r="J32" s="63">
        <f t="shared" si="8"/>
        <v>11469.21</v>
      </c>
      <c r="K32" s="190">
        <f t="shared" si="9"/>
        <v>14708.12</v>
      </c>
    </row>
    <row r="33" spans="2:11" ht="30">
      <c r="B33" s="14" t="s">
        <v>12670</v>
      </c>
      <c r="C33" s="435">
        <f>QUANT!C86</f>
        <v>97622</v>
      </c>
      <c r="D33" s="435" t="str">
        <f>QUANT!D86</f>
        <v>SINAPI</v>
      </c>
      <c r="E33" s="436" t="str">
        <f>IFERROR(VLOOKUP($C33,'SINAPI JULHO 2018'!$1:$1048576,2,0),IFERROR(VLOOKUP($C33,'5-COMP. PROPRIA'!$B$13:$I$518,4,0),""))</f>
        <v>DEMOLIÇÃO DE ALVENARIA DE BLOCO FURADO, DE FORMA MANUAL, SEM REAPROVEITAMENTO. AF_12/2017</v>
      </c>
      <c r="F33" s="437" t="str">
        <f>IFERROR(VLOOKUP($C33,'SINAPI JULHO 2018'!$A:$D,3,0),IFERROR(VLOOKUP($C33,'5-COMP. PROPRIA'!$B$13:$I$518,5,0),""))</f>
        <v>M3</v>
      </c>
      <c r="G33" s="438">
        <f>QUANT!M86</f>
        <v>21.125999999999994</v>
      </c>
      <c r="H33" s="439">
        <f>IFERROR(VLOOKUP($C33,'SINAPI JULHO 2018'!$A:$D,4,0),IFERROR(VLOOKUP($C33,'5-COMP. PROPRIA'!$B$13:$I$518,8,0),""))</f>
        <v>37.22</v>
      </c>
      <c r="I33" s="440">
        <f>H33*'4-BDI'!$E$29</f>
        <v>47.730927999999999</v>
      </c>
      <c r="J33" s="63">
        <f t="shared" si="8"/>
        <v>786.3</v>
      </c>
      <c r="K33" s="190">
        <f t="shared" si="9"/>
        <v>1008.36</v>
      </c>
    </row>
    <row r="34" spans="2:11" ht="15">
      <c r="B34" s="14" t="s">
        <v>12671</v>
      </c>
      <c r="C34" s="435">
        <f>QUANT!C90</f>
        <v>72897</v>
      </c>
      <c r="D34" s="435" t="str">
        <f>QUANT!D90</f>
        <v>SINAPI</v>
      </c>
      <c r="E34" s="436" t="str">
        <f>IFERROR(VLOOKUP($C34,'SINAPI JULHO 2018'!$1:$1048576,2,0),IFERROR(VLOOKUP($C34,'5-COMP. PROPRIA'!$B$13:$I$518,4,0),""))</f>
        <v>CARGA MANUAL DE ENTULHO EM CAMINHAO BASCULANTE 6 M3</v>
      </c>
      <c r="F34" s="437" t="str">
        <f>IFERROR(VLOOKUP($C34,'SINAPI JULHO 2018'!$A:$D,3,0),IFERROR(VLOOKUP($C34,'5-COMP. PROPRIA'!$B$13:$I$518,5,0),""))</f>
        <v>M3</v>
      </c>
      <c r="G34" s="438">
        <f>QUANT!K90</f>
        <v>180.45199999999997</v>
      </c>
      <c r="H34" s="439">
        <f>IFERROR(VLOOKUP($C34,'SINAPI JULHO 2018'!$A:$D,4,0),IFERROR(VLOOKUP($C34,'5-COMP. PROPRIA'!$B$13:$I$518,8,0),""))</f>
        <v>17.34</v>
      </c>
      <c r="I34" s="440">
        <f>H34*'4-BDI'!$E$29</f>
        <v>22.236816000000001</v>
      </c>
      <c r="J34" s="63">
        <f t="shared" si="8"/>
        <v>3129.03</v>
      </c>
      <c r="K34" s="190">
        <f t="shared" si="9"/>
        <v>4012.67</v>
      </c>
    </row>
    <row r="35" spans="2:11" ht="30">
      <c r="B35" s="14" t="s">
        <v>12672</v>
      </c>
      <c r="C35" s="435">
        <f>QUANT!C94</f>
        <v>97914</v>
      </c>
      <c r="D35" s="435" t="str">
        <f>QUANT!D94</f>
        <v>SINAPI</v>
      </c>
      <c r="E35" s="436" t="str">
        <f>IFERROR(VLOOKUP($C35,'SINAPI JULHO 2018'!$1:$1048576,2,0),IFERROR(VLOOKUP($C35,'5-COMP. PROPRIA'!$B$13:$I$518,4,0),""))</f>
        <v>TRANSPORTE COM CAMINHÃO BASCULANTE DE 6 M3, EM VIA URBANA PAVIMENTADA, DMT ATÉ 30 KM (UNIDADE: M3XKM). AF_01/2018</v>
      </c>
      <c r="F35" s="437" t="str">
        <f>IFERROR(VLOOKUP($C35,'SINAPI JULHO 2018'!$A:$D,3,0),IFERROR(VLOOKUP($C35,'5-COMP. PROPRIA'!$B$13:$I$518,5,0),""))</f>
        <v>M3XKM</v>
      </c>
      <c r="G35" s="438">
        <f>QUANT!K94</f>
        <v>1353.3899999999999</v>
      </c>
      <c r="H35" s="439">
        <f>IFERROR(VLOOKUP($C35,'SINAPI JULHO 2018'!$A:$D,4,0),IFERROR(VLOOKUP($C35,'5-COMP. PROPRIA'!$B$13:$I$518,8,0),""))</f>
        <v>1.52</v>
      </c>
      <c r="I35" s="440">
        <f>H35*'4-BDI'!$E$29</f>
        <v>1.9492480000000001</v>
      </c>
      <c r="J35" s="63">
        <f t="shared" si="8"/>
        <v>2057.15</v>
      </c>
      <c r="K35" s="190">
        <f t="shared" si="9"/>
        <v>2638.09</v>
      </c>
    </row>
    <row r="36" spans="2:11" ht="15">
      <c r="B36" s="526" t="s">
        <v>12652</v>
      </c>
      <c r="C36" s="527"/>
      <c r="D36" s="527"/>
      <c r="E36" s="527"/>
      <c r="F36" s="527"/>
      <c r="G36" s="527"/>
      <c r="H36" s="527"/>
      <c r="I36" s="294"/>
      <c r="J36" s="192">
        <f>SUM(J28:J35)</f>
        <v>24456.21</v>
      </c>
      <c r="K36" s="192">
        <f>SUM(K28:K35)</f>
        <v>31362.649999999998</v>
      </c>
    </row>
    <row r="37" spans="2:11" ht="15" customHeight="1">
      <c r="B37" s="305" t="s">
        <v>12673</v>
      </c>
      <c r="C37" s="306"/>
      <c r="D37" s="307"/>
      <c r="E37" s="308" t="str">
        <f>QUANT!E98:J98</f>
        <v xml:space="preserve">FUNDAÇÕES </v>
      </c>
      <c r="F37" s="309"/>
      <c r="G37" s="310"/>
      <c r="H37" s="311"/>
      <c r="I37" s="311"/>
      <c r="J37" s="312"/>
      <c r="K37" s="313"/>
    </row>
    <row r="38" spans="2:11" ht="15" customHeight="1">
      <c r="B38" s="362" t="s">
        <v>12674</v>
      </c>
      <c r="C38" s="363"/>
      <c r="D38" s="363"/>
      <c r="E38" s="363" t="str">
        <f>QUANT!E102</f>
        <v>FUNDAÇÃO DE MURETA PARA ALAMBRADO</v>
      </c>
      <c r="F38" s="364"/>
      <c r="G38" s="365"/>
      <c r="H38" s="366"/>
      <c r="I38" s="367"/>
      <c r="J38" s="368"/>
      <c r="K38" s="369"/>
    </row>
    <row r="39" spans="2:11" ht="15" customHeight="1">
      <c r="B39" s="164" t="s">
        <v>12675</v>
      </c>
      <c r="C39" s="96"/>
      <c r="D39" s="96"/>
      <c r="E39" s="96" t="str">
        <f>QUANT!E104</f>
        <v>ESTACA TIPO BROCA</v>
      </c>
      <c r="F39" s="178"/>
      <c r="G39" s="146"/>
      <c r="H39" s="145"/>
      <c r="I39" s="219"/>
      <c r="J39" s="65"/>
      <c r="K39" s="191"/>
    </row>
    <row r="40" spans="2:11" ht="30">
      <c r="B40" s="14" t="s">
        <v>12676</v>
      </c>
      <c r="C40" s="435">
        <f>QUANT!C106</f>
        <v>98228</v>
      </c>
      <c r="D40" s="435" t="str">
        <f>QUANT!D106</f>
        <v>SINAPI</v>
      </c>
      <c r="E40" s="436" t="str">
        <f>IFERROR(VLOOKUP($C40,'SINAPI JULHO 2018'!$1:$1048576,2,0),IFERROR(VLOOKUP($C40,'5-COMP. PROPRIA'!$B$13:$I$518,4,0),""))</f>
        <v>ESTACA BROCA DE CONCRETO, DIÃMETRO DE 20 CM, PROFUNDIDADE DE ATÉ 3 M, ESCAVAÇÃO MANUAL COM TRADO CONCHA, NÃO ARMADA. AF_03/2018</v>
      </c>
      <c r="F40" s="437" t="str">
        <f>IFERROR(VLOOKUP($C40,'SINAPI JULHO 2018'!$A:$D,3,0),IFERROR(VLOOKUP($C40,'5-COMP. PROPRIA'!$B$13:$I$518,5,0),""))</f>
        <v>M</v>
      </c>
      <c r="G40" s="438">
        <f>QUANT!K106</f>
        <v>121.5</v>
      </c>
      <c r="H40" s="439">
        <f>IFERROR(VLOOKUP($C40,'SINAPI JULHO 2018'!$A:$D,4,0),IFERROR(VLOOKUP($C40,'5-COMP. PROPRIA'!$B$13:$I$518,8,0),""))</f>
        <v>45.23</v>
      </c>
      <c r="I40" s="440">
        <f>H40*'4-BDI'!$E$29</f>
        <v>58.002951999999993</v>
      </c>
      <c r="J40" s="63">
        <f t="shared" ref="J40" si="10">TRUNC(G40*H40,2)</f>
        <v>5495.44</v>
      </c>
      <c r="K40" s="190">
        <f t="shared" ref="K40" si="11">TRUNC(G40*I40,2)</f>
        <v>7047.35</v>
      </c>
    </row>
    <row r="41" spans="2:11" ht="30">
      <c r="B41" s="14" t="s">
        <v>12677</v>
      </c>
      <c r="C41" s="435">
        <f>QUANT!C110</f>
        <v>95583</v>
      </c>
      <c r="D41" s="435" t="str">
        <f>QUANT!D110</f>
        <v>SINAPI</v>
      </c>
      <c r="E41" s="436" t="str">
        <f>IFERROR(VLOOKUP($C41,'SINAPI JULHO 2018'!$1:$1048576,2,0),IFERROR(VLOOKUP($C41,'5-COMP. PROPRIA'!$B$13:$I$518,4,0),""))</f>
        <v>MONTAGEM DE ARMADURA TRANSVERSAL DE ESTACAS DE SEÇÃO CIRCULAR, DIÂMETRO = 5,0 MM. AF_11/2016</v>
      </c>
      <c r="F41" s="437" t="str">
        <f>IFERROR(VLOOKUP($C41,'SINAPI JULHO 2018'!$A:$D,3,0),IFERROR(VLOOKUP($C41,'5-COMP. PROPRIA'!$B$13:$I$518,5,0),""))</f>
        <v>KG</v>
      </c>
      <c r="G41" s="438">
        <f>QUANT!K110</f>
        <v>68.13291712500002</v>
      </c>
      <c r="H41" s="439">
        <f>IFERROR(VLOOKUP($C41,'SINAPI JULHO 2018'!$A:$D,4,0),IFERROR(VLOOKUP($C41,'5-COMP. PROPRIA'!$B$13:$I$518,8,0),""))</f>
        <v>10.47</v>
      </c>
      <c r="I41" s="440">
        <f>H41*'4-BDI'!$E$29</f>
        <v>13.426728000000001</v>
      </c>
      <c r="J41" s="63">
        <f t="shared" ref="J41:J56" si="12">TRUNC(G41*H41,2)</f>
        <v>713.35</v>
      </c>
      <c r="K41" s="190">
        <f t="shared" ref="K41:K56" si="13">TRUNC(G41*I41,2)</f>
        <v>914.8</v>
      </c>
    </row>
    <row r="42" spans="2:11" ht="30">
      <c r="B42" s="14" t="s">
        <v>12678</v>
      </c>
      <c r="C42" s="435">
        <f>QUANT!C114</f>
        <v>95576</v>
      </c>
      <c r="D42" s="435" t="str">
        <f>QUANT!D114</f>
        <v>SINAPI</v>
      </c>
      <c r="E42" s="436" t="str">
        <f>IFERROR(VLOOKUP($C42,'SINAPI JULHO 2018'!$1:$1048576,2,0),IFERROR(VLOOKUP($C42,'5-COMP. PROPRIA'!$B$13:$I$518,4,0),""))</f>
        <v>MONTAGEM DE ARMADURA LONGITUDINAL/TRANSVERSAL DE ESTACAS DE SEÇÃO CIRCULAR, DIÂMETRO = 8,0 MM. AF_11/2016</v>
      </c>
      <c r="F42" s="437" t="str">
        <f>IFERROR(VLOOKUP($C42,'SINAPI JULHO 2018'!$A:$D,3,0),IFERROR(VLOOKUP($C42,'5-COMP. PROPRIA'!$B$13:$I$518,5,0),""))</f>
        <v>KG</v>
      </c>
      <c r="G42" s="438">
        <f>QUANT!K114</f>
        <v>230.00474880000002</v>
      </c>
      <c r="H42" s="439">
        <f>IFERROR(VLOOKUP($C42,'SINAPI JULHO 2018'!$A:$D,4,0),IFERROR(VLOOKUP($C42,'5-COMP. PROPRIA'!$B$13:$I$518,8,0),""))</f>
        <v>8.18</v>
      </c>
      <c r="I42" s="440">
        <f>H42*'4-BDI'!$E$29</f>
        <v>10.490031999999999</v>
      </c>
      <c r="J42" s="63">
        <f t="shared" si="12"/>
        <v>1881.43</v>
      </c>
      <c r="K42" s="190">
        <f t="shared" si="13"/>
        <v>2412.75</v>
      </c>
    </row>
    <row r="43" spans="2:11" ht="15">
      <c r="B43" s="14" t="s">
        <v>12679</v>
      </c>
      <c r="C43" s="435">
        <f>QUANT!C119</f>
        <v>72897</v>
      </c>
      <c r="D43" s="435" t="str">
        <f>QUANT!D119</f>
        <v xml:space="preserve">SINAPI </v>
      </c>
      <c r="E43" s="436" t="str">
        <f>IFERROR(VLOOKUP($C43,'SINAPI JULHO 2018'!$1:$1048576,2,0),IFERROR(VLOOKUP($C43,'5-COMP. PROPRIA'!$B$13:$I$518,4,0),""))</f>
        <v>CARGA MANUAL DE ENTULHO EM CAMINHAO BASCULANTE 6 M3</v>
      </c>
      <c r="F43" s="437" t="str">
        <f>IFERROR(VLOOKUP($C43,'SINAPI JULHO 2018'!$A:$D,3,0),IFERROR(VLOOKUP($C43,'5-COMP. PROPRIA'!$B$13:$I$518,5,0),""))</f>
        <v>M3</v>
      </c>
      <c r="G43" s="438">
        <f>QUANT!K119</f>
        <v>19.848582385380315</v>
      </c>
      <c r="H43" s="439">
        <f>IFERROR(VLOOKUP($C43,'SINAPI JULHO 2018'!$A:$D,4,0),IFERROR(VLOOKUP($C43,'5-COMP. PROPRIA'!$B$13:$I$518,8,0),""))</f>
        <v>17.34</v>
      </c>
      <c r="I43" s="440">
        <f>H43*'4-BDI'!$E$29</f>
        <v>22.236816000000001</v>
      </c>
      <c r="J43" s="63">
        <f t="shared" si="12"/>
        <v>344.17</v>
      </c>
      <c r="K43" s="190">
        <f t="shared" si="13"/>
        <v>441.36</v>
      </c>
    </row>
    <row r="44" spans="2:11" ht="30">
      <c r="B44" s="14" t="s">
        <v>12680</v>
      </c>
      <c r="C44" s="435">
        <f>QUANT!C123</f>
        <v>97914</v>
      </c>
      <c r="D44" s="435" t="str">
        <f>QUANT!D123</f>
        <v xml:space="preserve">SINAPI </v>
      </c>
      <c r="E44" s="436" t="str">
        <f>IFERROR(VLOOKUP($C44,'SINAPI JULHO 2018'!$1:$1048576,2,0),IFERROR(VLOOKUP($C44,'5-COMP. PROPRIA'!$B$13:$I$518,4,0),""))</f>
        <v>TRANSPORTE COM CAMINHÃO BASCULANTE DE 6 M3, EM VIA URBANA PAVIMENTADA, DMT ATÉ 30 KM (UNIDADE: M3XKM). AF_01/2018</v>
      </c>
      <c r="F44" s="437" t="str">
        <f>IFERROR(VLOOKUP($C44,'SINAPI JULHO 2018'!$A:$D,3,0),IFERROR(VLOOKUP($C44,'5-COMP. PROPRIA'!$B$13:$I$518,5,0),""))</f>
        <v>M3XKM</v>
      </c>
      <c r="G44" s="438">
        <f>QUANT!K123</f>
        <v>148.86436789035236</v>
      </c>
      <c r="H44" s="439">
        <f>IFERROR(VLOOKUP($C44,'SINAPI JULHO 2018'!$A:$D,4,0),IFERROR(VLOOKUP($C44,'5-COMP. PROPRIA'!$B$13:$I$518,8,0),""))</f>
        <v>1.52</v>
      </c>
      <c r="I44" s="440">
        <f>H44*'4-BDI'!$E$29</f>
        <v>1.9492480000000001</v>
      </c>
      <c r="J44" s="63">
        <f t="shared" si="12"/>
        <v>226.27</v>
      </c>
      <c r="K44" s="190">
        <f t="shared" si="13"/>
        <v>290.17</v>
      </c>
    </row>
    <row r="45" spans="2:11" ht="15">
      <c r="B45" s="164" t="s">
        <v>12681</v>
      </c>
      <c r="C45" s="96"/>
      <c r="D45" s="96"/>
      <c r="E45" s="96" t="str">
        <f>QUANT!E127</f>
        <v>BALDRAMES</v>
      </c>
      <c r="F45" s="178"/>
      <c r="G45" s="146"/>
      <c r="H45" s="145"/>
      <c r="I45" s="219"/>
      <c r="J45" s="65"/>
      <c r="K45" s="191"/>
    </row>
    <row r="46" spans="2:11" ht="30">
      <c r="B46" s="14" t="s">
        <v>12682</v>
      </c>
      <c r="C46" s="435">
        <f>QUANT!C128</f>
        <v>96527</v>
      </c>
      <c r="D46" s="435" t="str">
        <f>QUANT!D128</f>
        <v>SINAPI</v>
      </c>
      <c r="E46" s="436" t="str">
        <f>IFERROR(VLOOKUP($C46,'SINAPI JULHO 2018'!$1:$1048576,2,0),IFERROR(VLOOKUP($C46,'5-COMP. PROPRIA'!$B$13:$I$518,4,0),""))</f>
        <v>ESCAVAÇÃO MANUAL DE VALA PARA VIGA BALDRAME, COM PREVISÃO DE FÔRMA. AF_06/2017</v>
      </c>
      <c r="F46" s="437" t="str">
        <f>IFERROR(VLOOKUP($C46,'SINAPI JULHO 2018'!$A:$D,3,0),IFERROR(VLOOKUP($C46,'5-COMP. PROPRIA'!$B$13:$I$518,5,0),""))</f>
        <v>M3</v>
      </c>
      <c r="G46" s="438">
        <f>QUANT!K128</f>
        <v>23.137999999999998</v>
      </c>
      <c r="H46" s="439">
        <f>IFERROR(VLOOKUP($C46,'SINAPI JULHO 2018'!$A:$D,4,0),IFERROR(VLOOKUP($C46,'5-COMP. PROPRIA'!$B$13:$I$518,8,0),""))</f>
        <v>84.88</v>
      </c>
      <c r="I46" s="440">
        <f>H46*'4-BDI'!$E$29</f>
        <v>108.850112</v>
      </c>
      <c r="J46" s="63">
        <f t="shared" si="12"/>
        <v>1963.95</v>
      </c>
      <c r="K46" s="190">
        <f t="shared" si="13"/>
        <v>2518.5700000000002</v>
      </c>
    </row>
    <row r="47" spans="2:11" ht="30">
      <c r="B47" s="14" t="s">
        <v>12683</v>
      </c>
      <c r="C47" s="435">
        <f>QUANT!C132</f>
        <v>96617</v>
      </c>
      <c r="D47" s="435" t="str">
        <f>QUANT!D132</f>
        <v>SINAPI</v>
      </c>
      <c r="E47" s="436" t="str">
        <f>IFERROR(VLOOKUP($C47,'SINAPI JULHO 2018'!$1:$1048576,2,0),IFERROR(VLOOKUP($C47,'5-COMP. PROPRIA'!$B$13:$I$518,4,0),""))</f>
        <v>LASTRO DE CONCRETO MAGRO, APLICADO EM BLOCOS DE COROAMENTO OU SAPATAS, ESPESSURA DE 3 CM. AF_08/2017</v>
      </c>
      <c r="F47" s="437" t="str">
        <f>IFERROR(VLOOKUP($C47,'SINAPI JULHO 2018'!$A:$D,3,0),IFERROR(VLOOKUP($C47,'5-COMP. PROPRIA'!$B$13:$I$518,5,0),""))</f>
        <v>M2</v>
      </c>
      <c r="G47" s="438">
        <f>QUANT!K132</f>
        <v>40.24</v>
      </c>
      <c r="H47" s="439">
        <f>IFERROR(VLOOKUP($C47,'SINAPI JULHO 2018'!$A:$D,4,0),IFERROR(VLOOKUP($C47,'5-COMP. PROPRIA'!$B$13:$I$518,8,0),""))</f>
        <v>12.49</v>
      </c>
      <c r="I47" s="440">
        <f>H47*'4-BDI'!$E$29</f>
        <v>16.017175999999999</v>
      </c>
      <c r="J47" s="63">
        <f t="shared" si="12"/>
        <v>502.59</v>
      </c>
      <c r="K47" s="190">
        <f t="shared" si="13"/>
        <v>644.53</v>
      </c>
    </row>
    <row r="48" spans="2:11" ht="30">
      <c r="B48" s="14" t="s">
        <v>12684</v>
      </c>
      <c r="C48" s="435">
        <f>QUANT!C136</f>
        <v>94965</v>
      </c>
      <c r="D48" s="435" t="str">
        <f>QUANT!D136</f>
        <v>SINAPI</v>
      </c>
      <c r="E48" s="436" t="str">
        <f>IFERROR(VLOOKUP($C48,'SINAPI JULHO 2018'!$1:$1048576,2,0),IFERROR(VLOOKUP($C48,'5-COMP. PROPRIA'!$B$13:$I$518,4,0),""))</f>
        <v>CONCRETO FCK = 25MPA, TRAÇO 1:2,3:2,7 (CIMENTO/ AREIA MÉDIA/ BRITA 1)  - PREPARO MECÂNICO COM BETONEIRA 400 L. AF_07/2016</v>
      </c>
      <c r="F48" s="437" t="str">
        <f>IFERROR(VLOOKUP($C48,'SINAPI JULHO 2018'!$A:$D,3,0),IFERROR(VLOOKUP($C48,'5-COMP. PROPRIA'!$B$13:$I$518,5,0),""))</f>
        <v>M3</v>
      </c>
      <c r="G48" s="438">
        <f>QUANT!K136</f>
        <v>8.048</v>
      </c>
      <c r="H48" s="439">
        <f>IFERROR(VLOOKUP($C48,'SINAPI JULHO 2018'!$A:$D,4,0),IFERROR(VLOOKUP($C48,'5-COMP. PROPRIA'!$B$13:$I$518,8,0),""))</f>
        <v>323.45</v>
      </c>
      <c r="I48" s="440">
        <f>H48*'4-BDI'!$E$29</f>
        <v>414.79228000000001</v>
      </c>
      <c r="J48" s="63">
        <f t="shared" si="12"/>
        <v>2603.12</v>
      </c>
      <c r="K48" s="190">
        <f t="shared" si="13"/>
        <v>3338.24</v>
      </c>
    </row>
    <row r="49" spans="2:11" ht="15">
      <c r="B49" s="14" t="s">
        <v>12685</v>
      </c>
      <c r="C49" s="435" t="str">
        <f>QUANT!C141</f>
        <v>74157/4</v>
      </c>
      <c r="D49" s="435" t="str">
        <f>QUANT!D141</f>
        <v>SINAPI</v>
      </c>
      <c r="E49" s="436" t="str">
        <f>IFERROR(VLOOKUP($C49,'SINAPI JULHO 2018'!$1:$1048576,2,0),IFERROR(VLOOKUP($C49,'5-COMP. PROPRIA'!$B$13:$I$518,4,0),""))</f>
        <v>LANCAMENTO/APLICACAO MANUAL DE CONCRETO EM FUNDACOES</v>
      </c>
      <c r="F49" s="437" t="str">
        <f>IFERROR(VLOOKUP($C49,'SINAPI JULHO 2018'!$A:$D,3,0),IFERROR(VLOOKUP($C49,'5-COMP. PROPRIA'!$B$13:$I$518,5,0),""))</f>
        <v>M3</v>
      </c>
      <c r="G49" s="438">
        <f>QUANT!K141</f>
        <v>8.048</v>
      </c>
      <c r="H49" s="439">
        <f>IFERROR(VLOOKUP($C49,'SINAPI JULHO 2018'!$A:$D,4,0),IFERROR(VLOOKUP($C49,'5-COMP. PROPRIA'!$B$13:$I$518,8,0),""))</f>
        <v>93.76</v>
      </c>
      <c r="I49" s="440">
        <f>H49*'4-BDI'!$E$29</f>
        <v>120.237824</v>
      </c>
      <c r="J49" s="63">
        <f t="shared" si="12"/>
        <v>754.58</v>
      </c>
      <c r="K49" s="190">
        <f t="shared" si="13"/>
        <v>967.67</v>
      </c>
    </row>
    <row r="50" spans="2:11" ht="30">
      <c r="B50" s="14" t="s">
        <v>12686</v>
      </c>
      <c r="C50" s="435">
        <f>QUANT!C143</f>
        <v>96543</v>
      </c>
      <c r="D50" s="435" t="str">
        <f>QUANT!D143</f>
        <v>SINAPI</v>
      </c>
      <c r="E50" s="436" t="str">
        <f>IFERROR(VLOOKUP($C50,'SINAPI JULHO 2018'!$1:$1048576,2,0),IFERROR(VLOOKUP($C50,'5-COMP. PROPRIA'!$B$13:$I$518,4,0),""))</f>
        <v>ARMAÇÃO DE BLOCO, VIGA BALDRAME E SAPATA UTILIZANDO AÇO CA-60 DE 5 MM - MONTAGEM. AF_06/2017</v>
      </c>
      <c r="F50" s="437" t="str">
        <f>IFERROR(VLOOKUP($C50,'SINAPI JULHO 2018'!$A:$D,3,0),IFERROR(VLOOKUP($C50,'5-COMP. PROPRIA'!$B$13:$I$518,5,0),""))</f>
        <v>KG</v>
      </c>
      <c r="G50" s="438">
        <f>QUANT!K143</f>
        <v>102.28718775000002</v>
      </c>
      <c r="H50" s="439">
        <f>IFERROR(VLOOKUP($C50,'SINAPI JULHO 2018'!$A:$D,4,0),IFERROR(VLOOKUP($C50,'5-COMP. PROPRIA'!$B$13:$I$518,8,0),""))</f>
        <v>11.01</v>
      </c>
      <c r="I50" s="440">
        <f>H50*'4-BDI'!$E$29</f>
        <v>14.119223999999999</v>
      </c>
      <c r="J50" s="63">
        <f t="shared" si="12"/>
        <v>1126.18</v>
      </c>
      <c r="K50" s="190">
        <f t="shared" si="13"/>
        <v>1444.21</v>
      </c>
    </row>
    <row r="51" spans="2:11" ht="30">
      <c r="B51" s="14" t="s">
        <v>12687</v>
      </c>
      <c r="C51" s="435">
        <f>QUANT!C148</f>
        <v>96545</v>
      </c>
      <c r="D51" s="435" t="str">
        <f>QUANT!D148</f>
        <v>SINAPI</v>
      </c>
      <c r="E51" s="436" t="str">
        <f>IFERROR(VLOOKUP($C51,'SINAPI JULHO 2018'!$1:$1048576,2,0),IFERROR(VLOOKUP($C51,'5-COMP. PROPRIA'!$B$13:$I$518,4,0),""))</f>
        <v>ARMAÇÃO DE BLOCO, VIGA BALDRAME OU SAPATA UTILIZANDO AÇO CA-50 DE 8 MM - MONTAGEM. AF_06/2017</v>
      </c>
      <c r="F51" s="437" t="str">
        <f>IFERROR(VLOOKUP($C51,'SINAPI JULHO 2018'!$A:$D,3,0),IFERROR(VLOOKUP($C51,'5-COMP. PROPRIA'!$B$13:$I$518,5,0),""))</f>
        <v>KG</v>
      </c>
      <c r="G51" s="438">
        <f>QUANT!K148</f>
        <v>317.40024319999998</v>
      </c>
      <c r="H51" s="439">
        <f>IFERROR(VLOOKUP($C51,'SINAPI JULHO 2018'!$A:$D,4,0),IFERROR(VLOOKUP($C51,'5-COMP. PROPRIA'!$B$13:$I$518,8,0),""))</f>
        <v>9.19</v>
      </c>
      <c r="I51" s="440">
        <f>H51*'4-BDI'!$E$29</f>
        <v>11.785255999999999</v>
      </c>
      <c r="J51" s="63">
        <f t="shared" si="12"/>
        <v>2916.9</v>
      </c>
      <c r="K51" s="190">
        <f t="shared" si="13"/>
        <v>3740.64</v>
      </c>
    </row>
    <row r="52" spans="2:11" ht="30">
      <c r="B52" s="14" t="s">
        <v>12688</v>
      </c>
      <c r="C52" s="435">
        <f>QUANT!C153</f>
        <v>96536</v>
      </c>
      <c r="D52" s="435" t="str">
        <f>QUANT!D153</f>
        <v>SINAPI</v>
      </c>
      <c r="E52" s="436" t="str">
        <f>IFERROR(VLOOKUP($C52,'SINAPI JULHO 2018'!$1:$1048576,2,0),IFERROR(VLOOKUP($C52,'5-COMP. PROPRIA'!$B$13:$I$518,4,0),""))</f>
        <v>FABRICAÇÃO, MONTAGEM E DESMONTAGEM DE FÔRMA PARA VIGA BALDRAME, EM MADEIRA SERRADA, E=25 MM, 4 UTILIZAÇÕES. AF_06/2017</v>
      </c>
      <c r="F52" s="437" t="str">
        <f>IFERROR(VLOOKUP($C52,'SINAPI JULHO 2018'!$A:$D,3,0),IFERROR(VLOOKUP($C52,'5-COMP. PROPRIA'!$B$13:$I$518,5,0),""))</f>
        <v>M2</v>
      </c>
      <c r="G52" s="438">
        <f>QUANT!K153</f>
        <v>80.48</v>
      </c>
      <c r="H52" s="439">
        <f>IFERROR(VLOOKUP($C52,'SINAPI JULHO 2018'!$A:$D,4,0),IFERROR(VLOOKUP($C52,'5-COMP. PROPRIA'!$B$13:$I$518,8,0),""))</f>
        <v>37.81</v>
      </c>
      <c r="I52" s="440">
        <f>H52*'4-BDI'!$E$29</f>
        <v>48.487544</v>
      </c>
      <c r="J52" s="63">
        <f t="shared" si="12"/>
        <v>3042.94</v>
      </c>
      <c r="K52" s="190">
        <f t="shared" si="13"/>
        <v>3902.27</v>
      </c>
    </row>
    <row r="53" spans="2:11" ht="15">
      <c r="B53" s="14" t="s">
        <v>12689</v>
      </c>
      <c r="C53" s="435">
        <f>QUANT!C157</f>
        <v>93382</v>
      </c>
      <c r="D53" s="435" t="str">
        <f>QUANT!D157</f>
        <v>SINAPI</v>
      </c>
      <c r="E53" s="436" t="str">
        <f>IFERROR(VLOOKUP($C53,'SINAPI JULHO 2018'!$1:$1048576,2,0),IFERROR(VLOOKUP($C53,'5-COMP. PROPRIA'!$B$13:$I$518,4,0),""))</f>
        <v>REATERRO MANUAL DE VALAS COM COMPACTAÇÃO MECANIZADA. AF_04/2016</v>
      </c>
      <c r="F53" s="437" t="str">
        <f>IFERROR(VLOOKUP($C53,'SINAPI JULHO 2018'!$A:$D,3,0),IFERROR(VLOOKUP($C53,'5-COMP. PROPRIA'!$B$13:$I$518,5,0),""))</f>
        <v>M3</v>
      </c>
      <c r="G53" s="438">
        <f>QUANT!K157</f>
        <v>15.089999999999998</v>
      </c>
      <c r="H53" s="439">
        <f>IFERROR(VLOOKUP($C53,'SINAPI JULHO 2018'!$A:$D,4,0),IFERROR(VLOOKUP($C53,'5-COMP. PROPRIA'!$B$13:$I$518,8,0),""))</f>
        <v>19.27</v>
      </c>
      <c r="I53" s="440">
        <f>H53*'4-BDI'!$E$29</f>
        <v>24.711848</v>
      </c>
      <c r="J53" s="63">
        <f t="shared" si="12"/>
        <v>290.77999999999997</v>
      </c>
      <c r="K53" s="190">
        <f t="shared" si="13"/>
        <v>372.9</v>
      </c>
    </row>
    <row r="54" spans="2:11" ht="30">
      <c r="B54" s="14" t="s">
        <v>12690</v>
      </c>
      <c r="C54" s="435" t="str">
        <f>QUANT!C161</f>
        <v>74106/1</v>
      </c>
      <c r="D54" s="435" t="str">
        <f>QUANT!D161</f>
        <v>SINAPI</v>
      </c>
      <c r="E54" s="436" t="str">
        <f>IFERROR(VLOOKUP($C54,'SINAPI JULHO 2018'!$1:$1048576,2,0),IFERROR(VLOOKUP($C54,'5-COMP. PROPRIA'!$B$13:$I$518,4,0),""))</f>
        <v>IMPERMEABILIZACAO DE ESTRUTURAS ENTERRADAS, COM TINTA ASFALTICA, DUAS DEMAOS.</v>
      </c>
      <c r="F54" s="437" t="str">
        <f>IFERROR(VLOOKUP($C54,'SINAPI JULHO 2018'!$A:$D,3,0),IFERROR(VLOOKUP($C54,'5-COMP. PROPRIA'!$B$13:$I$518,5,0),""))</f>
        <v>M2</v>
      </c>
      <c r="G54" s="438">
        <f>QUANT!K161</f>
        <v>80.48</v>
      </c>
      <c r="H54" s="439">
        <f>IFERROR(VLOOKUP($C54,'SINAPI JULHO 2018'!$A:$D,4,0),IFERROR(VLOOKUP($C54,'5-COMP. PROPRIA'!$B$13:$I$518,8,0),""))</f>
        <v>9.5399999999999991</v>
      </c>
      <c r="I54" s="440">
        <f>H54*'4-BDI'!$E$29</f>
        <v>12.234095999999999</v>
      </c>
      <c r="J54" s="63">
        <f t="shared" si="12"/>
        <v>767.77</v>
      </c>
      <c r="K54" s="190">
        <f t="shared" si="13"/>
        <v>984.6</v>
      </c>
    </row>
    <row r="55" spans="2:11" ht="15">
      <c r="B55" s="14" t="s">
        <v>12691</v>
      </c>
      <c r="C55" s="435">
        <f>QUANT!C164</f>
        <v>72897</v>
      </c>
      <c r="D55" s="435" t="str">
        <f>QUANT!D164</f>
        <v>SINAPI</v>
      </c>
      <c r="E55" s="436" t="str">
        <f>IFERROR(VLOOKUP($C55,'SINAPI JULHO 2018'!$1:$1048576,2,0),IFERROR(VLOOKUP($C55,'5-COMP. PROPRIA'!$B$13:$I$518,4,0),""))</f>
        <v>CARGA MANUAL DE ENTULHO EM CAMINHAO BASCULANTE 6 M3</v>
      </c>
      <c r="F55" s="437" t="str">
        <f>IFERROR(VLOOKUP($C55,'SINAPI JULHO 2018'!$A:$D,3,0),IFERROR(VLOOKUP($C55,'5-COMP. PROPRIA'!$B$13:$I$518,5,0),""))</f>
        <v>M3</v>
      </c>
      <c r="G55" s="438">
        <f>QUANT!K164</f>
        <v>10.462400000000001</v>
      </c>
      <c r="H55" s="439">
        <f>IFERROR(VLOOKUP($C55,'SINAPI JULHO 2018'!$A:$D,4,0),IFERROR(VLOOKUP($C55,'5-COMP. PROPRIA'!$B$13:$I$518,8,0),""))</f>
        <v>17.34</v>
      </c>
      <c r="I55" s="440">
        <f>H55*'4-BDI'!$E$29</f>
        <v>22.236816000000001</v>
      </c>
      <c r="J55" s="63">
        <f t="shared" si="12"/>
        <v>181.41</v>
      </c>
      <c r="K55" s="190">
        <f t="shared" si="13"/>
        <v>232.65</v>
      </c>
    </row>
    <row r="56" spans="2:11" ht="30">
      <c r="B56" s="14" t="s">
        <v>12692</v>
      </c>
      <c r="C56" s="435">
        <f>QUANT!C168</f>
        <v>97914</v>
      </c>
      <c r="D56" s="435" t="str">
        <f>QUANT!D168</f>
        <v>SINAPI</v>
      </c>
      <c r="E56" s="436" t="str">
        <f>IFERROR(VLOOKUP($C56,'SINAPI JULHO 2018'!$1:$1048576,2,0),IFERROR(VLOOKUP($C56,'5-COMP. PROPRIA'!$B$13:$I$518,4,0),""))</f>
        <v>TRANSPORTE COM CAMINHÃO BASCULANTE DE 6 M3, EM VIA URBANA PAVIMENTADA, DMT ATÉ 30 KM (UNIDADE: M3XKM). AF_01/2018</v>
      </c>
      <c r="F56" s="437" t="str">
        <f>IFERROR(VLOOKUP($C56,'SINAPI JULHO 2018'!$A:$D,3,0),IFERROR(VLOOKUP($C56,'5-COMP. PROPRIA'!$B$13:$I$518,5,0),""))</f>
        <v>M3XKM</v>
      </c>
      <c r="G56" s="438">
        <f>QUANT!K168</f>
        <v>78.468000000000004</v>
      </c>
      <c r="H56" s="439">
        <f>IFERROR(VLOOKUP($C56,'SINAPI JULHO 2018'!$A:$D,4,0),IFERROR(VLOOKUP($C56,'5-COMP. PROPRIA'!$B$13:$I$518,8,0),""))</f>
        <v>1.52</v>
      </c>
      <c r="I56" s="440">
        <f>H56*'4-BDI'!$E$29</f>
        <v>1.9492480000000001</v>
      </c>
      <c r="J56" s="63">
        <f t="shared" si="12"/>
        <v>119.27</v>
      </c>
      <c r="K56" s="190">
        <f t="shared" si="13"/>
        <v>152.94999999999999</v>
      </c>
    </row>
    <row r="57" spans="2:11" ht="15">
      <c r="B57" s="362" t="s">
        <v>12693</v>
      </c>
      <c r="C57" s="363"/>
      <c r="D57" s="363"/>
      <c r="E57" s="363" t="str">
        <f>QUANT!E172</f>
        <v>FUNDAÇÃO PARA VEDAÇÃO LATERAL DE ARQUIBANCADA</v>
      </c>
      <c r="F57" s="364"/>
      <c r="G57" s="365"/>
      <c r="H57" s="366"/>
      <c r="I57" s="367"/>
      <c r="J57" s="368"/>
      <c r="K57" s="369"/>
    </row>
    <row r="58" spans="2:11" ht="15" customHeight="1">
      <c r="B58" s="164" t="s">
        <v>12694</v>
      </c>
      <c r="C58" s="96"/>
      <c r="D58" s="96"/>
      <c r="E58" s="96" t="str">
        <f>QUANT!E174</f>
        <v>ESTACA TIPO BROCA</v>
      </c>
      <c r="F58" s="178"/>
      <c r="G58" s="146"/>
      <c r="H58" s="145"/>
      <c r="I58" s="219"/>
      <c r="J58" s="65"/>
      <c r="K58" s="191"/>
    </row>
    <row r="59" spans="2:11" ht="30">
      <c r="B59" s="14" t="s">
        <v>12695</v>
      </c>
      <c r="C59" s="435">
        <f>QUANT!C176</f>
        <v>98228</v>
      </c>
      <c r="D59" s="435" t="str">
        <f>QUANT!D176</f>
        <v>SINAPI</v>
      </c>
      <c r="E59" s="436" t="str">
        <f>IFERROR(VLOOKUP($C59,'SINAPI JULHO 2018'!$1:$1048576,2,0),IFERROR(VLOOKUP($C59,'5-COMP. PROPRIA'!$B$13:$I$518,4,0),""))</f>
        <v>ESTACA BROCA DE CONCRETO, DIÃMETRO DE 20 CM, PROFUNDIDADE DE ATÉ 3 M, ESCAVAÇÃO MANUAL COM TRADO CONCHA, NÃO ARMADA. AF_03/2018</v>
      </c>
      <c r="F59" s="437" t="str">
        <f>IFERROR(VLOOKUP($C59,'SINAPI JULHO 2018'!$A:$D,3,0),IFERROR(VLOOKUP($C59,'5-COMP. PROPRIA'!$B$13:$I$518,5,0),""))</f>
        <v>M</v>
      </c>
      <c r="G59" s="438">
        <f>QUANT!K176</f>
        <v>12</v>
      </c>
      <c r="H59" s="439">
        <f>IFERROR(VLOOKUP($C59,'SINAPI JULHO 2018'!$A:$D,4,0),IFERROR(VLOOKUP($C59,'5-COMP. PROPRIA'!$B$13:$I$518,8,0),""))</f>
        <v>45.23</v>
      </c>
      <c r="I59" s="440">
        <f>H59*'4-BDI'!$E$29</f>
        <v>58.002951999999993</v>
      </c>
      <c r="J59" s="63">
        <f t="shared" ref="J59" si="14">TRUNC(G59*H59,2)</f>
        <v>542.76</v>
      </c>
      <c r="K59" s="190">
        <f t="shared" ref="K59" si="15">TRUNC(G59*I59,2)</f>
        <v>696.03</v>
      </c>
    </row>
    <row r="60" spans="2:11" ht="30">
      <c r="B60" s="14" t="s">
        <v>12696</v>
      </c>
      <c r="C60" s="435">
        <f>QUANT!C180</f>
        <v>95583</v>
      </c>
      <c r="D60" s="435" t="str">
        <f>QUANT!D180</f>
        <v>SINAPI</v>
      </c>
      <c r="E60" s="436" t="str">
        <f>IFERROR(VLOOKUP($C60,'SINAPI JULHO 2018'!$1:$1048576,2,0),IFERROR(VLOOKUP($C60,'5-COMP. PROPRIA'!$B$13:$I$518,4,0),""))</f>
        <v>MONTAGEM DE ARMADURA TRANSVERSAL DE ESTACAS DE SEÇÃO CIRCULAR, DIÂMETRO = 5,0 MM. AF_11/2016</v>
      </c>
      <c r="F60" s="437" t="str">
        <f>IFERROR(VLOOKUP($C60,'SINAPI JULHO 2018'!$A:$D,3,0),IFERROR(VLOOKUP($C60,'5-COMP. PROPRIA'!$B$13:$I$518,5,0),""))</f>
        <v>KG</v>
      </c>
      <c r="G60" s="438">
        <f>QUANT!K180</f>
        <v>6.7291770000000026</v>
      </c>
      <c r="H60" s="439">
        <f>IFERROR(VLOOKUP($C60,'SINAPI JULHO 2018'!$A:$D,4,0),IFERROR(VLOOKUP($C60,'5-COMP. PROPRIA'!$B$13:$I$518,8,0),""))</f>
        <v>10.47</v>
      </c>
      <c r="I60" s="440">
        <f>H60*'4-BDI'!$E$29</f>
        <v>13.426728000000001</v>
      </c>
      <c r="J60" s="63">
        <f t="shared" ref="J60:J65" si="16">TRUNC(G60*H60,2)</f>
        <v>70.45</v>
      </c>
      <c r="K60" s="190">
        <f t="shared" ref="K60:K65" si="17">TRUNC(G60*I60,2)</f>
        <v>90.35</v>
      </c>
    </row>
    <row r="61" spans="2:11" ht="30">
      <c r="B61" s="14" t="s">
        <v>12697</v>
      </c>
      <c r="C61" s="435">
        <f>QUANT!C184</f>
        <v>95576</v>
      </c>
      <c r="D61" s="435" t="str">
        <f>QUANT!D184</f>
        <v>SINAPI</v>
      </c>
      <c r="E61" s="436" t="str">
        <f>IFERROR(VLOOKUP($C61,'SINAPI JULHO 2018'!$1:$1048576,2,0),IFERROR(VLOOKUP($C61,'5-COMP. PROPRIA'!$B$13:$I$518,4,0),""))</f>
        <v>MONTAGEM DE ARMADURA LONGITUDINAL/TRANSVERSAL DE ESTACAS DE SEÇÃO CIRCULAR, DIÂMETRO = 8,0 MM. AF_11/2016</v>
      </c>
      <c r="F61" s="437" t="str">
        <f>IFERROR(VLOOKUP($C61,'SINAPI JULHO 2018'!$A:$D,3,0),IFERROR(VLOOKUP($C61,'5-COMP. PROPRIA'!$B$13:$I$518,5,0),""))</f>
        <v>KG</v>
      </c>
      <c r="G61" s="438">
        <f>QUANT!K184</f>
        <v>21.769996799999998</v>
      </c>
      <c r="H61" s="439">
        <f>IFERROR(VLOOKUP($C61,'SINAPI JULHO 2018'!$A:$D,4,0),IFERROR(VLOOKUP($C61,'5-COMP. PROPRIA'!$B$13:$I$518,8,0),""))</f>
        <v>8.18</v>
      </c>
      <c r="I61" s="440">
        <f>H61*'4-BDI'!$E$29</f>
        <v>10.490031999999999</v>
      </c>
      <c r="J61" s="63">
        <f t="shared" si="16"/>
        <v>178.07</v>
      </c>
      <c r="K61" s="190">
        <f t="shared" si="17"/>
        <v>228.36</v>
      </c>
    </row>
    <row r="62" spans="2:11" ht="15">
      <c r="B62" s="14" t="s">
        <v>12698</v>
      </c>
      <c r="C62" s="435">
        <f>QUANT!C189</f>
        <v>72897</v>
      </c>
      <c r="D62" s="435" t="str">
        <f>QUANT!D189</f>
        <v xml:space="preserve">SINAPI </v>
      </c>
      <c r="E62" s="436" t="str">
        <f>IFERROR(VLOOKUP($C62,'SINAPI JULHO 2018'!$1:$1048576,2,0),IFERROR(VLOOKUP($C62,'5-COMP. PROPRIA'!$B$13:$I$518,4,0),""))</f>
        <v>CARGA MANUAL DE ENTULHO EM CAMINHAO BASCULANTE 6 M3</v>
      </c>
      <c r="F62" s="437" t="str">
        <f>IFERROR(VLOOKUP($C62,'SINAPI JULHO 2018'!$A:$D,3,0),IFERROR(VLOOKUP($C62,'5-COMP. PROPRIA'!$B$13:$I$518,5,0),""))</f>
        <v>M3</v>
      </c>
      <c r="G62" s="438">
        <f>QUANT!K189</f>
        <v>1.9603538158400311</v>
      </c>
      <c r="H62" s="439">
        <f>IFERROR(VLOOKUP($C62,'SINAPI JULHO 2018'!$A:$D,4,0),IFERROR(VLOOKUP($C62,'5-COMP. PROPRIA'!$B$13:$I$518,8,0),""))</f>
        <v>17.34</v>
      </c>
      <c r="I62" s="440">
        <f>H62*'4-BDI'!$E$29</f>
        <v>22.236816000000001</v>
      </c>
      <c r="J62" s="63">
        <f t="shared" si="16"/>
        <v>33.99</v>
      </c>
      <c r="K62" s="190">
        <f t="shared" si="17"/>
        <v>43.59</v>
      </c>
    </row>
    <row r="63" spans="2:11" ht="30">
      <c r="B63" s="14" t="s">
        <v>12699</v>
      </c>
      <c r="C63" s="435">
        <f>QUANT!C193</f>
        <v>97914</v>
      </c>
      <c r="D63" s="435" t="str">
        <f>QUANT!D193</f>
        <v xml:space="preserve">SINAPI </v>
      </c>
      <c r="E63" s="436" t="str">
        <f>IFERROR(VLOOKUP($C63,'SINAPI JULHO 2018'!$1:$1048576,2,0),IFERROR(VLOOKUP($C63,'5-COMP. PROPRIA'!$B$13:$I$518,4,0),""))</f>
        <v>TRANSPORTE COM CAMINHÃO BASCULANTE DE 6 M3, EM VIA URBANA PAVIMENTADA, DMT ATÉ 30 KM (UNIDADE: M3XKM). AF_01/2018</v>
      </c>
      <c r="F63" s="437" t="str">
        <f>IFERROR(VLOOKUP($C63,'SINAPI JULHO 2018'!$A:$D,3,0),IFERROR(VLOOKUP($C63,'5-COMP. PROPRIA'!$B$13:$I$518,5,0),""))</f>
        <v>M3XKM</v>
      </c>
      <c r="G63" s="438">
        <f>QUANT!K193</f>
        <v>14.702653618800234</v>
      </c>
      <c r="H63" s="439">
        <f>IFERROR(VLOOKUP($C63,'SINAPI JULHO 2018'!$A:$D,4,0),IFERROR(VLOOKUP($C63,'5-COMP. PROPRIA'!$B$13:$I$518,8,0),""))</f>
        <v>1.52</v>
      </c>
      <c r="I63" s="440">
        <f>H63*'4-BDI'!$E$29</f>
        <v>1.9492480000000001</v>
      </c>
      <c r="J63" s="63">
        <f t="shared" si="16"/>
        <v>22.34</v>
      </c>
      <c r="K63" s="190">
        <f t="shared" si="17"/>
        <v>28.65</v>
      </c>
    </row>
    <row r="64" spans="2:11" ht="15">
      <c r="B64" s="164" t="s">
        <v>12700</v>
      </c>
      <c r="C64" s="96"/>
      <c r="D64" s="96"/>
      <c r="E64" s="96" t="str">
        <f>QUANT!E197</f>
        <v>BALDRAMES</v>
      </c>
      <c r="F64" s="178"/>
      <c r="G64" s="146"/>
      <c r="H64" s="145"/>
      <c r="I64" s="219"/>
      <c r="J64" s="65"/>
      <c r="K64" s="191"/>
    </row>
    <row r="65" spans="2:11" ht="30">
      <c r="B65" s="14" t="s">
        <v>12701</v>
      </c>
      <c r="C65" s="435">
        <f>QUANT!C198</f>
        <v>96527</v>
      </c>
      <c r="D65" s="435" t="str">
        <f>QUANT!D198</f>
        <v>SINAPI</v>
      </c>
      <c r="E65" s="436" t="str">
        <f>IFERROR(VLOOKUP($C65,'SINAPI JULHO 2018'!$1:$1048576,2,0),IFERROR(VLOOKUP($C65,'5-COMP. PROPRIA'!$B$13:$I$518,4,0),""))</f>
        <v>ESCAVAÇÃO MANUAL DE VALA PARA VIGA BALDRAME, COM PREVISÃO DE FÔRMA. AF_06/2017</v>
      </c>
      <c r="F65" s="437" t="str">
        <f>IFERROR(VLOOKUP($C65,'SINAPI JULHO 2018'!$A:$D,3,0),IFERROR(VLOOKUP($C65,'5-COMP. PROPRIA'!$B$13:$I$518,5,0),""))</f>
        <v>M3</v>
      </c>
      <c r="G65" s="438">
        <f>QUANT!K198</f>
        <v>1.5014999999999998</v>
      </c>
      <c r="H65" s="439">
        <f>IFERROR(VLOOKUP($C65,'SINAPI JULHO 2018'!$A:$D,4,0),IFERROR(VLOOKUP($C65,'5-COMP. PROPRIA'!$B$13:$I$518,8,0),""))</f>
        <v>84.88</v>
      </c>
      <c r="I65" s="440">
        <f>H65*'4-BDI'!$E$29</f>
        <v>108.850112</v>
      </c>
      <c r="J65" s="63">
        <f t="shared" si="16"/>
        <v>127.44</v>
      </c>
      <c r="K65" s="190">
        <f t="shared" si="17"/>
        <v>163.43</v>
      </c>
    </row>
    <row r="66" spans="2:11" ht="30">
      <c r="B66" s="14" t="s">
        <v>12702</v>
      </c>
      <c r="C66" s="435">
        <f>QUANT!C202</f>
        <v>96617</v>
      </c>
      <c r="D66" s="435" t="str">
        <f>QUANT!D202</f>
        <v>SINAPI</v>
      </c>
      <c r="E66" s="436" t="str">
        <f>IFERROR(VLOOKUP($C66,'SINAPI JULHO 2018'!$1:$1048576,2,0),IFERROR(VLOOKUP($C66,'5-COMP. PROPRIA'!$B$13:$I$518,4,0),""))</f>
        <v>LASTRO DE CONCRETO MAGRO, APLICADO EM BLOCOS DE COROAMENTO OU SAPATAS, ESPESSURA DE 3 CM. AF_08/2017</v>
      </c>
      <c r="F66" s="437" t="str">
        <f>IFERROR(VLOOKUP($C66,'SINAPI JULHO 2018'!$A:$D,3,0),IFERROR(VLOOKUP($C66,'5-COMP. PROPRIA'!$B$13:$I$518,5,0),""))</f>
        <v>M2</v>
      </c>
      <c r="G66" s="438">
        <f>QUANT!K202</f>
        <v>1.82</v>
      </c>
      <c r="H66" s="439">
        <f>IFERROR(VLOOKUP($C66,'SINAPI JULHO 2018'!$A:$D,4,0),IFERROR(VLOOKUP($C66,'5-COMP. PROPRIA'!$B$13:$I$518,8,0),""))</f>
        <v>12.49</v>
      </c>
      <c r="I66" s="440">
        <f>H66*'4-BDI'!$E$29</f>
        <v>16.017175999999999</v>
      </c>
      <c r="J66" s="63">
        <f t="shared" ref="J66:J74" si="18">TRUNC(G66*H66,2)</f>
        <v>22.73</v>
      </c>
      <c r="K66" s="190">
        <f t="shared" ref="K66:K74" si="19">TRUNC(G66*I66,2)</f>
        <v>29.15</v>
      </c>
    </row>
    <row r="67" spans="2:11" ht="30">
      <c r="B67" s="14" t="s">
        <v>12703</v>
      </c>
      <c r="C67" s="435">
        <f>QUANT!C206</f>
        <v>94965</v>
      </c>
      <c r="D67" s="435" t="str">
        <f>QUANT!D206</f>
        <v>SINAPI</v>
      </c>
      <c r="E67" s="436" t="str">
        <f>IFERROR(VLOOKUP($C67,'SINAPI JULHO 2018'!$1:$1048576,2,0),IFERROR(VLOOKUP($C67,'5-COMP. PROPRIA'!$B$13:$I$518,4,0),""))</f>
        <v>CONCRETO FCK = 25MPA, TRAÇO 1:2,3:2,7 (CIMENTO/ AREIA MÉDIA/ BRITA 1)  - PREPARO MECÂNICO COM BETONEIRA 400 L. AF_07/2016</v>
      </c>
      <c r="F67" s="437" t="str">
        <f>IFERROR(VLOOKUP($C67,'SINAPI JULHO 2018'!$A:$D,3,0),IFERROR(VLOOKUP($C67,'5-COMP. PROPRIA'!$B$13:$I$518,5,0),""))</f>
        <v>M3</v>
      </c>
      <c r="G67" s="438">
        <f>QUANT!K206</f>
        <v>0.54600000000000004</v>
      </c>
      <c r="H67" s="439">
        <f>IFERROR(VLOOKUP($C67,'SINAPI JULHO 2018'!$A:$D,4,0),IFERROR(VLOOKUP($C67,'5-COMP. PROPRIA'!$B$13:$I$518,8,0),""))</f>
        <v>323.45</v>
      </c>
      <c r="I67" s="440">
        <f>H67*'4-BDI'!$E$29</f>
        <v>414.79228000000001</v>
      </c>
      <c r="J67" s="63">
        <f t="shared" si="18"/>
        <v>176.6</v>
      </c>
      <c r="K67" s="190">
        <f t="shared" si="19"/>
        <v>226.47</v>
      </c>
    </row>
    <row r="68" spans="2:11" ht="15">
      <c r="B68" s="14" t="s">
        <v>12704</v>
      </c>
      <c r="C68" s="435" t="str">
        <f>QUANT!C211</f>
        <v>74157/4</v>
      </c>
      <c r="D68" s="435" t="str">
        <f>QUANT!D211</f>
        <v>SINAPI</v>
      </c>
      <c r="E68" s="436" t="str">
        <f>IFERROR(VLOOKUP($C68,'SINAPI JULHO 2018'!$1:$1048576,2,0),IFERROR(VLOOKUP($C68,'5-COMP. PROPRIA'!$B$13:$I$518,4,0),""))</f>
        <v>LANCAMENTO/APLICACAO MANUAL DE CONCRETO EM FUNDACOES</v>
      </c>
      <c r="F68" s="437" t="str">
        <f>IFERROR(VLOOKUP($C68,'SINAPI JULHO 2018'!$A:$D,3,0),IFERROR(VLOOKUP($C68,'5-COMP. PROPRIA'!$B$13:$I$518,5,0),""))</f>
        <v>M3</v>
      </c>
      <c r="G68" s="438">
        <f>QUANT!K211</f>
        <v>0.54600000000000004</v>
      </c>
      <c r="H68" s="439">
        <f>IFERROR(VLOOKUP($C68,'SINAPI JULHO 2018'!$A:$D,4,0),IFERROR(VLOOKUP($C68,'5-COMP. PROPRIA'!$B$13:$I$518,8,0),""))</f>
        <v>93.76</v>
      </c>
      <c r="I68" s="440">
        <f>H68*'4-BDI'!$E$29</f>
        <v>120.237824</v>
      </c>
      <c r="J68" s="63">
        <f t="shared" si="18"/>
        <v>51.19</v>
      </c>
      <c r="K68" s="190">
        <f t="shared" si="19"/>
        <v>65.64</v>
      </c>
    </row>
    <row r="69" spans="2:11" ht="30">
      <c r="B69" s="14" t="s">
        <v>12705</v>
      </c>
      <c r="C69" s="435">
        <f>QUANT!C213</f>
        <v>96543</v>
      </c>
      <c r="D69" s="435" t="str">
        <f>QUANT!D40</f>
        <v>SINAPI</v>
      </c>
      <c r="E69" s="436" t="str">
        <f>IFERROR(VLOOKUP($C69,'SINAPI JULHO 2018'!$1:$1048576,2,0),IFERROR(VLOOKUP($C69,'5-COMP. PROPRIA'!$B$13:$I$518,4,0),""))</f>
        <v>ARMAÇÃO DE BLOCO, VIGA BALDRAME E SAPATA UTILIZANDO AÇO CA-60 DE 5 MM - MONTAGEM. AF_06/2017</v>
      </c>
      <c r="F69" s="437" t="str">
        <f>IFERROR(VLOOKUP($C69,'SINAPI JULHO 2018'!$A:$D,3,0),IFERROR(VLOOKUP($C69,'5-COMP. PROPRIA'!$B$13:$I$518,5,0),""))</f>
        <v>KG</v>
      </c>
      <c r="G69" s="438">
        <f>QUANT!K213</f>
        <v>6.0282210625000001</v>
      </c>
      <c r="H69" s="439">
        <f>IFERROR(VLOOKUP($C69,'SINAPI JULHO 2018'!$A:$D,4,0),IFERROR(VLOOKUP($C69,'5-COMP. PROPRIA'!$B$13:$I$518,8,0),""))</f>
        <v>11.01</v>
      </c>
      <c r="I69" s="440">
        <f>H69*'4-BDI'!$E$29</f>
        <v>14.119223999999999</v>
      </c>
      <c r="J69" s="63">
        <f t="shared" si="18"/>
        <v>66.37</v>
      </c>
      <c r="K69" s="190">
        <f t="shared" si="19"/>
        <v>85.11</v>
      </c>
    </row>
    <row r="70" spans="2:11" ht="30">
      <c r="B70" s="14" t="s">
        <v>12706</v>
      </c>
      <c r="C70" s="435">
        <f>QUANT!C218</f>
        <v>96545</v>
      </c>
      <c r="D70" s="435" t="str">
        <f>QUANT!D218</f>
        <v>SINAPI</v>
      </c>
      <c r="E70" s="436" t="str">
        <f>IFERROR(VLOOKUP($C70,'SINAPI JULHO 2018'!$1:$1048576,2,0),IFERROR(VLOOKUP($C70,'5-COMP. PROPRIA'!$B$13:$I$518,4,0),""))</f>
        <v>ARMAÇÃO DE BLOCO, VIGA BALDRAME OU SAPATA UTILIZANDO AÇO CA-50 DE 8 MM - MONTAGEM. AF_06/2017</v>
      </c>
      <c r="F70" s="437" t="str">
        <f>IFERROR(VLOOKUP($C70,'SINAPI JULHO 2018'!$A:$D,3,0),IFERROR(VLOOKUP($C70,'5-COMP. PROPRIA'!$B$13:$I$518,5,0),""))</f>
        <v>KG</v>
      </c>
      <c r="G70" s="438">
        <f>QUANT!K218</f>
        <v>14.3555776</v>
      </c>
      <c r="H70" s="439">
        <f>IFERROR(VLOOKUP($C70,'SINAPI JULHO 2018'!$A:$D,4,0),IFERROR(VLOOKUP($C70,'5-COMP. PROPRIA'!$B$13:$I$518,8,0),""))</f>
        <v>9.19</v>
      </c>
      <c r="I70" s="440">
        <f>H70*'4-BDI'!$E$29</f>
        <v>11.785255999999999</v>
      </c>
      <c r="J70" s="63">
        <f t="shared" si="18"/>
        <v>131.91999999999999</v>
      </c>
      <c r="K70" s="190">
        <f t="shared" si="19"/>
        <v>169.18</v>
      </c>
    </row>
    <row r="71" spans="2:11" ht="30">
      <c r="B71" s="14" t="s">
        <v>12707</v>
      </c>
      <c r="C71" s="435">
        <f>QUANT!C223</f>
        <v>96536</v>
      </c>
      <c r="D71" s="435" t="str">
        <f>QUANT!D223</f>
        <v>SINAPI</v>
      </c>
      <c r="E71" s="436" t="str">
        <f>IFERROR(VLOOKUP($C71,'SINAPI JULHO 2018'!$1:$1048576,2,0),IFERROR(VLOOKUP($C71,'5-COMP. PROPRIA'!$B$13:$I$518,4,0),""))</f>
        <v>FABRICAÇÃO, MONTAGEM E DESMONTAGEM DE FÔRMA PARA VIGA BALDRAME, EM MADEIRA SERRADA, E=25 MM, 4 UTILIZAÇÕES. AF_06/2017</v>
      </c>
      <c r="F71" s="437" t="str">
        <f>IFERROR(VLOOKUP($C71,'SINAPI JULHO 2018'!$A:$D,3,0),IFERROR(VLOOKUP($C71,'5-COMP. PROPRIA'!$B$13:$I$518,5,0),""))</f>
        <v>M2</v>
      </c>
      <c r="G71" s="438">
        <f>QUANT!K223</f>
        <v>5.46</v>
      </c>
      <c r="H71" s="439">
        <f>IFERROR(VLOOKUP($C71,'SINAPI JULHO 2018'!$A:$D,4,0),IFERROR(VLOOKUP($C71,'5-COMP. PROPRIA'!$B$13:$I$518,8,0),""))</f>
        <v>37.81</v>
      </c>
      <c r="I71" s="440">
        <f>H71*'4-BDI'!$E$29</f>
        <v>48.487544</v>
      </c>
      <c r="J71" s="63">
        <f t="shared" si="18"/>
        <v>206.44</v>
      </c>
      <c r="K71" s="190">
        <f t="shared" si="19"/>
        <v>264.74</v>
      </c>
    </row>
    <row r="72" spans="2:11" ht="15">
      <c r="B72" s="14" t="s">
        <v>12708</v>
      </c>
      <c r="C72" s="435">
        <f>QUANT!C227</f>
        <v>93382</v>
      </c>
      <c r="D72" s="435" t="str">
        <f>QUANT!D227</f>
        <v>SINAPI</v>
      </c>
      <c r="E72" s="436" t="str">
        <f>IFERROR(VLOOKUP($C72,'SINAPI JULHO 2018'!$1:$1048576,2,0),IFERROR(VLOOKUP($C72,'5-COMP. PROPRIA'!$B$13:$I$518,4,0),""))</f>
        <v>REATERRO MANUAL DE VALAS COM COMPACTAÇÃO MECANIZADA. AF_04/2016</v>
      </c>
      <c r="F72" s="437" t="str">
        <f>IFERROR(VLOOKUP($C72,'SINAPI JULHO 2018'!$A:$D,3,0),IFERROR(VLOOKUP($C72,'5-COMP. PROPRIA'!$B$13:$I$518,5,0),""))</f>
        <v>M3</v>
      </c>
      <c r="G72" s="438">
        <f>QUANT!K227</f>
        <v>0.95549999999999979</v>
      </c>
      <c r="H72" s="439">
        <f>IFERROR(VLOOKUP($C72,'SINAPI JULHO 2018'!$A:$D,4,0),IFERROR(VLOOKUP($C72,'5-COMP. PROPRIA'!$B$13:$I$518,8,0),""))</f>
        <v>19.27</v>
      </c>
      <c r="I72" s="440">
        <f>H72*'4-BDI'!$E$29</f>
        <v>24.711848</v>
      </c>
      <c r="J72" s="63">
        <f t="shared" si="18"/>
        <v>18.41</v>
      </c>
      <c r="K72" s="190">
        <f t="shared" si="19"/>
        <v>23.61</v>
      </c>
    </row>
    <row r="73" spans="2:11" ht="30">
      <c r="B73" s="14" t="s">
        <v>12709</v>
      </c>
      <c r="C73" s="435" t="str">
        <f>QUANT!C231</f>
        <v>74106/1</v>
      </c>
      <c r="D73" s="435" t="str">
        <f>QUANT!D231</f>
        <v>SINAPI</v>
      </c>
      <c r="E73" s="436" t="str">
        <f>IFERROR(VLOOKUP($C73,'SINAPI JULHO 2018'!$1:$1048576,2,0),IFERROR(VLOOKUP($C73,'5-COMP. PROPRIA'!$B$13:$I$518,4,0),""))</f>
        <v>IMPERMEABILIZACAO DE ESTRUTURAS ENTERRADAS, COM TINTA ASFALTICA, DUAS DEMAOS.</v>
      </c>
      <c r="F73" s="437" t="str">
        <f>IFERROR(VLOOKUP($C73,'SINAPI JULHO 2018'!$A:$D,3,0),IFERROR(VLOOKUP($C73,'5-COMP. PROPRIA'!$B$13:$I$518,5,0),""))</f>
        <v>M2</v>
      </c>
      <c r="G73" s="438">
        <f>QUANT!K231</f>
        <v>5.46</v>
      </c>
      <c r="H73" s="439">
        <f>IFERROR(VLOOKUP($C73,'SINAPI JULHO 2018'!$A:$D,4,0),IFERROR(VLOOKUP($C73,'5-COMP. PROPRIA'!$B$13:$I$518,8,0),""))</f>
        <v>9.5399999999999991</v>
      </c>
      <c r="I73" s="440">
        <f>H73*'4-BDI'!$E$29</f>
        <v>12.234095999999999</v>
      </c>
      <c r="J73" s="63">
        <f t="shared" si="18"/>
        <v>52.08</v>
      </c>
      <c r="K73" s="190">
        <f t="shared" si="19"/>
        <v>66.790000000000006</v>
      </c>
    </row>
    <row r="74" spans="2:11" ht="15">
      <c r="B74" s="14" t="s">
        <v>12710</v>
      </c>
      <c r="C74" s="435">
        <f>QUANT!C234</f>
        <v>72897</v>
      </c>
      <c r="D74" s="435" t="str">
        <f>QUANT!D234</f>
        <v>SINAPI</v>
      </c>
      <c r="E74" s="436" t="str">
        <f>IFERROR(VLOOKUP($C74,'SINAPI JULHO 2018'!$1:$1048576,2,0),IFERROR(VLOOKUP($C74,'5-COMP. PROPRIA'!$B$13:$I$518,4,0),""))</f>
        <v>CARGA MANUAL DE ENTULHO EM CAMINHAO BASCULANTE 6 M3</v>
      </c>
      <c r="F74" s="437" t="str">
        <f>IFERROR(VLOOKUP($C74,'SINAPI JULHO 2018'!$A:$D,3,0),IFERROR(VLOOKUP($C74,'5-COMP. PROPRIA'!$B$13:$I$518,5,0),""))</f>
        <v>M3</v>
      </c>
      <c r="G74" s="438">
        <f>QUANT!K234</f>
        <v>0.7098000000000001</v>
      </c>
      <c r="H74" s="439">
        <f>IFERROR(VLOOKUP($C74,'SINAPI JULHO 2018'!$A:$D,4,0),IFERROR(VLOOKUP($C74,'5-COMP. PROPRIA'!$B$13:$I$518,8,0),""))</f>
        <v>17.34</v>
      </c>
      <c r="I74" s="440">
        <f>H74*'4-BDI'!$E$29</f>
        <v>22.236816000000001</v>
      </c>
      <c r="J74" s="63">
        <f t="shared" si="18"/>
        <v>12.3</v>
      </c>
      <c r="K74" s="190">
        <f t="shared" si="19"/>
        <v>15.78</v>
      </c>
    </row>
    <row r="75" spans="2:11" ht="30">
      <c r="B75" s="14" t="s">
        <v>12711</v>
      </c>
      <c r="C75" s="435">
        <f>QUANT!C238</f>
        <v>97914</v>
      </c>
      <c r="D75" s="435" t="str">
        <f>QUANT!D238</f>
        <v>SINAPI</v>
      </c>
      <c r="E75" s="436" t="str">
        <f>IFERROR(VLOOKUP($C75,'SINAPI JULHO 2018'!$1:$1048576,2,0),IFERROR(VLOOKUP($C75,'5-COMP. PROPRIA'!$B$13:$I$518,4,0),""))</f>
        <v>TRANSPORTE COM CAMINHÃO BASCULANTE DE 6 M3, EM VIA URBANA PAVIMENTADA, DMT ATÉ 30 KM (UNIDADE: M3XKM). AF_01/2018</v>
      </c>
      <c r="F75" s="437" t="str">
        <f>IFERROR(VLOOKUP($C75,'SINAPI JULHO 2018'!$A:$D,3,0),IFERROR(VLOOKUP($C75,'5-COMP. PROPRIA'!$B$13:$I$518,5,0),""))</f>
        <v>M3XKM</v>
      </c>
      <c r="G75" s="438">
        <f>QUANT!K238</f>
        <v>5.323500000000001</v>
      </c>
      <c r="H75" s="439">
        <f>IFERROR(VLOOKUP($C75,'SINAPI JULHO 2018'!$A:$D,4,0),IFERROR(VLOOKUP($C75,'5-COMP. PROPRIA'!$B$13:$I$518,8,0),""))</f>
        <v>1.52</v>
      </c>
      <c r="I75" s="440">
        <f>H75*'4-BDI'!$E$29</f>
        <v>1.9492480000000001</v>
      </c>
      <c r="J75" s="63">
        <f t="shared" ref="J75" si="20">TRUNC(G75*H75,2)</f>
        <v>8.09</v>
      </c>
      <c r="K75" s="190">
        <f t="shared" ref="K75" si="21">TRUNC(G75*I75,2)</f>
        <v>10.37</v>
      </c>
    </row>
    <row r="76" spans="2:11" ht="15">
      <c r="B76" s="362" t="s">
        <v>12712</v>
      </c>
      <c r="C76" s="363"/>
      <c r="D76" s="363"/>
      <c r="E76" s="363" t="str">
        <f>QUANT!E242</f>
        <v>FUNDAÇÃO PARA ALVENARIA DE MURO A DEMOLIR</v>
      </c>
      <c r="F76" s="364"/>
      <c r="G76" s="365"/>
      <c r="H76" s="366"/>
      <c r="I76" s="367"/>
      <c r="J76" s="368"/>
      <c r="K76" s="369"/>
    </row>
    <row r="77" spans="2:11" ht="15" customHeight="1">
      <c r="B77" s="164" t="s">
        <v>12713</v>
      </c>
      <c r="C77" s="96"/>
      <c r="D77" s="96"/>
      <c r="E77" s="96" t="str">
        <f>QUANT!E104:G104</f>
        <v>ESTACA TIPO BROCA</v>
      </c>
      <c r="F77" s="178"/>
      <c r="G77" s="146"/>
      <c r="H77" s="145"/>
      <c r="I77" s="219"/>
      <c r="J77" s="65"/>
      <c r="K77" s="191"/>
    </row>
    <row r="78" spans="2:11" ht="30">
      <c r="B78" s="14" t="s">
        <v>12714</v>
      </c>
      <c r="C78" s="435">
        <f>QUANT!C246</f>
        <v>98228</v>
      </c>
      <c r="D78" s="435" t="str">
        <f>QUANT!D246</f>
        <v>SINAPI</v>
      </c>
      <c r="E78" s="436" t="str">
        <f>IFERROR(VLOOKUP($C78,'SINAPI JULHO 2018'!$1:$1048576,2,0),IFERROR(VLOOKUP($C78,'5-COMP. PROPRIA'!$B$13:$I$518,4,0),""))</f>
        <v>ESTACA BROCA DE CONCRETO, DIÃMETRO DE 20 CM, PROFUNDIDADE DE ATÉ 3 M, ESCAVAÇÃO MANUAL COM TRADO CONCHA, NÃO ARMADA. AF_03/2018</v>
      </c>
      <c r="F78" s="437" t="str">
        <f>IFERROR(VLOOKUP($C78,'SINAPI JULHO 2018'!$A:$D,3,0),IFERROR(VLOOKUP($C78,'5-COMP. PROPRIA'!$B$13:$I$518,5,0),""))</f>
        <v>M</v>
      </c>
      <c r="G78" s="438">
        <f>QUANT!K246</f>
        <v>8</v>
      </c>
      <c r="H78" s="439">
        <f>IFERROR(VLOOKUP($C78,'SINAPI JULHO 2018'!$A:$D,4,0),IFERROR(VLOOKUP($C78,'5-COMP. PROPRIA'!$B$13:$I$518,8,0),""))</f>
        <v>45.23</v>
      </c>
      <c r="I78" s="440">
        <f>H78*'4-BDI'!$E$29</f>
        <v>58.002951999999993</v>
      </c>
      <c r="J78" s="63">
        <f t="shared" ref="J78" si="22">TRUNC(G78*H78,2)</f>
        <v>361.84</v>
      </c>
      <c r="K78" s="190">
        <f t="shared" ref="K78" si="23">TRUNC(G78*I78,2)</f>
        <v>464.02</v>
      </c>
    </row>
    <row r="79" spans="2:11" ht="30">
      <c r="B79" s="14" t="s">
        <v>12715</v>
      </c>
      <c r="C79" s="435">
        <f>QUANT!C250</f>
        <v>95583</v>
      </c>
      <c r="D79" s="435" t="str">
        <f>QUANT!D250</f>
        <v>SINAPI</v>
      </c>
      <c r="E79" s="436" t="str">
        <f>IFERROR(VLOOKUP($C79,'SINAPI JULHO 2018'!$1:$1048576,2,0),IFERROR(VLOOKUP($C79,'5-COMP. PROPRIA'!$B$13:$I$518,4,0),""))</f>
        <v>MONTAGEM DE ARMADURA TRANSVERSAL DE ESTACAS DE SEÇÃO CIRCULAR, DIÂMETRO = 5,0 MM. AF_11/2016</v>
      </c>
      <c r="F79" s="437" t="str">
        <f>IFERROR(VLOOKUP($C79,'SINAPI JULHO 2018'!$A:$D,3,0),IFERROR(VLOOKUP($C79,'5-COMP. PROPRIA'!$B$13:$I$518,5,0),""))</f>
        <v>KG</v>
      </c>
      <c r="G79" s="438">
        <f>QUANT!K250</f>
        <v>4.4861180000000012</v>
      </c>
      <c r="H79" s="439">
        <f>IFERROR(VLOOKUP($C79,'SINAPI JULHO 2018'!$A:$D,4,0),IFERROR(VLOOKUP($C79,'5-COMP. PROPRIA'!$B$13:$I$518,8,0),""))</f>
        <v>10.47</v>
      </c>
      <c r="I79" s="440">
        <f>H79*'4-BDI'!$E$29</f>
        <v>13.426728000000001</v>
      </c>
      <c r="J79" s="63">
        <f t="shared" ref="J79:J82" si="24">TRUNC(G79*H79,2)</f>
        <v>46.96</v>
      </c>
      <c r="K79" s="190">
        <f t="shared" ref="K79:K82" si="25">TRUNC(G79*I79,2)</f>
        <v>60.23</v>
      </c>
    </row>
    <row r="80" spans="2:11" ht="30">
      <c r="B80" s="14" t="s">
        <v>12716</v>
      </c>
      <c r="C80" s="435">
        <f>QUANT!C255</f>
        <v>95576</v>
      </c>
      <c r="D80" s="435" t="str">
        <f>QUANT!D40</f>
        <v>SINAPI</v>
      </c>
      <c r="E80" s="436" t="str">
        <f>IFERROR(VLOOKUP($C80,'SINAPI JULHO 2018'!$1:$1048576,2,0),IFERROR(VLOOKUP($C80,'5-COMP. PROPRIA'!$B$13:$I$518,4,0),""))</f>
        <v>MONTAGEM DE ARMADURA LONGITUDINAL/TRANSVERSAL DE ESTACAS DE SEÇÃO CIRCULAR, DIÂMETRO = 8,0 MM. AF_11/2016</v>
      </c>
      <c r="F80" s="437" t="str">
        <f>IFERROR(VLOOKUP($C80,'SINAPI JULHO 2018'!$A:$D,3,0),IFERROR(VLOOKUP($C80,'5-COMP. PROPRIA'!$B$13:$I$518,5,0),""))</f>
        <v>KG</v>
      </c>
      <c r="G80" s="438">
        <f>QUANT!K255</f>
        <v>14.5133312</v>
      </c>
      <c r="H80" s="439">
        <f>IFERROR(VLOOKUP($C80,'SINAPI JULHO 2018'!$A:$D,4,0),IFERROR(VLOOKUP($C80,'5-COMP. PROPRIA'!$B$13:$I$518,8,0),""))</f>
        <v>8.18</v>
      </c>
      <c r="I80" s="440">
        <f>H80*'4-BDI'!$E$29</f>
        <v>10.490031999999999</v>
      </c>
      <c r="J80" s="63">
        <f t="shared" si="24"/>
        <v>118.71</v>
      </c>
      <c r="K80" s="190">
        <f t="shared" si="25"/>
        <v>152.24</v>
      </c>
    </row>
    <row r="81" spans="2:11" ht="15">
      <c r="B81" s="14" t="s">
        <v>12717</v>
      </c>
      <c r="C81" s="435">
        <f>QUANT!C260</f>
        <v>72897</v>
      </c>
      <c r="D81" s="435" t="str">
        <f>QUANT!D260</f>
        <v xml:space="preserve">SINAPI </v>
      </c>
      <c r="E81" s="436" t="str">
        <f>IFERROR(VLOOKUP($C81,'SINAPI JULHO 2018'!$1:$1048576,2,0),IFERROR(VLOOKUP($C81,'5-COMP. PROPRIA'!$B$13:$I$518,4,0),""))</f>
        <v>CARGA MANUAL DE ENTULHO EM CAMINHAO BASCULANTE 6 M3</v>
      </c>
      <c r="F81" s="437" t="str">
        <f>IFERROR(VLOOKUP($C81,'SINAPI JULHO 2018'!$A:$D,3,0),IFERROR(VLOOKUP($C81,'5-COMP. PROPRIA'!$B$13:$I$518,5,0),""))</f>
        <v>M3</v>
      </c>
      <c r="G81" s="438">
        <f>QUANT!K260</f>
        <v>1.3069025438933541</v>
      </c>
      <c r="H81" s="439">
        <f>IFERROR(VLOOKUP($C81,'SINAPI JULHO 2018'!$A:$D,4,0),IFERROR(VLOOKUP($C81,'5-COMP. PROPRIA'!$B$13:$I$518,8,0),""))</f>
        <v>17.34</v>
      </c>
      <c r="I81" s="440">
        <f>H81*'4-BDI'!$E$29</f>
        <v>22.236816000000001</v>
      </c>
      <c r="J81" s="63">
        <f t="shared" si="24"/>
        <v>22.66</v>
      </c>
      <c r="K81" s="190">
        <f t="shared" si="25"/>
        <v>29.06</v>
      </c>
    </row>
    <row r="82" spans="2:11" ht="30">
      <c r="B82" s="14" t="s">
        <v>12718</v>
      </c>
      <c r="C82" s="435">
        <f>QUANT!C264</f>
        <v>97914</v>
      </c>
      <c r="D82" s="435" t="str">
        <f>QUANT!D264</f>
        <v xml:space="preserve">SINAPI </v>
      </c>
      <c r="E82" s="436" t="str">
        <f>IFERROR(VLOOKUP($C82,'SINAPI JULHO 2018'!$1:$1048576,2,0),IFERROR(VLOOKUP($C82,'5-COMP. PROPRIA'!$B$13:$I$518,4,0),""))</f>
        <v>TRANSPORTE COM CAMINHÃO BASCULANTE DE 6 M3, EM VIA URBANA PAVIMENTADA, DMT ATÉ 30 KM (UNIDADE: M3XKM). AF_01/2018</v>
      </c>
      <c r="F82" s="437" t="str">
        <f>IFERROR(VLOOKUP($C82,'SINAPI JULHO 2018'!$A:$D,3,0),IFERROR(VLOOKUP($C82,'5-COMP. PROPRIA'!$B$13:$I$518,5,0),""))</f>
        <v>M3XKM</v>
      </c>
      <c r="G82" s="438">
        <f>QUANT!K264</f>
        <v>9.8017690792001559</v>
      </c>
      <c r="H82" s="439">
        <f>IFERROR(VLOOKUP($C82,'SINAPI JULHO 2018'!$A:$D,4,0),IFERROR(VLOOKUP($C82,'5-COMP. PROPRIA'!$B$13:$I$518,8,0),""))</f>
        <v>1.52</v>
      </c>
      <c r="I82" s="440">
        <f>H82*'4-BDI'!$E$29</f>
        <v>1.9492480000000001</v>
      </c>
      <c r="J82" s="63">
        <f t="shared" si="24"/>
        <v>14.89</v>
      </c>
      <c r="K82" s="190">
        <f t="shared" si="25"/>
        <v>19.100000000000001</v>
      </c>
    </row>
    <row r="83" spans="2:11" s="173" customFormat="1" ht="15">
      <c r="B83" s="164" t="s">
        <v>12719</v>
      </c>
      <c r="C83" s="96"/>
      <c r="D83" s="96"/>
      <c r="E83" s="96" t="str">
        <f>QUANT!E127:G127</f>
        <v>BALDRAMES</v>
      </c>
      <c r="F83" s="178"/>
      <c r="G83" s="146"/>
      <c r="H83" s="145"/>
      <c r="I83" s="219"/>
      <c r="J83" s="65"/>
      <c r="K83" s="191"/>
    </row>
    <row r="84" spans="2:11" s="173" customFormat="1" ht="30">
      <c r="B84" s="15" t="s">
        <v>12720</v>
      </c>
      <c r="C84" s="435">
        <f>QUANT!C269</f>
        <v>96527</v>
      </c>
      <c r="D84" s="435" t="str">
        <f>QUANT!D269</f>
        <v>SINAPI</v>
      </c>
      <c r="E84" s="436" t="str">
        <f>IFERROR(VLOOKUP($C84,'SINAPI JULHO 2018'!$1:$1048576,2,0),IFERROR(VLOOKUP($C84,'5-COMP. PROPRIA'!$B$13:$I$518,4,0),""))</f>
        <v>ESCAVAÇÃO MANUAL DE VALA PARA VIGA BALDRAME, COM PREVISÃO DE FÔRMA. AF_06/2017</v>
      </c>
      <c r="F84" s="437" t="str">
        <f>IFERROR(VLOOKUP($C84,'SINAPI JULHO 2018'!$A:$D,3,0),IFERROR(VLOOKUP($C84,'5-COMP. PROPRIA'!$B$13:$I$518,5,0),""))</f>
        <v>M3</v>
      </c>
      <c r="G84" s="438">
        <f>QUANT!K269</f>
        <v>2.0591999999999997</v>
      </c>
      <c r="H84" s="439">
        <f>IFERROR(VLOOKUP($C84,'SINAPI JULHO 2018'!$A:$D,4,0),IFERROR(VLOOKUP($C84,'5-COMP. PROPRIA'!$B$13:$I$518,8,0),""))</f>
        <v>84.88</v>
      </c>
      <c r="I84" s="440">
        <f>H84*'4-BDI'!$E$29</f>
        <v>108.850112</v>
      </c>
      <c r="J84" s="63">
        <f t="shared" ref="J84" si="26">TRUNC(G84*H84,2)</f>
        <v>174.78</v>
      </c>
      <c r="K84" s="190">
        <f t="shared" ref="K84" si="27">TRUNC(G84*I84,2)</f>
        <v>224.14</v>
      </c>
    </row>
    <row r="85" spans="2:11" s="173" customFormat="1" ht="30">
      <c r="B85" s="15" t="s">
        <v>12721</v>
      </c>
      <c r="C85" s="435">
        <f>QUANT!C273</f>
        <v>96617</v>
      </c>
      <c r="D85" s="435" t="str">
        <f>QUANT!D273</f>
        <v>SINAPI</v>
      </c>
      <c r="E85" s="436" t="str">
        <f>IFERROR(VLOOKUP($C85,'SINAPI JULHO 2018'!$1:$1048576,2,0),IFERROR(VLOOKUP($C85,'5-COMP. PROPRIA'!$B$13:$I$518,4,0),""))</f>
        <v>LASTRO DE CONCRETO MAGRO, APLICADO EM BLOCOS DE COROAMENTO OU SAPATAS, ESPESSURA DE 3 CM. AF_08/2017</v>
      </c>
      <c r="F85" s="437" t="str">
        <f>IFERROR(VLOOKUP($C85,'SINAPI JULHO 2018'!$A:$D,3,0),IFERROR(VLOOKUP($C85,'5-COMP. PROPRIA'!$B$13:$I$518,5,0),""))</f>
        <v>M2</v>
      </c>
      <c r="G85" s="438">
        <f>QUANT!K273</f>
        <v>1.92</v>
      </c>
      <c r="H85" s="439">
        <f>IFERROR(VLOOKUP($C85,'SINAPI JULHO 2018'!$A:$D,4,0),IFERROR(VLOOKUP($C85,'5-COMP. PROPRIA'!$B$13:$I$518,8,0),""))</f>
        <v>12.49</v>
      </c>
      <c r="I85" s="440">
        <f>H85*'4-BDI'!$E$29</f>
        <v>16.017175999999999</v>
      </c>
      <c r="J85" s="63">
        <f t="shared" ref="J85:J94" si="28">TRUNC(G85*H85,2)</f>
        <v>23.98</v>
      </c>
      <c r="K85" s="190">
        <f t="shared" ref="K85:K94" si="29">TRUNC(G85*I85,2)</f>
        <v>30.75</v>
      </c>
    </row>
    <row r="86" spans="2:11" s="173" customFormat="1" ht="30">
      <c r="B86" s="15" t="s">
        <v>12722</v>
      </c>
      <c r="C86" s="435">
        <f>QUANT!C277</f>
        <v>94965</v>
      </c>
      <c r="D86" s="435" t="str">
        <f>QUANT!D277</f>
        <v>SINAPI</v>
      </c>
      <c r="E86" s="436" t="str">
        <f>IFERROR(VLOOKUP($C86,'SINAPI JULHO 2018'!$1:$1048576,2,0),IFERROR(VLOOKUP($C86,'5-COMP. PROPRIA'!$B$13:$I$518,4,0),""))</f>
        <v>CONCRETO FCK = 25MPA, TRAÇO 1:2,3:2,7 (CIMENTO/ AREIA MÉDIA/ BRITA 1)  - PREPARO MECÂNICO COM BETONEIRA 400 L. AF_07/2016</v>
      </c>
      <c r="F86" s="437" t="str">
        <f>IFERROR(VLOOKUP($C86,'SINAPI JULHO 2018'!$A:$D,3,0),IFERROR(VLOOKUP($C86,'5-COMP. PROPRIA'!$B$13:$I$518,5,0),""))</f>
        <v>M3</v>
      </c>
      <c r="G86" s="438">
        <f>QUANT!K277</f>
        <v>0.57599999999999996</v>
      </c>
      <c r="H86" s="439">
        <f>IFERROR(VLOOKUP($C86,'SINAPI JULHO 2018'!$A:$D,4,0),IFERROR(VLOOKUP($C86,'5-COMP. PROPRIA'!$B$13:$I$518,8,0),""))</f>
        <v>323.45</v>
      </c>
      <c r="I86" s="440">
        <f>H86*'4-BDI'!$E$29</f>
        <v>414.79228000000001</v>
      </c>
      <c r="J86" s="63">
        <f t="shared" si="28"/>
        <v>186.3</v>
      </c>
      <c r="K86" s="190">
        <f t="shared" si="29"/>
        <v>238.92</v>
      </c>
    </row>
    <row r="87" spans="2:11" s="173" customFormat="1" ht="15">
      <c r="B87" s="15" t="s">
        <v>12723</v>
      </c>
      <c r="C87" s="435" t="str">
        <f>QUANT!C282</f>
        <v>74157/4</v>
      </c>
      <c r="D87" s="435" t="str">
        <f>QUANT!D282</f>
        <v>SINAPI</v>
      </c>
      <c r="E87" s="436" t="str">
        <f>IFERROR(VLOOKUP($C87,'SINAPI JULHO 2018'!$1:$1048576,2,0),IFERROR(VLOOKUP($C87,'5-COMP. PROPRIA'!$B$13:$I$518,4,0),""))</f>
        <v>LANCAMENTO/APLICACAO MANUAL DE CONCRETO EM FUNDACOES</v>
      </c>
      <c r="F87" s="437" t="str">
        <f>IFERROR(VLOOKUP($C87,'SINAPI JULHO 2018'!$A:$D,3,0),IFERROR(VLOOKUP($C87,'5-COMP. PROPRIA'!$B$13:$I$518,5,0),""))</f>
        <v>M3</v>
      </c>
      <c r="G87" s="438">
        <f>QUANT!K282</f>
        <v>0.57599999999999996</v>
      </c>
      <c r="H87" s="439">
        <f>IFERROR(VLOOKUP($C87,'SINAPI JULHO 2018'!$A:$D,4,0),IFERROR(VLOOKUP($C87,'5-COMP. PROPRIA'!$B$13:$I$518,8,0),""))</f>
        <v>93.76</v>
      </c>
      <c r="I87" s="440">
        <f>H87*'4-BDI'!$E$29</f>
        <v>120.237824</v>
      </c>
      <c r="J87" s="63">
        <f t="shared" si="28"/>
        <v>54</v>
      </c>
      <c r="K87" s="190">
        <f t="shared" si="29"/>
        <v>69.25</v>
      </c>
    </row>
    <row r="88" spans="2:11" s="173" customFormat="1" ht="30">
      <c r="B88" s="15" t="s">
        <v>12724</v>
      </c>
      <c r="C88" s="435">
        <f>QUANT!C284</f>
        <v>96543</v>
      </c>
      <c r="D88" s="435" t="str">
        <f>QUANT!D284</f>
        <v>SINAPI</v>
      </c>
      <c r="E88" s="436" t="str">
        <f>IFERROR(VLOOKUP($C88,'SINAPI JULHO 2018'!$1:$1048576,2,0),IFERROR(VLOOKUP($C88,'5-COMP. PROPRIA'!$B$13:$I$518,4,0),""))</f>
        <v>ARMAÇÃO DE BLOCO, VIGA BALDRAME E SAPATA UTILIZANDO AÇO CA-60 DE 5 MM - MONTAGEM. AF_06/2017</v>
      </c>
      <c r="F88" s="437" t="str">
        <f>IFERROR(VLOOKUP($C88,'SINAPI JULHO 2018'!$A:$D,3,0),IFERROR(VLOOKUP($C88,'5-COMP. PROPRIA'!$B$13:$I$518,5,0),""))</f>
        <v>KG</v>
      </c>
      <c r="G88" s="438">
        <f>QUANT!K284</f>
        <v>6.3594420000000005</v>
      </c>
      <c r="H88" s="439">
        <f>IFERROR(VLOOKUP($C88,'SINAPI JULHO 2018'!$A:$D,4,0),IFERROR(VLOOKUP($C88,'5-COMP. PROPRIA'!$B$13:$I$518,8,0),""))</f>
        <v>11.01</v>
      </c>
      <c r="I88" s="440">
        <f>H88*'4-BDI'!$E$29</f>
        <v>14.119223999999999</v>
      </c>
      <c r="J88" s="63">
        <f t="shared" si="28"/>
        <v>70.010000000000005</v>
      </c>
      <c r="K88" s="190">
        <f t="shared" si="29"/>
        <v>89.79</v>
      </c>
    </row>
    <row r="89" spans="2:11" s="173" customFormat="1" ht="30">
      <c r="B89" s="15" t="s">
        <v>12725</v>
      </c>
      <c r="C89" s="435">
        <f>QUANT!C289</f>
        <v>96545</v>
      </c>
      <c r="D89" s="435" t="str">
        <f>QUANT!D44</f>
        <v>SINAPI</v>
      </c>
      <c r="E89" s="436" t="str">
        <f>IFERROR(VLOOKUP($C89,'SINAPI JULHO 2018'!$1:$1048576,2,0),IFERROR(VLOOKUP($C89,'5-COMP. PROPRIA'!$B$13:$I$518,4,0),""))</f>
        <v>ARMAÇÃO DE BLOCO, VIGA BALDRAME OU SAPATA UTILIZANDO AÇO CA-50 DE 8 MM - MONTAGEM. AF_06/2017</v>
      </c>
      <c r="F89" s="437" t="str">
        <f>IFERROR(VLOOKUP($C89,'SINAPI JULHO 2018'!$A:$D,3,0),IFERROR(VLOOKUP($C89,'5-COMP. PROPRIA'!$B$13:$I$518,5,0),""))</f>
        <v>KG</v>
      </c>
      <c r="G89" s="438">
        <f>QUANT!K289</f>
        <v>15.144345599999999</v>
      </c>
      <c r="H89" s="439">
        <f>IFERROR(VLOOKUP($C89,'SINAPI JULHO 2018'!$A:$D,4,0),IFERROR(VLOOKUP($C89,'5-COMP. PROPRIA'!$B$13:$I$518,8,0),""))</f>
        <v>9.19</v>
      </c>
      <c r="I89" s="440">
        <f>H89*'4-BDI'!$E$29</f>
        <v>11.785255999999999</v>
      </c>
      <c r="J89" s="63">
        <f t="shared" si="28"/>
        <v>139.16999999999999</v>
      </c>
      <c r="K89" s="190">
        <f t="shared" si="29"/>
        <v>178.47</v>
      </c>
    </row>
    <row r="90" spans="2:11" s="173" customFormat="1" ht="30">
      <c r="B90" s="15" t="s">
        <v>12726</v>
      </c>
      <c r="C90" s="435">
        <f>QUANT!C294</f>
        <v>96536</v>
      </c>
      <c r="D90" s="435" t="str">
        <f>QUANT!D294</f>
        <v>SINAPI</v>
      </c>
      <c r="E90" s="436" t="str">
        <f>IFERROR(VLOOKUP($C90,'SINAPI JULHO 2018'!$1:$1048576,2,0),IFERROR(VLOOKUP($C90,'5-COMP. PROPRIA'!$B$13:$I$518,4,0),""))</f>
        <v>FABRICAÇÃO, MONTAGEM E DESMONTAGEM DE FÔRMA PARA VIGA BALDRAME, EM MADEIRA SERRADA, E=25 MM, 4 UTILIZAÇÕES. AF_06/2017</v>
      </c>
      <c r="F90" s="437" t="str">
        <f>IFERROR(VLOOKUP($C90,'SINAPI JULHO 2018'!$A:$D,3,0),IFERROR(VLOOKUP($C90,'5-COMP. PROPRIA'!$B$13:$I$518,5,0),""))</f>
        <v>M2</v>
      </c>
      <c r="G90" s="438">
        <f>QUANT!K294</f>
        <v>5.76</v>
      </c>
      <c r="H90" s="439">
        <f>IFERROR(VLOOKUP($C90,'SINAPI JULHO 2018'!$A:$D,4,0),IFERROR(VLOOKUP($C90,'5-COMP. PROPRIA'!$B$13:$I$518,8,0),""))</f>
        <v>37.81</v>
      </c>
      <c r="I90" s="440">
        <f>H90*'4-BDI'!$E$29</f>
        <v>48.487544</v>
      </c>
      <c r="J90" s="63">
        <f t="shared" si="28"/>
        <v>217.78</v>
      </c>
      <c r="K90" s="190">
        <f t="shared" si="29"/>
        <v>279.27999999999997</v>
      </c>
    </row>
    <row r="91" spans="2:11" s="173" customFormat="1" ht="15">
      <c r="B91" s="15" t="s">
        <v>12727</v>
      </c>
      <c r="C91" s="435">
        <f>QUANT!C298</f>
        <v>93382</v>
      </c>
      <c r="D91" s="435" t="str">
        <f>QUANT!D298</f>
        <v>SINAPI</v>
      </c>
      <c r="E91" s="436" t="str">
        <f>IFERROR(VLOOKUP($C91,'SINAPI JULHO 2018'!$1:$1048576,2,0),IFERROR(VLOOKUP($C91,'5-COMP. PROPRIA'!$B$13:$I$518,4,0),""))</f>
        <v>REATERRO MANUAL DE VALAS COM COMPACTAÇÃO MECANIZADA. AF_04/2016</v>
      </c>
      <c r="F91" s="437" t="str">
        <f>IFERROR(VLOOKUP($C91,'SINAPI JULHO 2018'!$A:$D,3,0),IFERROR(VLOOKUP($C91,'5-COMP. PROPRIA'!$B$13:$I$518,5,0),""))</f>
        <v>M3</v>
      </c>
      <c r="G91" s="438">
        <f>QUANT!K298</f>
        <v>1.4831999999999996</v>
      </c>
      <c r="H91" s="439">
        <f>IFERROR(VLOOKUP($C91,'SINAPI JULHO 2018'!$A:$D,4,0),IFERROR(VLOOKUP($C91,'5-COMP. PROPRIA'!$B$13:$I$518,8,0),""))</f>
        <v>19.27</v>
      </c>
      <c r="I91" s="440">
        <f>H91*'4-BDI'!$E$29</f>
        <v>24.711848</v>
      </c>
      <c r="J91" s="63">
        <f t="shared" si="28"/>
        <v>28.58</v>
      </c>
      <c r="K91" s="190">
        <f t="shared" si="29"/>
        <v>36.65</v>
      </c>
    </row>
    <row r="92" spans="2:11" s="173" customFormat="1" ht="30">
      <c r="B92" s="15" t="s">
        <v>12728</v>
      </c>
      <c r="C92" s="435" t="str">
        <f>QUANT!C302</f>
        <v>74106/1</v>
      </c>
      <c r="D92" s="435" t="str">
        <f>QUANT!D302</f>
        <v>SINAPI</v>
      </c>
      <c r="E92" s="436" t="str">
        <f>IFERROR(VLOOKUP($C92,'SINAPI JULHO 2018'!$1:$1048576,2,0),IFERROR(VLOOKUP($C92,'5-COMP. PROPRIA'!$B$13:$I$518,4,0),""))</f>
        <v>IMPERMEABILIZACAO DE ESTRUTURAS ENTERRADAS, COM TINTA ASFALTICA, DUAS DEMAOS.</v>
      </c>
      <c r="F92" s="437" t="str">
        <f>IFERROR(VLOOKUP($C92,'SINAPI JULHO 2018'!$A:$D,3,0),IFERROR(VLOOKUP($C92,'5-COMP. PROPRIA'!$B$13:$I$518,5,0),""))</f>
        <v>M2</v>
      </c>
      <c r="G92" s="438">
        <f>QUANT!K302</f>
        <v>5.76</v>
      </c>
      <c r="H92" s="439">
        <f>IFERROR(VLOOKUP($C92,'SINAPI JULHO 2018'!$A:$D,4,0),IFERROR(VLOOKUP($C92,'5-COMP. PROPRIA'!$B$13:$I$518,8,0),""))</f>
        <v>9.5399999999999991</v>
      </c>
      <c r="I92" s="440">
        <f>H92*'4-BDI'!$E$29</f>
        <v>12.234095999999999</v>
      </c>
      <c r="J92" s="63">
        <f t="shared" si="28"/>
        <v>54.95</v>
      </c>
      <c r="K92" s="190">
        <f t="shared" si="29"/>
        <v>70.459999999999994</v>
      </c>
    </row>
    <row r="93" spans="2:11" s="173" customFormat="1" ht="15">
      <c r="B93" s="15" t="s">
        <v>12729</v>
      </c>
      <c r="C93" s="435">
        <f>QUANT!C305</f>
        <v>72897</v>
      </c>
      <c r="D93" s="435" t="str">
        <f>QUANT!D305</f>
        <v>SINAPI</v>
      </c>
      <c r="E93" s="436" t="str">
        <f>IFERROR(VLOOKUP($C93,'SINAPI JULHO 2018'!$1:$1048576,2,0),IFERROR(VLOOKUP($C93,'5-COMP. PROPRIA'!$B$13:$I$518,4,0),""))</f>
        <v>CARGA MANUAL DE ENTULHO EM CAMINHAO BASCULANTE 6 M3</v>
      </c>
      <c r="F93" s="437" t="str">
        <f>IFERROR(VLOOKUP($C93,'SINAPI JULHO 2018'!$A:$D,3,0),IFERROR(VLOOKUP($C93,'5-COMP. PROPRIA'!$B$13:$I$518,5,0),""))</f>
        <v>M3</v>
      </c>
      <c r="G93" s="438">
        <f>QUANT!K305</f>
        <v>0.74880000000000002</v>
      </c>
      <c r="H93" s="439">
        <f>IFERROR(VLOOKUP($C93,'SINAPI JULHO 2018'!$A:$D,4,0),IFERROR(VLOOKUP($C93,'5-COMP. PROPRIA'!$B$13:$I$518,8,0),""))</f>
        <v>17.34</v>
      </c>
      <c r="I93" s="440">
        <f>H93*'4-BDI'!$E$29</f>
        <v>22.236816000000001</v>
      </c>
      <c r="J93" s="63">
        <f t="shared" si="28"/>
        <v>12.98</v>
      </c>
      <c r="K93" s="190">
        <f t="shared" si="29"/>
        <v>16.649999999999999</v>
      </c>
    </row>
    <row r="94" spans="2:11" ht="30">
      <c r="B94" s="15" t="s">
        <v>12730</v>
      </c>
      <c r="C94" s="435">
        <f>QUANT!C309</f>
        <v>97914</v>
      </c>
      <c r="D94" s="435" t="str">
        <f>QUANT!D309</f>
        <v>SINAPI</v>
      </c>
      <c r="E94" s="436" t="str">
        <f>IFERROR(VLOOKUP($C94,'SINAPI JULHO 2018'!$1:$1048576,2,0),IFERROR(VLOOKUP($C94,'5-COMP. PROPRIA'!$B$13:$I$518,4,0),""))</f>
        <v>TRANSPORTE COM CAMINHÃO BASCULANTE DE 6 M3, EM VIA URBANA PAVIMENTADA, DMT ATÉ 30 KM (UNIDADE: M3XKM). AF_01/2018</v>
      </c>
      <c r="F94" s="437" t="str">
        <f>IFERROR(VLOOKUP($C94,'SINAPI JULHO 2018'!$A:$D,3,0),IFERROR(VLOOKUP($C94,'5-COMP. PROPRIA'!$B$13:$I$518,5,0),""))</f>
        <v>M3XKM</v>
      </c>
      <c r="G94" s="438">
        <f>QUANT!K309</f>
        <v>5.6160000000000005</v>
      </c>
      <c r="H94" s="439">
        <f>IFERROR(VLOOKUP($C94,'SINAPI JULHO 2018'!$A:$D,4,0),IFERROR(VLOOKUP($C94,'5-COMP. PROPRIA'!$B$13:$I$518,8,0),""))</f>
        <v>1.52</v>
      </c>
      <c r="I94" s="440">
        <f>H94*'4-BDI'!$E$29</f>
        <v>1.9492480000000001</v>
      </c>
      <c r="J94" s="63">
        <f t="shared" si="28"/>
        <v>8.5299999999999994</v>
      </c>
      <c r="K94" s="190">
        <f t="shared" si="29"/>
        <v>10.94</v>
      </c>
    </row>
    <row r="95" spans="2:11" ht="15" customHeight="1">
      <c r="B95" s="526" t="s">
        <v>12652</v>
      </c>
      <c r="C95" s="527"/>
      <c r="D95" s="527"/>
      <c r="E95" s="527"/>
      <c r="F95" s="527"/>
      <c r="G95" s="527"/>
      <c r="H95" s="527"/>
      <c r="I95" s="294"/>
      <c r="J95" s="192">
        <f>SUM(J40:J94)</f>
        <v>26187.449999999983</v>
      </c>
      <c r="K95" s="192">
        <f>SUM(K40:K94)</f>
        <v>33582.860000000015</v>
      </c>
    </row>
    <row r="96" spans="2:11" s="174" customFormat="1" ht="15">
      <c r="B96" s="305" t="s">
        <v>12731</v>
      </c>
      <c r="C96" s="306"/>
      <c r="D96" s="307"/>
      <c r="E96" s="308" t="str">
        <f>QUANT!E313:J313</f>
        <v xml:space="preserve">SUPERESTRUTURA </v>
      </c>
      <c r="F96" s="309"/>
      <c r="G96" s="310"/>
      <c r="H96" s="311"/>
      <c r="I96" s="311"/>
      <c r="J96" s="312"/>
      <c r="K96" s="313"/>
    </row>
    <row r="97" spans="2:11" s="174" customFormat="1" ht="15">
      <c r="B97" s="362" t="s">
        <v>12732</v>
      </c>
      <c r="C97" s="363"/>
      <c r="D97" s="363"/>
      <c r="E97" s="363" t="str">
        <f>QUANT!E316</f>
        <v xml:space="preserve">ESTRUTURA PARA VEDAÇÃO LATERAL DE ARQUIBANCADA E MURO </v>
      </c>
      <c r="F97" s="364"/>
      <c r="G97" s="365"/>
      <c r="H97" s="366"/>
      <c r="I97" s="367"/>
      <c r="J97" s="368"/>
      <c r="K97" s="369"/>
    </row>
    <row r="98" spans="2:11" ht="15" customHeight="1">
      <c r="B98" s="164" t="s">
        <v>12733</v>
      </c>
      <c r="C98" s="96"/>
      <c r="D98" s="96"/>
      <c r="E98" s="96" t="str">
        <f>QUANT!E318:G318</f>
        <v>PILARES</v>
      </c>
      <c r="F98" s="178"/>
      <c r="G98" s="146"/>
      <c r="H98" s="145"/>
      <c r="I98" s="219"/>
      <c r="J98" s="65"/>
      <c r="K98" s="191"/>
    </row>
    <row r="99" spans="2:11" ht="30">
      <c r="B99" s="14" t="s">
        <v>12734</v>
      </c>
      <c r="C99" s="435">
        <f>QUANT!C320</f>
        <v>94965</v>
      </c>
      <c r="D99" s="435" t="str">
        <f>QUANT!D320</f>
        <v>SINAPI</v>
      </c>
      <c r="E99" s="436" t="str">
        <f>IFERROR(VLOOKUP($C99,'SINAPI JULHO 2018'!$1:$1048576,2,0),IFERROR(VLOOKUP($C99,'5-COMP. PROPRIA'!$B$13:$I$518,4,0),""))</f>
        <v>CONCRETO FCK = 25MPA, TRAÇO 1:2,3:2,7 (CIMENTO/ AREIA MÉDIA/ BRITA 1)  - PREPARO MECÂNICO COM BETONEIRA 400 L. AF_07/2016</v>
      </c>
      <c r="F99" s="437" t="str">
        <f>IFERROR(VLOOKUP($C99,'SINAPI JULHO 2018'!$A:$D,3,0),IFERROR(VLOOKUP($C99,'5-COMP. PROPRIA'!$B$13:$I$518,5,0),""))</f>
        <v>M3</v>
      </c>
      <c r="G99" s="438">
        <f>QUANT!K320</f>
        <v>1.1640000000000001</v>
      </c>
      <c r="H99" s="439">
        <f>IFERROR(VLOOKUP($C99,'SINAPI JULHO 2018'!$A:$D,4,0),IFERROR(VLOOKUP($C99,'5-COMP. PROPRIA'!$B$13:$I$518,8,0),""))</f>
        <v>323.45</v>
      </c>
      <c r="I99" s="440">
        <f>H99*'4-BDI'!$E$29</f>
        <v>414.79228000000001</v>
      </c>
      <c r="J99" s="63">
        <f t="shared" ref="J99" si="30">TRUNC(G99*H99,2)</f>
        <v>376.49</v>
      </c>
      <c r="K99" s="190">
        <f t="shared" ref="K99" si="31">TRUNC(G99*I99,2)</f>
        <v>482.81</v>
      </c>
    </row>
    <row r="100" spans="2:11" ht="30">
      <c r="B100" s="14" t="s">
        <v>12735</v>
      </c>
      <c r="C100" s="435">
        <f>QUANT!C327</f>
        <v>92873</v>
      </c>
      <c r="D100" s="435" t="str">
        <f>QUANT!D327</f>
        <v>SINAPI</v>
      </c>
      <c r="E100" s="436" t="str">
        <f>IFERROR(VLOOKUP($C100,'SINAPI JULHO 2018'!$1:$1048576,2,0),IFERROR(VLOOKUP($C100,'5-COMP. PROPRIA'!$B$13:$I$518,4,0),""))</f>
        <v>LANÇAMENTO COM USO DE BALDES, ADENSAMENTO E ACABAMENTO DE CONCRETO EM ESTRUTURAS. AF_12/2015</v>
      </c>
      <c r="F100" s="437" t="str">
        <f>IFERROR(VLOOKUP($C100,'SINAPI JULHO 2018'!$A:$D,3,0),IFERROR(VLOOKUP($C100,'5-COMP. PROPRIA'!$B$13:$I$518,5,0),""))</f>
        <v>M3</v>
      </c>
      <c r="G100" s="438">
        <f>QUANT!K327</f>
        <v>1.1640000000000001</v>
      </c>
      <c r="H100" s="439">
        <f>IFERROR(VLOOKUP($C100,'SINAPI JULHO 2018'!$A:$D,4,0),IFERROR(VLOOKUP($C100,'5-COMP. PROPRIA'!$B$13:$I$518,8,0),""))</f>
        <v>145.12</v>
      </c>
      <c r="I100" s="440">
        <f>H100*'4-BDI'!$E$29</f>
        <v>186.101888</v>
      </c>
      <c r="J100" s="63">
        <f t="shared" ref="J100:J103" si="32">TRUNC(G100*H100,2)</f>
        <v>168.91</v>
      </c>
      <c r="K100" s="190">
        <f t="shared" ref="K100:K103" si="33">TRUNC(G100*I100,2)</f>
        <v>216.62</v>
      </c>
    </row>
    <row r="101" spans="2:11" ht="45">
      <c r="B101" s="14" t="s">
        <v>12736</v>
      </c>
      <c r="C101" s="435">
        <f>QUANT!C329</f>
        <v>92775</v>
      </c>
      <c r="D101" s="435" t="str">
        <f>QUANT!D329</f>
        <v>SINAPI</v>
      </c>
      <c r="E101" s="436" t="str">
        <f>IFERROR(VLOOKUP($C101,'SINAPI JULHO 2018'!$1:$1048576,2,0),IFERROR(VLOOKUP($C101,'5-COMP. PROPRIA'!$B$13:$I$518,4,0),""))</f>
        <v>ARMAÇÃO DE PILAR OU VIGA DE UMA ESTRUTURA CONVENCIONAL DE CONCRETO ARMADO EM UMA EDIFICAÇÃO TÉRREA OU SOBRADO UTILIZANDO AÇO CA-60 DE 5,0 MM - MONTAGEM. AF_12/2015</v>
      </c>
      <c r="F101" s="437" t="str">
        <f>IFERROR(VLOOKUP($C101,'SINAPI JULHO 2018'!$A:$D,3,0),IFERROR(VLOOKUP($C101,'5-COMP. PROPRIA'!$B$13:$I$518,5,0),""))</f>
        <v>KG</v>
      </c>
      <c r="G101" s="438">
        <f>QUANT!K329</f>
        <v>59.176086750000024</v>
      </c>
      <c r="H101" s="439">
        <f>IFERROR(VLOOKUP($C101,'SINAPI JULHO 2018'!$A:$D,4,0),IFERROR(VLOOKUP($C101,'5-COMP. PROPRIA'!$B$13:$I$518,8,0),""))</f>
        <v>11.07</v>
      </c>
      <c r="I101" s="440">
        <f>H101*'4-BDI'!$E$29</f>
        <v>14.196168</v>
      </c>
      <c r="J101" s="63">
        <f t="shared" si="32"/>
        <v>655.07000000000005</v>
      </c>
      <c r="K101" s="190">
        <f t="shared" si="33"/>
        <v>840.07</v>
      </c>
    </row>
    <row r="102" spans="2:11" ht="45">
      <c r="B102" s="14" t="s">
        <v>12737</v>
      </c>
      <c r="C102" s="435">
        <f>QUANT!C337</f>
        <v>92778</v>
      </c>
      <c r="D102" s="435" t="str">
        <f>QUANT!D337</f>
        <v>SINAPI</v>
      </c>
      <c r="E102" s="436" t="str">
        <f>IFERROR(VLOOKUP($C102,'SINAPI JULHO 2018'!$1:$1048576,2,0),IFERROR(VLOOKUP($C102,'5-COMP. PROPRIA'!$B$13:$I$518,4,0),""))</f>
        <v>ARMAÇÃO DE PILAR OU VIGA DE UMA ESTRUTURA CONVENCIONAL DE CONCRETO ARMADO EM UMA EDIFICAÇÃO TÉRREA OU SOBRADO UTILIZANDO AÇO CA-50 DE 10,0 MM - MONTAGEM. AF_12/2015</v>
      </c>
      <c r="F102" s="437" t="str">
        <f>IFERROR(VLOOKUP($C102,'SINAPI JULHO 2018'!$A:$D,3,0),IFERROR(VLOOKUP($C102,'5-COMP. PROPRIA'!$B$13:$I$518,5,0),""))</f>
        <v>KG</v>
      </c>
      <c r="G102" s="438">
        <f>QUANT!K337</f>
        <v>71.728590000000025</v>
      </c>
      <c r="H102" s="439">
        <f>IFERROR(VLOOKUP($C102,'SINAPI JULHO 2018'!$A:$D,4,0),IFERROR(VLOOKUP($C102,'5-COMP. PROPRIA'!$B$13:$I$518,8,0),""))</f>
        <v>7.43</v>
      </c>
      <c r="I102" s="440">
        <f>H102*'4-BDI'!$E$29</f>
        <v>9.5282319999999991</v>
      </c>
      <c r="J102" s="63">
        <f t="shared" si="32"/>
        <v>532.94000000000005</v>
      </c>
      <c r="K102" s="190">
        <f t="shared" si="33"/>
        <v>683.44</v>
      </c>
    </row>
    <row r="103" spans="2:11" ht="45">
      <c r="B103" s="14" t="s">
        <v>12738</v>
      </c>
      <c r="C103" s="435">
        <f>QUANT!C344</f>
        <v>92412</v>
      </c>
      <c r="D103" s="435" t="str">
        <f>QUANT!D344</f>
        <v>SINAPI</v>
      </c>
      <c r="E103" s="436" t="str">
        <f>IFERROR(VLOOKUP($C103,'SINAPI JULHO 2018'!$1:$1048576,2,0),IFERROR(VLOOKUP($C103,'5-COMP. PROPRIA'!$B$13:$I$518,4,0),""))</f>
        <v>MONTAGEM E DESMONTAGEM DE FÔRMA DE PILARES RETANGULARES E ESTRUTURAS SIMILARES COM ÁREA MÉDIA DAS SEÇÕES MENOR OU IGUAL A 0,25 M², PÉ-DIREITO SIMPLES, EM MADEIRA SERRADA, 4 UTILIZAÇÕES. AF_12/2015</v>
      </c>
      <c r="F103" s="437" t="str">
        <f>IFERROR(VLOOKUP($C103,'SINAPI JULHO 2018'!$A:$D,3,0),IFERROR(VLOOKUP($C103,'5-COMP. PROPRIA'!$B$13:$I$518,5,0),""))</f>
        <v>M2</v>
      </c>
      <c r="G103" s="438">
        <f>QUANT!K344</f>
        <v>5.82</v>
      </c>
      <c r="H103" s="439">
        <f>IFERROR(VLOOKUP($C103,'SINAPI JULHO 2018'!$A:$D,4,0),IFERROR(VLOOKUP($C103,'5-COMP. PROPRIA'!$B$13:$I$518,8,0),""))</f>
        <v>61.12</v>
      </c>
      <c r="I103" s="440">
        <f>H103*'4-BDI'!$E$29</f>
        <v>78.380287999999993</v>
      </c>
      <c r="J103" s="63">
        <f t="shared" si="32"/>
        <v>355.71</v>
      </c>
      <c r="K103" s="190">
        <f t="shared" si="33"/>
        <v>456.17</v>
      </c>
    </row>
    <row r="104" spans="2:11" ht="15">
      <c r="B104" s="164" t="s">
        <v>12739</v>
      </c>
      <c r="C104" s="96"/>
      <c r="D104" s="96"/>
      <c r="E104" s="96" t="str">
        <f>QUANT!E350</f>
        <v>VIGAS DE AMARRAÇÃO</v>
      </c>
      <c r="F104" s="178"/>
      <c r="G104" s="146"/>
      <c r="H104" s="145"/>
      <c r="I104" s="219"/>
      <c r="J104" s="65"/>
      <c r="K104" s="191"/>
    </row>
    <row r="105" spans="2:11" ht="30">
      <c r="B105" s="14" t="s">
        <v>12740</v>
      </c>
      <c r="C105" s="435">
        <f>QUANT!C352</f>
        <v>94965</v>
      </c>
      <c r="D105" s="435" t="str">
        <f>QUANT!D352</f>
        <v>SINAPI</v>
      </c>
      <c r="E105" s="436" t="str">
        <f>IFERROR(VLOOKUP($C105,'SINAPI JULHO 2018'!$1:$1048576,2,0),IFERROR(VLOOKUP($C105,'5-COMP. PROPRIA'!$B$13:$I$518,4,0),""))</f>
        <v>CONCRETO FCK = 25MPA, TRAÇO 1:2,3:2,7 (CIMENTO/ AREIA MÉDIA/ BRITA 1)  - PREPARO MECÂNICO COM BETONEIRA 400 L. AF_07/2016</v>
      </c>
      <c r="F105" s="437" t="str">
        <f>IFERROR(VLOOKUP($C105,'SINAPI JULHO 2018'!$A:$D,3,0),IFERROR(VLOOKUP($C105,'5-COMP. PROPRIA'!$B$13:$I$518,5,0),""))</f>
        <v>M3</v>
      </c>
      <c r="G105" s="438">
        <f>QUANT!K352</f>
        <v>1.08</v>
      </c>
      <c r="H105" s="439">
        <f>IFERROR(VLOOKUP($C105,'SINAPI JULHO 2018'!$A:$D,4,0),IFERROR(VLOOKUP($C105,'5-COMP. PROPRIA'!$B$13:$I$518,8,0),""))</f>
        <v>323.45</v>
      </c>
      <c r="I105" s="440">
        <f>H105*'4-BDI'!$E$29</f>
        <v>414.79228000000001</v>
      </c>
      <c r="J105" s="63">
        <f t="shared" ref="J105" si="34">TRUNC(G105*H105,2)</f>
        <v>349.32</v>
      </c>
      <c r="K105" s="190">
        <f t="shared" ref="K105" si="35">TRUNC(G105*I105,2)</f>
        <v>447.97</v>
      </c>
    </row>
    <row r="106" spans="2:11" ht="15">
      <c r="B106" s="14" t="s">
        <v>12741</v>
      </c>
      <c r="C106" s="435" t="str">
        <f>QUANT!C357</f>
        <v>74157/4</v>
      </c>
      <c r="D106" s="435" t="str">
        <f>QUANT!D357</f>
        <v>SINAPI</v>
      </c>
      <c r="E106" s="436" t="str">
        <f>IFERROR(VLOOKUP($C106,'SINAPI JULHO 2018'!$1:$1048576,2,0),IFERROR(VLOOKUP($C106,'5-COMP. PROPRIA'!$B$13:$I$518,4,0),""))</f>
        <v>LANCAMENTO/APLICACAO MANUAL DE CONCRETO EM FUNDACOES</v>
      </c>
      <c r="F106" s="437" t="str">
        <f>IFERROR(VLOOKUP($C106,'SINAPI JULHO 2018'!$A:$D,3,0),IFERROR(VLOOKUP($C106,'5-COMP. PROPRIA'!$B$13:$I$518,5,0),""))</f>
        <v>M3</v>
      </c>
      <c r="G106" s="438">
        <f>QUANT!K357</f>
        <v>1.08</v>
      </c>
      <c r="H106" s="439">
        <f>IFERROR(VLOOKUP($C106,'SINAPI JULHO 2018'!$A:$D,4,0),IFERROR(VLOOKUP($C106,'5-COMP. PROPRIA'!$B$13:$I$518,8,0),""))</f>
        <v>93.76</v>
      </c>
      <c r="I106" s="440">
        <f>H106*'4-BDI'!$E$29</f>
        <v>120.237824</v>
      </c>
      <c r="J106" s="63">
        <f t="shared" ref="J106:J109" si="36">TRUNC(G106*H106,2)</f>
        <v>101.26</v>
      </c>
      <c r="K106" s="190">
        <f t="shared" ref="K106:K109" si="37">TRUNC(G106*I106,2)</f>
        <v>129.85</v>
      </c>
    </row>
    <row r="107" spans="2:11" ht="45">
      <c r="B107" s="14" t="s">
        <v>12742</v>
      </c>
      <c r="C107" s="435">
        <f>QUANT!C359</f>
        <v>92775</v>
      </c>
      <c r="D107" s="435" t="str">
        <f>QUANT!D359</f>
        <v>SINAPI</v>
      </c>
      <c r="E107" s="436" t="str">
        <f>IFERROR(VLOOKUP($C107,'SINAPI JULHO 2018'!$1:$1048576,2,0),IFERROR(VLOOKUP($C107,'5-COMP. PROPRIA'!$B$13:$I$518,4,0),""))</f>
        <v>ARMAÇÃO DE PILAR OU VIGA DE UMA ESTRUTURA CONVENCIONAL DE CONCRETO ARMADO EM UMA EDIFICAÇÃO TÉRREA OU SOBRADO UTILIZANDO AÇO CA-60 DE 5,0 MM - MONTAGEM. AF_12/2015</v>
      </c>
      <c r="F107" s="437" t="str">
        <f>IFERROR(VLOOKUP($C107,'SINAPI JULHO 2018'!$A:$D,3,0),IFERROR(VLOOKUP($C107,'5-COMP. PROPRIA'!$B$13:$I$518,5,0),""))</f>
        <v>KG</v>
      </c>
      <c r="G107" s="438">
        <f>QUANT!K359</f>
        <v>12.244390750000003</v>
      </c>
      <c r="H107" s="439">
        <f>IFERROR(VLOOKUP($C107,'SINAPI JULHO 2018'!$A:$D,4,0),IFERROR(VLOOKUP($C107,'5-COMP. PROPRIA'!$B$13:$I$518,8,0),""))</f>
        <v>11.07</v>
      </c>
      <c r="I107" s="440">
        <f>H107*'4-BDI'!$E$29</f>
        <v>14.196168</v>
      </c>
      <c r="J107" s="63">
        <f t="shared" si="36"/>
        <v>135.54</v>
      </c>
      <c r="K107" s="190">
        <f t="shared" si="37"/>
        <v>173.82</v>
      </c>
    </row>
    <row r="108" spans="2:11" ht="45">
      <c r="B108" s="14" t="s">
        <v>12743</v>
      </c>
      <c r="C108" s="435">
        <f>QUANT!C365</f>
        <v>92761</v>
      </c>
      <c r="D108" s="435" t="str">
        <f>QUANT!D365</f>
        <v>SINAPI</v>
      </c>
      <c r="E108" s="436" t="str">
        <f>IFERROR(VLOOKUP($C108,'SINAPI JULHO 2018'!$1:$1048576,2,0),IFERROR(VLOOKUP($C108,'5-COMP. PROPRIA'!$B$13:$I$518,4,0),""))</f>
        <v>ARMAÇÃO DE PILAR OU VIGA DE UMA ESTRUTURA CONVENCIONAL DE CONCRETO ARMADO EM UM EDIFÍCIO DE MÚLTIPLOS PAVIMENTOS UTILIZANDO AÇO CA-50 DE 8,0 MM - MONTAGEM. AF_12/2015</v>
      </c>
      <c r="F108" s="437" t="str">
        <f>IFERROR(VLOOKUP($C108,'SINAPI JULHO 2018'!$A:$D,3,0),IFERROR(VLOOKUP($C108,'5-COMP. PROPRIA'!$B$13:$I$518,5,0),""))</f>
        <v>KG</v>
      </c>
      <c r="G108" s="438">
        <f>QUANT!K365</f>
        <v>30.9197056</v>
      </c>
      <c r="H108" s="439">
        <f>IFERROR(VLOOKUP($C108,'SINAPI JULHO 2018'!$A:$D,4,0),IFERROR(VLOOKUP($C108,'5-COMP. PROPRIA'!$B$13:$I$518,8,0),""))</f>
        <v>8.0399999999999991</v>
      </c>
      <c r="I108" s="440">
        <f>H108*'4-BDI'!$E$29</f>
        <v>10.310495999999999</v>
      </c>
      <c r="J108" s="63">
        <f t="shared" si="36"/>
        <v>248.59</v>
      </c>
      <c r="K108" s="190">
        <f t="shared" si="37"/>
        <v>318.79000000000002</v>
      </c>
    </row>
    <row r="109" spans="2:11" ht="45">
      <c r="B109" s="14" t="s">
        <v>12744</v>
      </c>
      <c r="C109" s="435">
        <f>QUANT!C371</f>
        <v>92412</v>
      </c>
      <c r="D109" s="435" t="str">
        <f>QUANT!D371</f>
        <v>SINAPI</v>
      </c>
      <c r="E109" s="436" t="str">
        <f>IFERROR(VLOOKUP($C109,'SINAPI JULHO 2018'!$1:$1048576,2,0),IFERROR(VLOOKUP($C109,'5-COMP. PROPRIA'!$B$13:$I$518,4,0),""))</f>
        <v>MONTAGEM E DESMONTAGEM DE FÔRMA DE PILARES RETANGULARES E ESTRUTURAS SIMILARES COM ÁREA MÉDIA DAS SEÇÕES MENOR OU IGUAL A 0,25 M², PÉ-DIREITO SIMPLES, EM MADEIRA SERRADA, 4 UTILIZAÇÕES. AF_12/2015</v>
      </c>
      <c r="F109" s="437" t="str">
        <f>IFERROR(VLOOKUP($C109,'SINAPI JULHO 2018'!$A:$D,3,0),IFERROR(VLOOKUP($C109,'5-COMP. PROPRIA'!$B$13:$I$518,5,0),""))</f>
        <v>M2</v>
      </c>
      <c r="G109" s="438">
        <f>QUANT!K371</f>
        <v>10.8</v>
      </c>
      <c r="H109" s="439">
        <f>IFERROR(VLOOKUP($C109,'SINAPI JULHO 2018'!$A:$D,4,0),IFERROR(VLOOKUP($C109,'5-COMP. PROPRIA'!$B$13:$I$518,8,0),""))</f>
        <v>61.12</v>
      </c>
      <c r="I109" s="440">
        <f>H109*'4-BDI'!$E$29</f>
        <v>78.380287999999993</v>
      </c>
      <c r="J109" s="63">
        <f t="shared" si="36"/>
        <v>660.09</v>
      </c>
      <c r="K109" s="190">
        <f t="shared" si="37"/>
        <v>846.5</v>
      </c>
    </row>
    <row r="110" spans="2:11" ht="18" customHeight="1">
      <c r="B110" s="362" t="s">
        <v>12745</v>
      </c>
      <c r="C110" s="363"/>
      <c r="D110" s="363"/>
      <c r="E110" s="363" t="str">
        <f>QUANT!E376</f>
        <v>ESTRUTURA DE MURETA PARA ALAMBRADO</v>
      </c>
      <c r="F110" s="364"/>
      <c r="G110" s="365"/>
      <c r="H110" s="366"/>
      <c r="I110" s="367"/>
      <c r="J110" s="368"/>
      <c r="K110" s="369"/>
    </row>
    <row r="111" spans="2:11" ht="15" customHeight="1">
      <c r="B111" s="164" t="s">
        <v>12746</v>
      </c>
      <c r="C111" s="96"/>
      <c r="D111" s="96"/>
      <c r="E111" s="96" t="str">
        <f>QUANT!E378</f>
        <v>PILARES</v>
      </c>
      <c r="F111" s="178"/>
      <c r="G111" s="146"/>
      <c r="H111" s="145"/>
      <c r="I111" s="219"/>
      <c r="J111" s="65"/>
      <c r="K111" s="191"/>
    </row>
    <row r="112" spans="2:11" ht="30">
      <c r="B112" s="14" t="s">
        <v>12747</v>
      </c>
      <c r="C112" s="435">
        <f>QUANT!C380</f>
        <v>94965</v>
      </c>
      <c r="D112" s="435" t="str">
        <f>QUANT!D380</f>
        <v>SINAPI</v>
      </c>
      <c r="E112" s="436" t="str">
        <f>IFERROR(VLOOKUP($C112,'SINAPI JULHO 2018'!$1:$1048576,2,0),IFERROR(VLOOKUP($C112,'5-COMP. PROPRIA'!$B$13:$I$518,4,0),""))</f>
        <v>CONCRETO FCK = 25MPA, TRAÇO 1:2,3:2,7 (CIMENTO/ AREIA MÉDIA/ BRITA 1)  - PREPARO MECÂNICO COM BETONEIRA 400 L. AF_07/2016</v>
      </c>
      <c r="F112" s="437" t="str">
        <f>IFERROR(VLOOKUP($C112,'SINAPI JULHO 2018'!$A:$D,3,0),IFERROR(VLOOKUP($C112,'5-COMP. PROPRIA'!$B$13:$I$518,5,0),""))</f>
        <v>M3</v>
      </c>
      <c r="G112" s="438">
        <f>QUANT!K380</f>
        <v>2.5599999999999996</v>
      </c>
      <c r="H112" s="439">
        <f>IFERROR(VLOOKUP($C112,'SINAPI JULHO 2018'!$A:$D,4,0),IFERROR(VLOOKUP($C112,'5-COMP. PROPRIA'!$B$13:$I$518,8,0),""))</f>
        <v>323.45</v>
      </c>
      <c r="I112" s="440">
        <f>H112*'4-BDI'!$E$29</f>
        <v>414.79228000000001</v>
      </c>
      <c r="J112" s="63">
        <f t="shared" ref="J112" si="38">TRUNC(G112*H112,2)</f>
        <v>828.03</v>
      </c>
      <c r="K112" s="190">
        <f t="shared" ref="K112" si="39">TRUNC(G112*I112,2)</f>
        <v>1061.8599999999999</v>
      </c>
    </row>
    <row r="113" spans="2:11" ht="30">
      <c r="B113" s="14" t="s">
        <v>12748</v>
      </c>
      <c r="C113" s="435">
        <f>QUANT!C386</f>
        <v>92873</v>
      </c>
      <c r="D113" s="435" t="str">
        <f>QUANT!D386</f>
        <v>SINAPI</v>
      </c>
      <c r="E113" s="436" t="str">
        <f>IFERROR(VLOOKUP($C113,'SINAPI JULHO 2018'!$1:$1048576,2,0),IFERROR(VLOOKUP($C113,'5-COMP. PROPRIA'!$B$13:$I$518,4,0),""))</f>
        <v>LANÇAMENTO COM USO DE BALDES, ADENSAMENTO E ACABAMENTO DE CONCRETO EM ESTRUTURAS. AF_12/2015</v>
      </c>
      <c r="F113" s="437" t="str">
        <f>IFERROR(VLOOKUP($C113,'SINAPI JULHO 2018'!$A:$D,3,0),IFERROR(VLOOKUP($C113,'5-COMP. PROPRIA'!$B$13:$I$518,5,0),""))</f>
        <v>M3</v>
      </c>
      <c r="G113" s="438">
        <f>QUANT!K386</f>
        <v>2.5599999999999996</v>
      </c>
      <c r="H113" s="439">
        <f>IFERROR(VLOOKUP($C113,'SINAPI JULHO 2018'!$A:$D,4,0),IFERROR(VLOOKUP($C113,'5-COMP. PROPRIA'!$B$13:$I$518,8,0),""))</f>
        <v>145.12</v>
      </c>
      <c r="I113" s="440">
        <f>H113*'4-BDI'!$E$29</f>
        <v>186.101888</v>
      </c>
      <c r="J113" s="63">
        <f t="shared" ref="J113:J116" si="40">TRUNC(G113*H113,2)</f>
        <v>371.5</v>
      </c>
      <c r="K113" s="190">
        <f t="shared" ref="K113:K116" si="41">TRUNC(G113*I113,2)</f>
        <v>476.42</v>
      </c>
    </row>
    <row r="114" spans="2:11" ht="45">
      <c r="B114" s="14" t="s">
        <v>12749</v>
      </c>
      <c r="C114" s="435">
        <f>QUANT!C388</f>
        <v>92775</v>
      </c>
      <c r="D114" s="435" t="str">
        <f>QUANT!D388</f>
        <v>SINAPI</v>
      </c>
      <c r="E114" s="436" t="str">
        <f>IFERROR(VLOOKUP($C114,'SINAPI JULHO 2018'!$1:$1048576,2,0),IFERROR(VLOOKUP($C114,'5-COMP. PROPRIA'!$B$13:$I$518,4,0),""))</f>
        <v>ARMAÇÃO DE PILAR OU VIGA DE UMA ESTRUTURA CONVENCIONAL DE CONCRETO ARMADO EM UMA EDIFICAÇÃO TÉRREA OU SOBRADO UTILIZANDO AÇO CA-60 DE 5,0 MM - MONTAGEM. AF_12/2015</v>
      </c>
      <c r="F114" s="437" t="str">
        <f>IFERROR(VLOOKUP($C114,'SINAPI JULHO 2018'!$A:$D,3,0),IFERROR(VLOOKUP($C114,'5-COMP. PROPRIA'!$B$13:$I$518,5,0),""))</f>
        <v>KG</v>
      </c>
      <c r="G114" s="438">
        <f>QUANT!K388</f>
        <v>43.382240000000017</v>
      </c>
      <c r="H114" s="439">
        <f>IFERROR(VLOOKUP($C114,'SINAPI JULHO 2018'!$A:$D,4,0),IFERROR(VLOOKUP($C114,'5-COMP. PROPRIA'!$B$13:$I$518,8,0),""))</f>
        <v>11.07</v>
      </c>
      <c r="I114" s="440">
        <f>H114*'4-BDI'!$E$29</f>
        <v>14.196168</v>
      </c>
      <c r="J114" s="63">
        <f t="shared" si="40"/>
        <v>480.24</v>
      </c>
      <c r="K114" s="190">
        <f t="shared" si="41"/>
        <v>615.86</v>
      </c>
    </row>
    <row r="115" spans="2:11" ht="45">
      <c r="B115" s="14" t="s">
        <v>12750</v>
      </c>
      <c r="C115" s="435">
        <f>QUANT!C395</f>
        <v>92778</v>
      </c>
      <c r="D115" s="435" t="str">
        <f>QUANT!D395</f>
        <v>SINAPI</v>
      </c>
      <c r="E115" s="436" t="str">
        <f>IFERROR(VLOOKUP($C115,'SINAPI JULHO 2018'!$1:$1048576,2,0),IFERROR(VLOOKUP($C115,'5-COMP. PROPRIA'!$B$13:$I$518,4,0),""))</f>
        <v>ARMAÇÃO DE PILAR OU VIGA DE UMA ESTRUTURA CONVENCIONAL DE CONCRETO ARMADO EM UMA EDIFICAÇÃO TÉRREA OU SOBRADO UTILIZANDO AÇO CA-50 DE 10,0 MM - MONTAGEM. AF_12/2015</v>
      </c>
      <c r="F115" s="437" t="str">
        <f>IFERROR(VLOOKUP($C115,'SINAPI JULHO 2018'!$A:$D,3,0),IFERROR(VLOOKUP($C115,'5-COMP. PROPRIA'!$B$13:$I$518,5,0),""))</f>
        <v>KG</v>
      </c>
      <c r="G115" s="438">
        <f>QUANT!K395</f>
        <v>157.75360000000001</v>
      </c>
      <c r="H115" s="439">
        <f>IFERROR(VLOOKUP($C115,'SINAPI JULHO 2018'!$A:$D,4,0),IFERROR(VLOOKUP($C115,'5-COMP. PROPRIA'!$B$13:$I$518,8,0),""))</f>
        <v>7.43</v>
      </c>
      <c r="I115" s="440">
        <f>H115*'4-BDI'!$E$29</f>
        <v>9.5282319999999991</v>
      </c>
      <c r="J115" s="63">
        <f t="shared" si="40"/>
        <v>1172.0999999999999</v>
      </c>
      <c r="K115" s="190">
        <f t="shared" si="41"/>
        <v>1503.11</v>
      </c>
    </row>
    <row r="116" spans="2:11" ht="45">
      <c r="B116" s="14" t="s">
        <v>12751</v>
      </c>
      <c r="C116" s="435">
        <f>QUANT!C401</f>
        <v>92412</v>
      </c>
      <c r="D116" s="435" t="str">
        <f>QUANT!D401</f>
        <v>SINAPI</v>
      </c>
      <c r="E116" s="436" t="str">
        <f>IFERROR(VLOOKUP($C116,'SINAPI JULHO 2018'!$1:$1048576,2,0),IFERROR(VLOOKUP($C116,'5-COMP. PROPRIA'!$B$13:$I$518,4,0),""))</f>
        <v>MONTAGEM E DESMONTAGEM DE FÔRMA DE PILARES RETANGULARES E ESTRUTURAS SIMILARES COM ÁREA MÉDIA DAS SEÇÕES MENOR OU IGUAL A 0,25 M², PÉ-DIREITO SIMPLES, EM MADEIRA SERRADA, 4 UTILIZAÇÕES. AF_12/2015</v>
      </c>
      <c r="F116" s="437" t="str">
        <f>IFERROR(VLOOKUP($C116,'SINAPI JULHO 2018'!$A:$D,3,0),IFERROR(VLOOKUP($C116,'5-COMP. PROPRIA'!$B$13:$I$518,5,0),""))</f>
        <v>M2</v>
      </c>
      <c r="G116" s="438">
        <f>QUANT!K401</f>
        <v>12.799999999999999</v>
      </c>
      <c r="H116" s="439">
        <f>IFERROR(VLOOKUP($C116,'SINAPI JULHO 2018'!$A:$D,4,0),IFERROR(VLOOKUP($C116,'5-COMP. PROPRIA'!$B$13:$I$518,8,0),""))</f>
        <v>61.12</v>
      </c>
      <c r="I116" s="440">
        <f>H116*'4-BDI'!$E$29</f>
        <v>78.380287999999993</v>
      </c>
      <c r="J116" s="63">
        <f t="shared" si="40"/>
        <v>782.33</v>
      </c>
      <c r="K116" s="190">
        <f t="shared" si="41"/>
        <v>1003.26</v>
      </c>
    </row>
    <row r="117" spans="2:11" ht="15">
      <c r="B117" s="526" t="s">
        <v>12652</v>
      </c>
      <c r="C117" s="527"/>
      <c r="D117" s="527"/>
      <c r="E117" s="527"/>
      <c r="F117" s="527"/>
      <c r="G117" s="527"/>
      <c r="H117" s="527"/>
      <c r="I117" s="294"/>
      <c r="J117" s="192">
        <f>SUM(J99:J116)</f>
        <v>7218.1200000000008</v>
      </c>
      <c r="K117" s="192">
        <f>SUM(K99:K116)</f>
        <v>9256.5499999999993</v>
      </c>
    </row>
    <row r="118" spans="2:11" ht="15">
      <c r="B118" s="305" t="s">
        <v>12752</v>
      </c>
      <c r="C118" s="306"/>
      <c r="D118" s="307"/>
      <c r="E118" s="308" t="str">
        <f>QUANT!E406:J406</f>
        <v>ALAMBRADO</v>
      </c>
      <c r="F118" s="309"/>
      <c r="G118" s="310"/>
      <c r="H118" s="311"/>
      <c r="I118" s="311"/>
      <c r="J118" s="312"/>
      <c r="K118" s="313"/>
    </row>
    <row r="119" spans="2:11" ht="45">
      <c r="B119" s="361" t="s">
        <v>12753</v>
      </c>
      <c r="C119" s="435" t="str">
        <f>QUANT!C408</f>
        <v>CP-ALA-01</v>
      </c>
      <c r="D119" s="435" t="str">
        <f>QUANT!D408</f>
        <v>PRÓRPIA</v>
      </c>
      <c r="E119" s="436" t="str">
        <f>IFERROR(VLOOKUP($C119,'SINAPI JULHO 2018'!$1:$1048576,2,0),IFERROR(VLOOKUP($C119,'5-COMP. PROPRIA'!$B$13:$I$518,4,0),""))</f>
        <v>ALAMBRADO EM TUBOS DE ACO GALVANIZADO, COM COSTURA, DIN 2440, DIAMETRO 2", ALTURA 1,3 M, FIXADOS A CADA 2,5 M, COM TELA DE ARAME GALVANIZADO REVESTIDO COM PVC, FIO 12 BWG E MALHA 7,5X7,5CM</v>
      </c>
      <c r="F119" s="437" t="str">
        <f>IFERROR(VLOOKUP($C119,'SINAPI JULHO 2018'!$A:$D,3,0),IFERROR(VLOOKUP($C119,'5-COMP. PROPRIA'!$B$13:$I$518,5,0),""))</f>
        <v>M2</v>
      </c>
      <c r="G119" s="438">
        <f>QUANT!K408</f>
        <v>271.62</v>
      </c>
      <c r="H119" s="439">
        <f>IFERROR(VLOOKUP($C119,'SINAPI JULHO 2018'!$A:$D,4,0),IFERROR(VLOOKUP($C119,'5-COMP. PROPRIA'!$B$13:$I$518,8,0),""))</f>
        <v>230.83999999999997</v>
      </c>
      <c r="I119" s="440">
        <f>H119*'4-BDI'!$E$29</f>
        <v>296.02921599999996</v>
      </c>
      <c r="J119" s="63">
        <f t="shared" ref="J119:J121" si="42">TRUNC(G119*H119,2)</f>
        <v>62700.76</v>
      </c>
      <c r="K119" s="190">
        <f t="shared" ref="K119:K121" si="43">TRUNC(G119*I119,2)</f>
        <v>80407.45</v>
      </c>
    </row>
    <row r="120" spans="2:11" ht="15">
      <c r="B120" s="361" t="s">
        <v>12754</v>
      </c>
      <c r="C120" s="435" t="str">
        <f>QUANT!C410</f>
        <v>CP-LIX-02</v>
      </c>
      <c r="D120" s="435" t="str">
        <f>QUANT!D410</f>
        <v>PRÓRPIA</v>
      </c>
      <c r="E120" s="436" t="str">
        <f>IFERROR(VLOOKUP($C120,'SINAPI JULHO 2018'!$1:$1048576,2,0),IFERROR(VLOOKUP($C120,'5-COMP. PROPRIA'!$B$13:$I$518,4,0),""))</f>
        <v xml:space="preserve">LIXAMENTO DE SUPERFICIE METÁLICA </v>
      </c>
      <c r="F120" s="437" t="str">
        <f>IFERROR(VLOOKUP($C120,'SINAPI JULHO 2018'!$A:$D,3,0),IFERROR(VLOOKUP($C120,'5-COMP. PROPRIA'!$B$13:$I$518,5,0),""))</f>
        <v>M2</v>
      </c>
      <c r="G120" s="438">
        <f>QUANT!K410</f>
        <v>543.24</v>
      </c>
      <c r="H120" s="439">
        <f>IFERROR(VLOOKUP($C120,'SINAPI JULHO 2018'!$A:$D,4,0),IFERROR(VLOOKUP($C120,'5-COMP. PROPRIA'!$B$13:$I$518,8,0),""))</f>
        <v>4.66</v>
      </c>
      <c r="I120" s="440">
        <f>H120*'4-BDI'!$E$29</f>
        <v>5.9759840000000004</v>
      </c>
      <c r="J120" s="63">
        <f t="shared" ref="J120" si="44">TRUNC(G120*H120,2)</f>
        <v>2531.4899999999998</v>
      </c>
      <c r="K120" s="190">
        <f t="shared" ref="K120" si="45">TRUNC(G120*I120,2)</f>
        <v>3246.39</v>
      </c>
    </row>
    <row r="121" spans="2:11" ht="15">
      <c r="B121" s="361" t="s">
        <v>12755</v>
      </c>
      <c r="C121" s="435" t="str">
        <f>QUANT!C412</f>
        <v>73924/1</v>
      </c>
      <c r="D121" s="435" t="str">
        <f>QUANT!D412</f>
        <v>SINAPI</v>
      </c>
      <c r="E121" s="436" t="str">
        <f>IFERROR(VLOOKUP($C121,'SINAPI JULHO 2018'!$1:$1048576,2,0),IFERROR(VLOOKUP($C121,'5-COMP. PROPRIA'!$B$13:$I$518,4,0),""))</f>
        <v>PINTURA ESMALTE ALTO BRILHO, DUAS DEMAOS, SOBRE SUPERFICIE METALICA</v>
      </c>
      <c r="F121" s="437" t="str">
        <f>IFERROR(VLOOKUP($C121,'SINAPI JULHO 2018'!$A:$D,3,0),IFERROR(VLOOKUP($C121,'5-COMP. PROPRIA'!$B$13:$I$518,5,0),""))</f>
        <v>M2</v>
      </c>
      <c r="G121" s="438">
        <f>QUANT!K412</f>
        <v>543.24</v>
      </c>
      <c r="H121" s="439">
        <f>IFERROR(VLOOKUP($C121,'SINAPI JULHO 2018'!$A:$D,4,0),IFERROR(VLOOKUP($C121,'5-COMP. PROPRIA'!$B$13:$I$518,8,0),""))</f>
        <v>21.24</v>
      </c>
      <c r="I121" s="440">
        <f>H121*'4-BDI'!$E$29</f>
        <v>27.238175999999999</v>
      </c>
      <c r="J121" s="63">
        <f t="shared" si="42"/>
        <v>11538.41</v>
      </c>
      <c r="K121" s="190">
        <f t="shared" si="43"/>
        <v>14796.86</v>
      </c>
    </row>
    <row r="122" spans="2:11" ht="15">
      <c r="B122" s="526" t="s">
        <v>12756</v>
      </c>
      <c r="C122" s="527"/>
      <c r="D122" s="527"/>
      <c r="E122" s="527"/>
      <c r="F122" s="527"/>
      <c r="G122" s="527"/>
      <c r="H122" s="527"/>
      <c r="I122" s="294"/>
      <c r="J122" s="189">
        <f>TRUNC(SUM(J119:J121),2)</f>
        <v>76770.66</v>
      </c>
      <c r="K122" s="192">
        <f>TRUNC(SUM(K119:K121),2)</f>
        <v>98450.7</v>
      </c>
    </row>
    <row r="123" spans="2:11" ht="15">
      <c r="B123" s="305" t="s">
        <v>12757</v>
      </c>
      <c r="C123" s="306"/>
      <c r="D123" s="307"/>
      <c r="E123" s="308" t="str">
        <f>QUANT!E414</f>
        <v xml:space="preserve">MURETA </v>
      </c>
      <c r="F123" s="309"/>
      <c r="G123" s="310"/>
      <c r="H123" s="311"/>
      <c r="I123" s="311"/>
      <c r="J123" s="312"/>
      <c r="K123" s="313"/>
    </row>
    <row r="124" spans="2:11" ht="60">
      <c r="B124" s="13" t="s">
        <v>12758</v>
      </c>
      <c r="C124" s="435">
        <f>QUANT!C416</f>
        <v>89978</v>
      </c>
      <c r="D124" s="435" t="str">
        <f>QUANT!D416</f>
        <v>SINAPI</v>
      </c>
      <c r="E124" s="436" t="str">
        <f>IFERROR(VLOOKUP($C124,'SINAPI JULHO 2018'!$1:$1048576,2,0),IFERROR(VLOOKUP($C124,'5-COMP. PROPRIA'!$B$13:$I$518,4,0),""))</f>
        <v>(COMPOSIÇÃO REPRESENTATIVA) DO SERVIÇO DE ALVENARIA DE VEDAÇÃO DE BLOCOS VAZADOS DE CONCRETO DE 14X19X39CM (ESPESSURA 14CM), PARA EDIFICAÇÃO HABITACIONAL UNIFAMILIAR (CASA) E EDIFICAÇÃO PÚBLICA PADRÃO. AF_12/2014</v>
      </c>
      <c r="F124" s="437" t="str">
        <f>IFERROR(VLOOKUP($C124,'SINAPI JULHO 2018'!$A:$D,3,0),IFERROR(VLOOKUP($C124,'5-COMP. PROPRIA'!$B$13:$I$518,5,0),""))</f>
        <v>M2</v>
      </c>
      <c r="G124" s="438">
        <f>QUANT!K416</f>
        <v>124.03999999999998</v>
      </c>
      <c r="H124" s="439">
        <f>IFERROR(VLOOKUP($C124,'SINAPI JULHO 2018'!$A:$D,4,0),IFERROR(VLOOKUP($C124,'5-COMP. PROPRIA'!$B$13:$I$518,8,0),""))</f>
        <v>60.55</v>
      </c>
      <c r="I124" s="440">
        <f>H124*'4-BDI'!$E$29</f>
        <v>77.649319999999989</v>
      </c>
      <c r="J124" s="63">
        <f t="shared" ref="J124:J126" si="46">TRUNC(G124*H124,2)</f>
        <v>7510.62</v>
      </c>
      <c r="K124" s="190">
        <f t="shared" ref="K124:K126" si="47">TRUNC(G124*I124,2)</f>
        <v>9631.6200000000008</v>
      </c>
    </row>
    <row r="125" spans="2:11" ht="30">
      <c r="B125" s="13" t="s">
        <v>12759</v>
      </c>
      <c r="C125" s="435">
        <f>QUANT!C418</f>
        <v>88485</v>
      </c>
      <c r="D125" s="435" t="str">
        <f>QUANT!D418</f>
        <v>SINAPI</v>
      </c>
      <c r="E125" s="436" t="str">
        <f>IFERROR(VLOOKUP($C125,'SINAPI JULHO 2018'!$1:$1048576,2,0),IFERROR(VLOOKUP($C125,'5-COMP. PROPRIA'!$B$13:$I$518,4,0),""))</f>
        <v>APLICAÇÃO DE FUNDO SELADOR ACRÍLICO EM PAREDES, UMA DEMÃO. AF_06/2014</v>
      </c>
      <c r="F125" s="437" t="str">
        <f>IFERROR(VLOOKUP($C125,'SINAPI JULHO 2018'!$A:$D,3,0),IFERROR(VLOOKUP($C125,'5-COMP. PROPRIA'!$B$13:$I$518,5,0),""))</f>
        <v>M2</v>
      </c>
      <c r="G125" s="438">
        <f>QUANT!K418</f>
        <v>281.67999999999995</v>
      </c>
      <c r="H125" s="439">
        <f>IFERROR(VLOOKUP($C125,'SINAPI JULHO 2018'!$A:$D,4,0),IFERROR(VLOOKUP($C125,'5-COMP. PROPRIA'!$B$13:$I$518,8,0),""))</f>
        <v>1.6</v>
      </c>
      <c r="I125" s="440">
        <f>H125*'4-BDI'!$E$29</f>
        <v>2.0518399999999999</v>
      </c>
      <c r="J125" s="63">
        <f t="shared" si="46"/>
        <v>450.68</v>
      </c>
      <c r="K125" s="190">
        <f t="shared" si="47"/>
        <v>577.96</v>
      </c>
    </row>
    <row r="126" spans="2:11" ht="30">
      <c r="B126" s="13" t="s">
        <v>12760</v>
      </c>
      <c r="C126" s="435">
        <f>QUANT!C420</f>
        <v>88489</v>
      </c>
      <c r="D126" s="435" t="str">
        <f>QUANT!D420</f>
        <v>SINAPI</v>
      </c>
      <c r="E126" s="436" t="str">
        <f>IFERROR(VLOOKUP($C126,'SINAPI JULHO 2018'!$1:$1048576,2,0),IFERROR(VLOOKUP($C126,'5-COMP. PROPRIA'!$B$13:$I$518,4,0),""))</f>
        <v>APLICAÇÃO MANUAL DE PINTURA COM TINTA LÁTEX ACRÍLICA EM PAREDES, DUAS DEMÃOS. AF_06/2014</v>
      </c>
      <c r="F126" s="437" t="str">
        <f>IFERROR(VLOOKUP($C126,'SINAPI JULHO 2018'!$A:$D,3,0),IFERROR(VLOOKUP($C126,'5-COMP. PROPRIA'!$B$13:$I$518,5,0),""))</f>
        <v>M2</v>
      </c>
      <c r="G126" s="438">
        <f>QUANT!K420</f>
        <v>281.67999999999995</v>
      </c>
      <c r="H126" s="439">
        <f>IFERROR(VLOOKUP($C126,'SINAPI JULHO 2018'!$A:$D,4,0),IFERROR(VLOOKUP($C126,'5-COMP. PROPRIA'!$B$13:$I$518,8,0),""))</f>
        <v>9.69</v>
      </c>
      <c r="I126" s="440">
        <f>H126*'4-BDI'!$E$29</f>
        <v>12.426456</v>
      </c>
      <c r="J126" s="63">
        <f t="shared" si="46"/>
        <v>2729.47</v>
      </c>
      <c r="K126" s="190">
        <f t="shared" si="47"/>
        <v>3500.28</v>
      </c>
    </row>
    <row r="127" spans="2:11" ht="15">
      <c r="B127" s="526" t="s">
        <v>12756</v>
      </c>
      <c r="C127" s="527"/>
      <c r="D127" s="527"/>
      <c r="E127" s="527"/>
      <c r="F127" s="527"/>
      <c r="G127" s="527"/>
      <c r="H127" s="527"/>
      <c r="I127" s="294"/>
      <c r="J127" s="189">
        <f>SUM(J124:J126)</f>
        <v>10690.77</v>
      </c>
      <c r="K127" s="192">
        <f>SUM(K124:K126)</f>
        <v>13709.860000000002</v>
      </c>
    </row>
    <row r="128" spans="2:11" ht="15">
      <c r="B128" s="305" t="s">
        <v>12761</v>
      </c>
      <c r="C128" s="306"/>
      <c r="D128" s="307"/>
      <c r="E128" s="308" t="str">
        <f>QUANT!E422</f>
        <v>REFORMA DE VESTIARIOS E BILHETERIA EXISTENTES</v>
      </c>
      <c r="F128" s="309"/>
      <c r="G128" s="310"/>
      <c r="H128" s="311"/>
      <c r="I128" s="311"/>
      <c r="J128" s="312"/>
      <c r="K128" s="313"/>
    </row>
    <row r="129" spans="2:11" ht="15">
      <c r="B129" s="362" t="s">
        <v>12762</v>
      </c>
      <c r="C129" s="363"/>
      <c r="D129" s="363"/>
      <c r="E129" s="363" t="str">
        <f>QUANT!E424</f>
        <v>RETIRADAS</v>
      </c>
      <c r="F129" s="364"/>
      <c r="G129" s="365"/>
      <c r="H129" s="366"/>
      <c r="I129" s="367"/>
      <c r="J129" s="368"/>
      <c r="K129" s="369"/>
    </row>
    <row r="130" spans="2:11" ht="30">
      <c r="B130" s="13" t="s">
        <v>12763</v>
      </c>
      <c r="C130" s="435">
        <f>QUANT!C426</f>
        <v>97647</v>
      </c>
      <c r="D130" s="435" t="str">
        <f>QUANT!D426</f>
        <v>SINAPI</v>
      </c>
      <c r="E130" s="436" t="str">
        <f>IFERROR(VLOOKUP($C130,'SINAPI JULHO 2018'!$1:$1048576,2,0),IFERROR(VLOOKUP($C130,'5-COMP. PROPRIA'!$B$13:$I$518,4,0),""))</f>
        <v>REMOÇÃO DE TELHAS, DE FIBROCIMENTO, METÁLICA E CERÂMICA, DE FORMA MANUAL, SEM REAPROVEITAMENTO. AF_12/2017</v>
      </c>
      <c r="F130" s="437" t="str">
        <f>IFERROR(VLOOKUP($C130,'SINAPI JULHO 2018'!$A:$D,3,0),IFERROR(VLOOKUP($C130,'5-COMP. PROPRIA'!$B$13:$I$518,5,0),""))</f>
        <v>M2</v>
      </c>
      <c r="G130" s="438">
        <f>QUANT!K426</f>
        <v>206.8</v>
      </c>
      <c r="H130" s="439">
        <f>IFERROR(VLOOKUP($C130,'SINAPI JULHO 2018'!$A:$D,4,0),IFERROR(VLOOKUP($C130,'5-COMP. PROPRIA'!$B$13:$I$518,8,0),""))</f>
        <v>2.2999999999999998</v>
      </c>
      <c r="I130" s="440">
        <f>H130*'4-BDI'!$E$29</f>
        <v>2.9495199999999997</v>
      </c>
      <c r="J130" s="63">
        <f t="shared" ref="J130" si="48">TRUNC(G130*H130,2)</f>
        <v>475.64</v>
      </c>
      <c r="K130" s="190">
        <f t="shared" ref="K130" si="49">TRUNC(G130*I130,2)</f>
        <v>609.96</v>
      </c>
    </row>
    <row r="131" spans="2:11" ht="30">
      <c r="B131" s="13" t="s">
        <v>12764</v>
      </c>
      <c r="C131" s="435">
        <f>QUANT!C430</f>
        <v>97650</v>
      </c>
      <c r="D131" s="435" t="str">
        <f>QUANT!D430</f>
        <v>SINAPI</v>
      </c>
      <c r="E131" s="436" t="str">
        <f>IFERROR(VLOOKUP($C131,'SINAPI JULHO 2018'!$1:$1048576,2,0),IFERROR(VLOOKUP($C131,'5-COMP. PROPRIA'!$B$13:$I$518,4,0),""))</f>
        <v>REMOÇÃO DE TRAMA DE MADEIRA PARA COBERTURA, DE FORMA MANUAL, SEM REAPROVEITAMENTO. AF_12/2017</v>
      </c>
      <c r="F131" s="437" t="str">
        <f>IFERROR(VLOOKUP($C131,'SINAPI JULHO 2018'!$A:$D,3,0),IFERROR(VLOOKUP($C131,'5-COMP. PROPRIA'!$B$13:$I$518,5,0),""))</f>
        <v>M2</v>
      </c>
      <c r="G131" s="438">
        <f>QUANT!K430</f>
        <v>206.8</v>
      </c>
      <c r="H131" s="439">
        <f>IFERROR(VLOOKUP($C131,'SINAPI JULHO 2018'!$A:$D,4,0),IFERROR(VLOOKUP($C131,'5-COMP. PROPRIA'!$B$13:$I$518,8,0),""))</f>
        <v>4.96</v>
      </c>
      <c r="I131" s="440">
        <f>H131*'4-BDI'!$E$29</f>
        <v>6.3607040000000001</v>
      </c>
      <c r="J131" s="63">
        <f t="shared" ref="J131:J137" si="50">TRUNC(G131*H131,2)</f>
        <v>1025.72</v>
      </c>
      <c r="K131" s="190">
        <f t="shared" ref="K131:K137" si="51">TRUNC(G131*I131,2)</f>
        <v>1315.39</v>
      </c>
    </row>
    <row r="132" spans="2:11" ht="30">
      <c r="B132" s="13" t="s">
        <v>12765</v>
      </c>
      <c r="C132" s="435">
        <f>QUANT!C434</f>
        <v>97651</v>
      </c>
      <c r="D132" s="435" t="str">
        <f>QUANT!D434</f>
        <v>SINAPI</v>
      </c>
      <c r="E132" s="436" t="str">
        <f>IFERROR(VLOOKUP($C132,'SINAPI JULHO 2018'!$1:$1048576,2,0),IFERROR(VLOOKUP($C132,'5-COMP. PROPRIA'!$B$13:$I$518,4,0),""))</f>
        <v>REMOÇÃO DE TESOURAS DE MADEIRA, COM VÃO MENOR QUE 8M, DE FORMA MANUAL, SEM REAPROVEITAMENTO. AF_12/2017</v>
      </c>
      <c r="F132" s="437" t="str">
        <f>IFERROR(VLOOKUP($C132,'SINAPI JULHO 2018'!$A:$D,3,0),IFERROR(VLOOKUP($C132,'5-COMP. PROPRIA'!$B$13:$I$518,5,0),""))</f>
        <v>UN</v>
      </c>
      <c r="G132" s="438">
        <f>QUANT!K434</f>
        <v>30</v>
      </c>
      <c r="H132" s="439">
        <f>IFERROR(VLOOKUP($C132,'SINAPI JULHO 2018'!$A:$D,4,0),IFERROR(VLOOKUP($C132,'5-COMP. PROPRIA'!$B$13:$I$518,8,0),""))</f>
        <v>54.92</v>
      </c>
      <c r="I132" s="440">
        <f>H132*'4-BDI'!$E$29</f>
        <v>70.429407999999995</v>
      </c>
      <c r="J132" s="63">
        <f t="shared" si="50"/>
        <v>1647.6</v>
      </c>
      <c r="K132" s="190">
        <f t="shared" si="51"/>
        <v>2112.88</v>
      </c>
    </row>
    <row r="133" spans="2:11" ht="30">
      <c r="B133" s="13" t="s">
        <v>12766</v>
      </c>
      <c r="C133" s="435">
        <f>QUANT!C438</f>
        <v>97645</v>
      </c>
      <c r="D133" s="435" t="str">
        <f>QUANT!D438</f>
        <v>SINAPI</v>
      </c>
      <c r="E133" s="436" t="str">
        <f>IFERROR(VLOOKUP($C133,'SINAPI JULHO 2018'!$1:$1048576,2,0),IFERROR(VLOOKUP($C133,'5-COMP. PROPRIA'!$B$13:$I$518,4,0),""))</f>
        <v>REMOÇÃO DE JANELAS, DE FORMA MANUAL, SEM REAPROVEITAMENTO. AF_12/2017</v>
      </c>
      <c r="F133" s="437" t="str">
        <f>IFERROR(VLOOKUP($C133,'SINAPI JULHO 2018'!$A:$D,3,0),IFERROR(VLOOKUP($C133,'5-COMP. PROPRIA'!$B$13:$I$518,5,0),""))</f>
        <v>M2</v>
      </c>
      <c r="G133" s="438">
        <f>QUANT!K438</f>
        <v>12.200000000000001</v>
      </c>
      <c r="H133" s="439">
        <f>IFERROR(VLOOKUP($C133,'SINAPI JULHO 2018'!$A:$D,4,0),IFERROR(VLOOKUP($C133,'5-COMP. PROPRIA'!$B$13:$I$518,8,0),""))</f>
        <v>17.64</v>
      </c>
      <c r="I133" s="440">
        <f>H133*'4-BDI'!$E$29</f>
        <v>22.621535999999999</v>
      </c>
      <c r="J133" s="63">
        <f t="shared" si="50"/>
        <v>215.2</v>
      </c>
      <c r="K133" s="190">
        <f t="shared" si="51"/>
        <v>275.98</v>
      </c>
    </row>
    <row r="134" spans="2:11" ht="30">
      <c r="B134" s="13" t="s">
        <v>12767</v>
      </c>
      <c r="C134" s="435">
        <f>QUANT!C442</f>
        <v>97644</v>
      </c>
      <c r="D134" s="435" t="str">
        <f>QUANT!D442</f>
        <v>SINAPI</v>
      </c>
      <c r="E134" s="436" t="str">
        <f>IFERROR(VLOOKUP($C134,'SINAPI JULHO 2018'!$1:$1048576,2,0),IFERROR(VLOOKUP($C134,'5-COMP. PROPRIA'!$B$13:$I$518,4,0),""))</f>
        <v>REMOÇÃO DE PORTAS, DE FORMA MANUAL, SEM REAPROVEITAMENTO. AF_12/2017</v>
      </c>
      <c r="F134" s="437" t="str">
        <f>IFERROR(VLOOKUP($C134,'SINAPI JULHO 2018'!$A:$D,3,0),IFERROR(VLOOKUP($C134,'5-COMP. PROPRIA'!$B$13:$I$518,5,0),""))</f>
        <v>M2</v>
      </c>
      <c r="G134" s="438">
        <f>QUANT!K442</f>
        <v>22.92</v>
      </c>
      <c r="H134" s="439">
        <f>IFERROR(VLOOKUP($C134,'SINAPI JULHO 2018'!$A:$D,4,0),IFERROR(VLOOKUP($C134,'5-COMP. PROPRIA'!$B$13:$I$518,8,0),""))</f>
        <v>6</v>
      </c>
      <c r="I134" s="440">
        <f>H134*'4-BDI'!$E$29</f>
        <v>7.6943999999999999</v>
      </c>
      <c r="J134" s="63">
        <f t="shared" si="50"/>
        <v>137.52000000000001</v>
      </c>
      <c r="K134" s="190">
        <f t="shared" si="51"/>
        <v>176.35</v>
      </c>
    </row>
    <row r="135" spans="2:11" ht="15">
      <c r="B135" s="13" t="s">
        <v>12768</v>
      </c>
      <c r="C135" s="435" t="str">
        <f>QUANT!C446</f>
        <v>CP-DEM-02</v>
      </c>
      <c r="D135" s="435" t="str">
        <f>QUANT!D446</f>
        <v>PRÓRPIA</v>
      </c>
      <c r="E135" s="436" t="str">
        <f>IFERROR(VLOOKUP($C135,'SINAPI JULHO 2018'!$1:$1048576,2,0),IFERROR(VLOOKUP($C135,'5-COMP. PROPRIA'!$B$13:$I$518,4,0),""))</f>
        <v xml:space="preserve">REMOÇÃO DE PEÇAS DE SANITÁRIAS </v>
      </c>
      <c r="F135" s="437" t="str">
        <f>IFERROR(VLOOKUP($C135,'SINAPI JULHO 2018'!$A:$D,3,0),IFERROR(VLOOKUP($C135,'5-COMP. PROPRIA'!$B$13:$I$518,5,0),""))</f>
        <v>UNI</v>
      </c>
      <c r="G135" s="438">
        <f>QUANT!K446</f>
        <v>15</v>
      </c>
      <c r="H135" s="439">
        <f>IFERROR(VLOOKUP($C135,'SINAPI JULHO 2018'!$A:$D,4,0),IFERROR(VLOOKUP($C135,'5-COMP. PROPRIA'!$B$13:$I$518,8,0),""))</f>
        <v>16.16</v>
      </c>
      <c r="I135" s="440">
        <f>H135*'4-BDI'!$E$29</f>
        <v>20.723583999999999</v>
      </c>
      <c r="J135" s="63">
        <f t="shared" si="50"/>
        <v>242.4</v>
      </c>
      <c r="K135" s="190">
        <f t="shared" si="51"/>
        <v>310.85000000000002</v>
      </c>
    </row>
    <row r="136" spans="2:11" ht="15">
      <c r="B136" s="13" t="s">
        <v>12769</v>
      </c>
      <c r="C136" s="435">
        <f>QUANT!C450</f>
        <v>72897</v>
      </c>
      <c r="D136" s="435" t="str">
        <f>QUANT!D450</f>
        <v>SINAPI</v>
      </c>
      <c r="E136" s="436" t="str">
        <f>IFERROR(VLOOKUP($C136,'SINAPI JULHO 2018'!$1:$1048576,2,0),IFERROR(VLOOKUP($C136,'5-COMP. PROPRIA'!$B$13:$I$518,4,0),""))</f>
        <v>CARGA MANUAL DE ENTULHO EM CAMINHAO BASCULANTE 6 M3</v>
      </c>
      <c r="F136" s="437" t="str">
        <f>IFERROR(VLOOKUP($C136,'SINAPI JULHO 2018'!$A:$D,3,0),IFERROR(VLOOKUP($C136,'5-COMP. PROPRIA'!$B$13:$I$518,5,0),""))</f>
        <v>M3</v>
      </c>
      <c r="G136" s="438">
        <f>QUANT!K450</f>
        <v>26.1768</v>
      </c>
      <c r="H136" s="439">
        <f>IFERROR(VLOOKUP($C136,'SINAPI JULHO 2018'!$A:$D,4,0),IFERROR(VLOOKUP($C136,'5-COMP. PROPRIA'!$B$13:$I$518,8,0),""))</f>
        <v>17.34</v>
      </c>
      <c r="I136" s="440">
        <f>H136*'4-BDI'!$E$29</f>
        <v>22.236816000000001</v>
      </c>
      <c r="J136" s="63">
        <f t="shared" si="50"/>
        <v>453.9</v>
      </c>
      <c r="K136" s="190">
        <f t="shared" si="51"/>
        <v>582.08000000000004</v>
      </c>
    </row>
    <row r="137" spans="2:11" ht="30">
      <c r="B137" s="13" t="s">
        <v>12770</v>
      </c>
      <c r="C137" s="435">
        <f>QUANT!C454</f>
        <v>97914</v>
      </c>
      <c r="D137" s="435" t="str">
        <f>QUANT!D454</f>
        <v>SINAPI</v>
      </c>
      <c r="E137" s="436" t="str">
        <f>IFERROR(VLOOKUP($C137,'SINAPI JULHO 2018'!$1:$1048576,2,0),IFERROR(VLOOKUP($C137,'5-COMP. PROPRIA'!$B$13:$I$518,4,0),""))</f>
        <v>TRANSPORTE COM CAMINHÃO BASCULANTE DE 6 M3, EM VIA URBANA PAVIMENTADA, DMT ATÉ 30 KM (UNIDADE: M3XKM). AF_01/2018</v>
      </c>
      <c r="F137" s="437" t="str">
        <f>IFERROR(VLOOKUP($C137,'SINAPI JULHO 2018'!$A:$D,3,0),IFERROR(VLOOKUP($C137,'5-COMP. PROPRIA'!$B$13:$I$518,5,0),""))</f>
        <v>M3XKM</v>
      </c>
      <c r="G137" s="438">
        <f>QUANT!K454</f>
        <v>196.32599999999999</v>
      </c>
      <c r="H137" s="439">
        <f>IFERROR(VLOOKUP($C137,'SINAPI JULHO 2018'!$A:$D,4,0),IFERROR(VLOOKUP($C137,'5-COMP. PROPRIA'!$B$13:$I$518,8,0),""))</f>
        <v>1.52</v>
      </c>
      <c r="I137" s="440">
        <f>H137*'4-BDI'!$E$29</f>
        <v>1.9492480000000001</v>
      </c>
      <c r="J137" s="63">
        <f t="shared" si="50"/>
        <v>298.41000000000003</v>
      </c>
      <c r="K137" s="190">
        <f t="shared" si="51"/>
        <v>382.68</v>
      </c>
    </row>
    <row r="138" spans="2:11" ht="15">
      <c r="B138" s="362" t="s">
        <v>12771</v>
      </c>
      <c r="C138" s="363"/>
      <c r="D138" s="363"/>
      <c r="E138" s="363" t="str">
        <f>QUANT!E458</f>
        <v>REVESTIMENTO E PINTURAS INTERNAS</v>
      </c>
      <c r="F138" s="364"/>
      <c r="G138" s="365"/>
      <c r="H138" s="366"/>
      <c r="I138" s="367"/>
      <c r="J138" s="368"/>
      <c r="K138" s="369"/>
    </row>
    <row r="139" spans="2:11" ht="15">
      <c r="B139" s="14" t="s">
        <v>12772</v>
      </c>
      <c r="C139" s="435">
        <f>QUANT!C460</f>
        <v>84084</v>
      </c>
      <c r="D139" s="435" t="str">
        <f>QUANT!D460</f>
        <v>SINAPI</v>
      </c>
      <c r="E139" s="436" t="str">
        <f>IFERROR(VLOOKUP($C139,'SINAPI JULHO 2018'!$1:$1048576,2,0),IFERROR(VLOOKUP($C139,'5-COMP. PROPRIA'!$B$13:$I$518,4,0),""))</f>
        <v>APICOAMENTO MANUAL DE SUPERFICIE DE CONCRETO</v>
      </c>
      <c r="F139" s="437" t="str">
        <f>IFERROR(VLOOKUP($C139,'SINAPI JULHO 2018'!$A:$D,3,0),IFERROR(VLOOKUP($C139,'5-COMP. PROPRIA'!$B$13:$I$518,5,0),""))</f>
        <v>M2</v>
      </c>
      <c r="G139" s="438">
        <f>QUANT!K460</f>
        <v>137.46</v>
      </c>
      <c r="H139" s="439">
        <f>IFERROR(VLOOKUP($C139,'SINAPI JULHO 2018'!$A:$D,4,0),IFERROR(VLOOKUP($C139,'5-COMP. PROPRIA'!$B$13:$I$518,8,0),""))</f>
        <v>5.72</v>
      </c>
      <c r="I139" s="440">
        <f>H139*'4-BDI'!$E$29</f>
        <v>7.3353279999999996</v>
      </c>
      <c r="J139" s="63">
        <f t="shared" ref="J139" si="52">TRUNC(G139*H139,2)</f>
        <v>786.27</v>
      </c>
      <c r="K139" s="190">
        <f t="shared" ref="K139" si="53">TRUNC(G139*I139,2)</f>
        <v>1008.31</v>
      </c>
    </row>
    <row r="140" spans="2:11" ht="60">
      <c r="B140" s="14" t="s">
        <v>12773</v>
      </c>
      <c r="C140" s="435">
        <f>QUANT!C462</f>
        <v>87529</v>
      </c>
      <c r="D140" s="435" t="str">
        <f>QUANT!D462</f>
        <v>SINAPI</v>
      </c>
      <c r="E140" s="436" t="str">
        <f>IFERROR(VLOOKUP($C140,'SINAPI JULHO 2018'!$1:$1048576,2,0),IFERROR(VLOOKUP($C140,'5-COMP. PROPRIA'!$B$13:$I$518,4,0),""))</f>
        <v>MASSA ÚNICA, PARA RECEBIMENTO DE PINTURA, EM ARGAMASSA TRAÇO 1:2:8, PREPARO MECÂNICO COM BETONEIRA 400L, APLICADA MANUALMENTE EM FACES INTERNAS DE PAREDES, ESPESSURA DE 20MM, COM EXECUÇÃO DE TALISCAS. AF_06/2014</v>
      </c>
      <c r="F140" s="437" t="str">
        <f>IFERROR(VLOOKUP($C140,'SINAPI JULHO 2018'!$A:$D,3,0),IFERROR(VLOOKUP($C140,'5-COMP. PROPRIA'!$B$13:$I$518,5,0),""))</f>
        <v>M2</v>
      </c>
      <c r="G140" s="438">
        <f>QUANT!K462</f>
        <v>137.46</v>
      </c>
      <c r="H140" s="439">
        <f>IFERROR(VLOOKUP($C140,'SINAPI JULHO 2018'!$A:$D,4,0),IFERROR(VLOOKUP($C140,'5-COMP. PROPRIA'!$B$13:$I$518,8,0),""))</f>
        <v>23.86</v>
      </c>
      <c r="I140" s="440">
        <f>H140*'4-BDI'!$E$29</f>
        <v>30.598063999999997</v>
      </c>
      <c r="J140" s="63">
        <f t="shared" ref="J140:J143" si="54">TRUNC(G140*H140,2)</f>
        <v>3279.79</v>
      </c>
      <c r="K140" s="190">
        <f t="shared" ref="K140:K143" si="55">TRUNC(G140*I140,2)</f>
        <v>4206</v>
      </c>
    </row>
    <row r="141" spans="2:11" ht="15">
      <c r="B141" s="14" t="s">
        <v>12774</v>
      </c>
      <c r="C141" s="435" t="str">
        <f>QUANT!C464</f>
        <v>CP-LIX-01</v>
      </c>
      <c r="D141" s="435" t="str">
        <f>QUANT!D464</f>
        <v>PRÓRPIA</v>
      </c>
      <c r="E141" s="436" t="str">
        <f>IFERROR(VLOOKUP($C141,'SINAPI JULHO 2018'!$1:$1048576,2,0),IFERROR(VLOOKUP($C141,'5-COMP. PROPRIA'!$B$13:$I$518,4,0),""))</f>
        <v>LIXAMENTO MANUAL DE CONCRETO APARENTE</v>
      </c>
      <c r="F141" s="437" t="str">
        <f>IFERROR(VLOOKUP($C141,'SINAPI JULHO 2018'!$A:$D,3,0),IFERROR(VLOOKUP($C141,'5-COMP. PROPRIA'!$B$13:$I$518,5,0),""))</f>
        <v>M2</v>
      </c>
      <c r="G141" s="438">
        <f>QUANT!K464</f>
        <v>687.30000000000018</v>
      </c>
      <c r="H141" s="439">
        <f>IFERROR(VLOOKUP($C141,'SINAPI JULHO 2018'!$A:$D,4,0),IFERROR(VLOOKUP($C141,'5-COMP. PROPRIA'!$B$13:$I$518,8,0),""))</f>
        <v>3.7700000000000005</v>
      </c>
      <c r="I141" s="440">
        <f>H141*'4-BDI'!$E$29</f>
        <v>4.8346480000000005</v>
      </c>
      <c r="J141" s="63">
        <f t="shared" si="54"/>
        <v>2591.12</v>
      </c>
      <c r="K141" s="190">
        <f t="shared" si="55"/>
        <v>3322.85</v>
      </c>
    </row>
    <row r="142" spans="2:11" ht="30">
      <c r="B142" s="14" t="s">
        <v>12775</v>
      </c>
      <c r="C142" s="435">
        <f>QUANT!C466</f>
        <v>88495</v>
      </c>
      <c r="D142" s="435" t="str">
        <f>QUANT!D466</f>
        <v>SINAPI</v>
      </c>
      <c r="E142" s="436" t="str">
        <f>IFERROR(VLOOKUP($C142,'SINAPI JULHO 2018'!$1:$1048576,2,0),IFERROR(VLOOKUP($C142,'5-COMP. PROPRIA'!$B$13:$I$518,4,0),""))</f>
        <v>APLICAÇÃO E LIXAMENTO DE MASSA LÁTEX EM PAREDES, UMA DEMÃO. AF_06/2014</v>
      </c>
      <c r="F142" s="437" t="str">
        <f>IFERROR(VLOOKUP($C142,'SINAPI JULHO 2018'!$A:$D,3,0),IFERROR(VLOOKUP($C142,'5-COMP. PROPRIA'!$B$13:$I$518,5,0),""))</f>
        <v>M2</v>
      </c>
      <c r="G142" s="438">
        <f>QUANT!K466</f>
        <v>687.30000000000018</v>
      </c>
      <c r="H142" s="439">
        <f>IFERROR(VLOOKUP($C142,'SINAPI JULHO 2018'!$A:$D,4,0),IFERROR(VLOOKUP($C142,'5-COMP. PROPRIA'!$B$13:$I$518,8,0),""))</f>
        <v>7.32</v>
      </c>
      <c r="I142" s="440">
        <f>H142*'4-BDI'!$E$29</f>
        <v>9.3871680000000008</v>
      </c>
      <c r="J142" s="63">
        <f t="shared" si="54"/>
        <v>5031.03</v>
      </c>
      <c r="K142" s="190">
        <f t="shared" si="55"/>
        <v>6451.8</v>
      </c>
    </row>
    <row r="143" spans="2:11" ht="30">
      <c r="B143" s="14" t="s">
        <v>12776</v>
      </c>
      <c r="C143" s="435">
        <f>QUANT!C468</f>
        <v>88487</v>
      </c>
      <c r="D143" s="435" t="str">
        <f>QUANT!D468</f>
        <v>SINAPI</v>
      </c>
      <c r="E143" s="436" t="str">
        <f>IFERROR(VLOOKUP($C143,'SINAPI JULHO 2018'!$1:$1048576,2,0),IFERROR(VLOOKUP($C143,'5-COMP. PROPRIA'!$B$13:$I$518,4,0),""))</f>
        <v>APLICAÇÃO MANUAL DE PINTURA COM TINTA LÁTEX PVA EM PAREDES, DUAS DEMÃOS. AF_06/2014</v>
      </c>
      <c r="F143" s="437" t="str">
        <f>IFERROR(VLOOKUP($C143,'SINAPI JULHO 2018'!$A:$D,3,0),IFERROR(VLOOKUP($C143,'5-COMP. PROPRIA'!$B$13:$I$518,5,0),""))</f>
        <v>M2</v>
      </c>
      <c r="G143" s="438">
        <f>QUANT!K468</f>
        <v>458.2000000000001</v>
      </c>
      <c r="H143" s="439">
        <f>IFERROR(VLOOKUP($C143,'SINAPI JULHO 2018'!$A:$D,4,0),IFERROR(VLOOKUP($C143,'5-COMP. PROPRIA'!$B$13:$I$518,8,0),""))</f>
        <v>7.66</v>
      </c>
      <c r="I143" s="440">
        <f>H143*'4-BDI'!$E$29</f>
        <v>9.8231839999999995</v>
      </c>
      <c r="J143" s="63">
        <f t="shared" si="54"/>
        <v>3509.81</v>
      </c>
      <c r="K143" s="190">
        <f t="shared" si="55"/>
        <v>4500.9799999999996</v>
      </c>
    </row>
    <row r="144" spans="2:11" ht="15">
      <c r="B144" s="14" t="s">
        <v>12777</v>
      </c>
      <c r="C144" s="435" t="str">
        <f>QUANT!C470</f>
        <v>CP-PIN-02</v>
      </c>
      <c r="D144" s="435" t="str">
        <f>QUANT!D470</f>
        <v>PRÓRPIA</v>
      </c>
      <c r="E144" s="436" t="str">
        <f>IFERROR(VLOOKUP($C144,'SINAPI JULHO 2018'!$1:$1048576,2,0),IFERROR(VLOOKUP($C144,'5-COMP. PROPRIA'!$B$13:$I$518,4,0),""))</f>
        <v xml:space="preserve">PINTURA COM TINTA ESMALTE SINTÉTICO </v>
      </c>
      <c r="F144" s="437" t="str">
        <f>IFERROR(VLOOKUP($C144,'SINAPI JULHO 2018'!$A:$D,3,0),IFERROR(VLOOKUP($C144,'5-COMP. PROPRIA'!$B$13:$I$518,5,0),""))</f>
        <v>M2</v>
      </c>
      <c r="G144" s="438">
        <f>QUANT!K470</f>
        <v>274.92000000000007</v>
      </c>
      <c r="H144" s="439">
        <f>IFERROR(VLOOKUP($C144,'SINAPI JULHO 2018'!$A:$D,4,0),IFERROR(VLOOKUP($C144,'5-COMP. PROPRIA'!$B$13:$I$518,8,0),""))</f>
        <v>10.93</v>
      </c>
      <c r="I144" s="440">
        <f>H144*'4-BDI'!$E$29</f>
        <v>14.016632</v>
      </c>
      <c r="J144" s="63">
        <f t="shared" ref="J144" si="56">TRUNC(G144*H144,2)</f>
        <v>3004.87</v>
      </c>
      <c r="K144" s="190">
        <f t="shared" ref="K144" si="57">TRUNC(G144*I144,2)</f>
        <v>3853.45</v>
      </c>
    </row>
    <row r="145" spans="2:11" ht="15">
      <c r="B145" s="362" t="s">
        <v>12778</v>
      </c>
      <c r="C145" s="363"/>
      <c r="D145" s="363"/>
      <c r="E145" s="363" t="str">
        <f>QUANT!E472</f>
        <v>REVESTIMENTO E PINTURAS EXTERNAS</v>
      </c>
      <c r="F145" s="364"/>
      <c r="G145" s="365"/>
      <c r="H145" s="366"/>
      <c r="I145" s="367"/>
      <c r="J145" s="368"/>
      <c r="K145" s="369"/>
    </row>
    <row r="146" spans="2:11" ht="15">
      <c r="B146" s="14" t="s">
        <v>12779</v>
      </c>
      <c r="C146" s="435">
        <f>QUANT!C474</f>
        <v>84084</v>
      </c>
      <c r="D146" s="435" t="str">
        <f>QUANT!D474</f>
        <v>SINAPI</v>
      </c>
      <c r="E146" s="436" t="str">
        <f>IFERROR(VLOOKUP($C146,'SINAPI JULHO 2018'!$1:$1048576,2,0),IFERROR(VLOOKUP($C146,'5-COMP. PROPRIA'!$B$13:$I$518,4,0),""))</f>
        <v>APICOAMENTO MANUAL DE SUPERFICIE DE CONCRETO</v>
      </c>
      <c r="F146" s="437" t="str">
        <f>IFERROR(VLOOKUP($C146,'SINAPI JULHO 2018'!$A:$D,3,0),IFERROR(VLOOKUP($C146,'5-COMP. PROPRIA'!$B$13:$I$518,5,0),""))</f>
        <v>M2</v>
      </c>
      <c r="G146" s="438">
        <f>QUANT!K474</f>
        <v>172.51499999999999</v>
      </c>
      <c r="H146" s="439">
        <f>IFERROR(VLOOKUP($C146,'SINAPI JULHO 2018'!$A:$D,4,0),IFERROR(VLOOKUP($C146,'5-COMP. PROPRIA'!$B$13:$I$518,8,0),""))</f>
        <v>5.72</v>
      </c>
      <c r="I146" s="440">
        <f>H146*'4-BDI'!$E$29</f>
        <v>7.3353279999999996</v>
      </c>
      <c r="J146" s="63">
        <f t="shared" ref="J146" si="58">TRUNC(G146*H146,2)</f>
        <v>986.78</v>
      </c>
      <c r="K146" s="190">
        <f t="shared" ref="K146" si="59">TRUNC(G146*I146,2)</f>
        <v>1265.45</v>
      </c>
    </row>
    <row r="147" spans="2:11" ht="60">
      <c r="B147" s="14" t="s">
        <v>12780</v>
      </c>
      <c r="C147" s="435">
        <f>QUANT!C476</f>
        <v>87529</v>
      </c>
      <c r="D147" s="435" t="str">
        <f>QUANT!D476</f>
        <v>SINAPI</v>
      </c>
      <c r="E147" s="436" t="str">
        <f>IFERROR(VLOOKUP($C147,'SINAPI JULHO 2018'!$1:$1048576,2,0),IFERROR(VLOOKUP($C147,'5-COMP. PROPRIA'!$B$13:$I$518,4,0),""))</f>
        <v>MASSA ÚNICA, PARA RECEBIMENTO DE PINTURA, EM ARGAMASSA TRAÇO 1:2:8, PREPARO MECÂNICO COM BETONEIRA 400L, APLICADA MANUALMENTE EM FACES INTERNAS DE PAREDES, ESPESSURA DE 20MM, COM EXECUÇÃO DE TALISCAS. AF_06/2014</v>
      </c>
      <c r="F147" s="437" t="str">
        <f>IFERROR(VLOOKUP($C147,'SINAPI JULHO 2018'!$A:$D,3,0),IFERROR(VLOOKUP($C147,'5-COMP. PROPRIA'!$B$13:$I$518,5,0),""))</f>
        <v>M2</v>
      </c>
      <c r="G147" s="438">
        <f>QUANT!K476</f>
        <v>172.51499999999999</v>
      </c>
      <c r="H147" s="439">
        <f>IFERROR(VLOOKUP($C147,'SINAPI JULHO 2018'!$A:$D,4,0),IFERROR(VLOOKUP($C147,'5-COMP. PROPRIA'!$B$13:$I$518,8,0),""))</f>
        <v>23.86</v>
      </c>
      <c r="I147" s="440">
        <f>H147*'4-BDI'!$E$29</f>
        <v>30.598063999999997</v>
      </c>
      <c r="J147" s="63">
        <f t="shared" ref="J147:J150" si="60">TRUNC(G147*H147,2)</f>
        <v>4116.2</v>
      </c>
      <c r="K147" s="190">
        <f t="shared" ref="K147:K150" si="61">TRUNC(G147*I147,2)</f>
        <v>5278.62</v>
      </c>
    </row>
    <row r="148" spans="2:11" ht="15">
      <c r="B148" s="14" t="s">
        <v>12781</v>
      </c>
      <c r="C148" s="435" t="str">
        <f>QUANT!C478</f>
        <v>CP-LIX-01</v>
      </c>
      <c r="D148" s="435" t="str">
        <f>QUANT!D478</f>
        <v>PRÓRPIA</v>
      </c>
      <c r="E148" s="436" t="str">
        <f>IFERROR(VLOOKUP($C148,'SINAPI JULHO 2018'!$1:$1048576,2,0),IFERROR(VLOOKUP($C148,'5-COMP. PROPRIA'!$B$13:$I$518,4,0),""))</f>
        <v>LIXAMENTO MANUAL DE CONCRETO APARENTE</v>
      </c>
      <c r="F148" s="437" t="str">
        <f>IFERROR(VLOOKUP($C148,'SINAPI JULHO 2018'!$A:$D,3,0),IFERROR(VLOOKUP($C148,'5-COMP. PROPRIA'!$B$13:$I$518,5,0),""))</f>
        <v>M2</v>
      </c>
      <c r="G148" s="438">
        <f>QUANT!K478</f>
        <v>246.44999999999996</v>
      </c>
      <c r="H148" s="439">
        <f>IFERROR(VLOOKUP($C148,'SINAPI JULHO 2018'!$A:$D,4,0),IFERROR(VLOOKUP($C148,'5-COMP. PROPRIA'!$B$13:$I$518,8,0),""))</f>
        <v>3.7700000000000005</v>
      </c>
      <c r="I148" s="440">
        <f>H148*'4-BDI'!$E$29</f>
        <v>4.8346480000000005</v>
      </c>
      <c r="J148" s="63">
        <f t="shared" si="60"/>
        <v>929.11</v>
      </c>
      <c r="K148" s="190">
        <f t="shared" si="61"/>
        <v>1191.49</v>
      </c>
    </row>
    <row r="149" spans="2:11" ht="30">
      <c r="B149" s="14" t="s">
        <v>12782</v>
      </c>
      <c r="C149" s="435">
        <f>QUANT!C480</f>
        <v>96130</v>
      </c>
      <c r="D149" s="435" t="str">
        <f>QUANT!D480</f>
        <v>SINAPI</v>
      </c>
      <c r="E149" s="436" t="str">
        <f>IFERROR(VLOOKUP($C149,'SINAPI JULHO 2018'!$1:$1048576,2,0),IFERROR(VLOOKUP($C149,'5-COMP. PROPRIA'!$B$13:$I$518,4,0),""))</f>
        <v>APLICAÇÃO MANUAL DE MASSA ACRÍLICA EM PAREDES EXTERNAS DE CASAS, UMA DEMÃO. AF_05/2017</v>
      </c>
      <c r="F149" s="437" t="str">
        <f>IFERROR(VLOOKUP($C149,'SINAPI JULHO 2018'!$A:$D,3,0),IFERROR(VLOOKUP($C149,'5-COMP. PROPRIA'!$B$13:$I$518,5,0),""))</f>
        <v>M2</v>
      </c>
      <c r="G149" s="438">
        <f>QUANT!K480</f>
        <v>246.44999999999996</v>
      </c>
      <c r="H149" s="439">
        <f>IFERROR(VLOOKUP($C149,'SINAPI JULHO 2018'!$A:$D,4,0),IFERROR(VLOOKUP($C149,'5-COMP. PROPRIA'!$B$13:$I$518,8,0),""))</f>
        <v>13.01</v>
      </c>
      <c r="I149" s="440">
        <f>H149*'4-BDI'!$E$29</f>
        <v>16.684024000000001</v>
      </c>
      <c r="J149" s="63">
        <f t="shared" si="60"/>
        <v>3206.31</v>
      </c>
      <c r="K149" s="190">
        <f t="shared" si="61"/>
        <v>4111.7700000000004</v>
      </c>
    </row>
    <row r="150" spans="2:11" ht="30">
      <c r="B150" s="14" t="s">
        <v>12783</v>
      </c>
      <c r="C150" s="435">
        <f>QUANT!C482</f>
        <v>88489</v>
      </c>
      <c r="D150" s="435" t="str">
        <f>QUANT!D482</f>
        <v>SINAPI</v>
      </c>
      <c r="E150" s="436" t="str">
        <f>IFERROR(VLOOKUP($C150,'SINAPI JULHO 2018'!$1:$1048576,2,0),IFERROR(VLOOKUP($C150,'5-COMP. PROPRIA'!$B$13:$I$518,4,0),""))</f>
        <v>APLICAÇÃO MANUAL DE PINTURA COM TINTA LÁTEX ACRÍLICA EM PAREDES, DUAS DEMÃOS. AF_06/2014</v>
      </c>
      <c r="F150" s="437" t="str">
        <f>IFERROR(VLOOKUP($C150,'SINAPI JULHO 2018'!$A:$D,3,0),IFERROR(VLOOKUP($C150,'5-COMP. PROPRIA'!$B$13:$I$518,5,0),""))</f>
        <v>M2</v>
      </c>
      <c r="G150" s="438">
        <f>QUANT!K482</f>
        <v>164.29999999999998</v>
      </c>
      <c r="H150" s="439">
        <f>IFERROR(VLOOKUP($C150,'SINAPI JULHO 2018'!$A:$D,4,0),IFERROR(VLOOKUP($C150,'5-COMP. PROPRIA'!$B$13:$I$518,8,0),""))</f>
        <v>9.69</v>
      </c>
      <c r="I150" s="440">
        <f>H150*'4-BDI'!$E$29</f>
        <v>12.426456</v>
      </c>
      <c r="J150" s="63">
        <f t="shared" si="60"/>
        <v>1592.06</v>
      </c>
      <c r="K150" s="190">
        <f t="shared" si="61"/>
        <v>2041.66</v>
      </c>
    </row>
    <row r="151" spans="2:11" ht="15">
      <c r="B151" s="14" t="s">
        <v>12784</v>
      </c>
      <c r="C151" s="435" t="str">
        <f>QUANT!C484</f>
        <v>CP-PIN-02</v>
      </c>
      <c r="D151" s="435" t="str">
        <f>QUANT!D484</f>
        <v>PRÓRPIA</v>
      </c>
      <c r="E151" s="436" t="str">
        <f>IFERROR(VLOOKUP($C151,'SINAPI JULHO 2018'!$1:$1048576,2,0),IFERROR(VLOOKUP($C151,'5-COMP. PROPRIA'!$B$13:$I$518,4,0),""))</f>
        <v xml:space="preserve">PINTURA COM TINTA ESMALTE SINTÉTICO </v>
      </c>
      <c r="F151" s="437" t="str">
        <f>IFERROR(VLOOKUP($C151,'SINAPI JULHO 2018'!$A:$D,3,0),IFERROR(VLOOKUP($C151,'5-COMP. PROPRIA'!$B$13:$I$518,5,0),""))</f>
        <v>M2</v>
      </c>
      <c r="G151" s="438">
        <f>QUANT!K484</f>
        <v>98.579999999999984</v>
      </c>
      <c r="H151" s="439">
        <f>IFERROR(VLOOKUP($C151,'SINAPI JULHO 2018'!$A:$D,4,0),IFERROR(VLOOKUP($C151,'5-COMP. PROPRIA'!$B$13:$I$518,8,0),""))</f>
        <v>10.93</v>
      </c>
      <c r="I151" s="440">
        <f>H151*'4-BDI'!$E$29</f>
        <v>14.016632</v>
      </c>
      <c r="J151" s="63">
        <f t="shared" ref="J151" si="62">TRUNC(G151*H151,2)</f>
        <v>1077.47</v>
      </c>
      <c r="K151" s="190">
        <f t="shared" ref="K151" si="63">TRUNC(G151*I151,2)</f>
        <v>1381.75</v>
      </c>
    </row>
    <row r="152" spans="2:11" ht="15">
      <c r="B152" s="362" t="s">
        <v>12785</v>
      </c>
      <c r="C152" s="363"/>
      <c r="D152" s="363"/>
      <c r="E152" s="363" t="str">
        <f>QUANT!E486</f>
        <v xml:space="preserve">COBETURA </v>
      </c>
      <c r="F152" s="364"/>
      <c r="G152" s="365"/>
      <c r="H152" s="366"/>
      <c r="I152" s="367"/>
      <c r="J152" s="368"/>
      <c r="K152" s="369"/>
    </row>
    <row r="153" spans="2:11" ht="60">
      <c r="B153" s="14" t="s">
        <v>12786</v>
      </c>
      <c r="C153" s="435">
        <f>QUANT!C488</f>
        <v>72110</v>
      </c>
      <c r="D153" s="435" t="str">
        <f>QUANT!D488</f>
        <v>SINAPI</v>
      </c>
      <c r="E153" s="436" t="str">
        <f>IFERROR(VLOOKUP($C153,'SINAPI JULHO 2018'!$1:$1048576,2,0),IFERROR(VLOOKUP($C153,'5-COMP. PROPRIA'!$B$13:$I$518,4,0),""))</f>
        <v>ESTRUTURA METALICA EM TESOURAS OU TRELICAS, VAO LIVRE DE 12M, FORNECIMENTO E MONTAGEM, NAO SENDO CONSIDERADOS OS FECHAMENTOS METALICOS, AS COLUNAS, OS SERVICOS GERAIS EM ALVENARIA E CONCRETO, AS TELHAS DE COBERTURA E A PINTURA DE ACABAMENTO</v>
      </c>
      <c r="F153" s="437" t="str">
        <f>IFERROR(VLOOKUP($C153,'SINAPI JULHO 2018'!$A:$D,3,0),IFERROR(VLOOKUP($C153,'5-COMP. PROPRIA'!$B$13:$I$518,5,0),""))</f>
        <v>M2</v>
      </c>
      <c r="G153" s="438">
        <f>QUANT!K488</f>
        <v>206.8</v>
      </c>
      <c r="H153" s="439">
        <f>IFERROR(VLOOKUP($C153,'SINAPI JULHO 2018'!$A:$D,4,0),IFERROR(VLOOKUP($C153,'5-COMP. PROPRIA'!$B$13:$I$518,8,0),""))</f>
        <v>68.239999999999995</v>
      </c>
      <c r="I153" s="440">
        <f>H153*'4-BDI'!$E$29</f>
        <v>87.510975999999999</v>
      </c>
      <c r="J153" s="63">
        <f t="shared" ref="J153" si="64">TRUNC(G153*H153,2)</f>
        <v>14112.03</v>
      </c>
      <c r="K153" s="190">
        <f t="shared" ref="K153" si="65">TRUNC(G153*I153,2)</f>
        <v>18097.259999999998</v>
      </c>
    </row>
    <row r="154" spans="2:11" ht="45">
      <c r="B154" s="14" t="s">
        <v>12787</v>
      </c>
      <c r="C154" s="435">
        <f>QUANT!C490</f>
        <v>92569</v>
      </c>
      <c r="D154" s="435" t="str">
        <f>QUANT!D490</f>
        <v>SINAPI</v>
      </c>
      <c r="E154" s="436" t="str">
        <f>IFERROR(VLOOKUP($C154,'SINAPI JULHO 2018'!$1:$1048576,2,0),IFERROR(VLOOKUP($C154,'5-COMP. PROPRIA'!$B$13:$I$518,4,0),""))</f>
        <v>TRAMA DE AÇO COMPOSTA POR RIPAS E CAIBROS PARA TELHADOS DE ATÉ 2 ÁGUAS PARA TELHA DE ENCAIXE DE CERÂMICA OU DE CONCRETO, INCLUSO TRANSPORTE VERTICAL. AF_12/2015</v>
      </c>
      <c r="F154" s="437" t="str">
        <f>IFERROR(VLOOKUP($C154,'SINAPI JULHO 2018'!$A:$D,3,0),IFERROR(VLOOKUP($C154,'5-COMP. PROPRIA'!$B$13:$I$518,5,0),""))</f>
        <v>M2</v>
      </c>
      <c r="G154" s="438">
        <f>QUANT!K490</f>
        <v>206.8</v>
      </c>
      <c r="H154" s="439">
        <f>IFERROR(VLOOKUP($C154,'SINAPI JULHO 2018'!$A:$D,4,0),IFERROR(VLOOKUP($C154,'5-COMP. PROPRIA'!$B$13:$I$518,8,0),""))</f>
        <v>26.73</v>
      </c>
      <c r="I154" s="440">
        <f>H154*'4-BDI'!$E$29</f>
        <v>34.278551999999998</v>
      </c>
      <c r="J154" s="63">
        <f t="shared" ref="J154:J159" si="66">TRUNC(G154*H154,2)</f>
        <v>5527.76</v>
      </c>
      <c r="K154" s="190">
        <f t="shared" ref="K154:K159" si="67">TRUNC(G154*I154,2)</f>
        <v>7088.8</v>
      </c>
    </row>
    <row r="155" spans="2:11" ht="15">
      <c r="B155" s="14" t="s">
        <v>12788</v>
      </c>
      <c r="C155" s="435" t="str">
        <f>QUANT!C492</f>
        <v>CP-LIX-02</v>
      </c>
      <c r="D155" s="435" t="str">
        <f>QUANT!D492</f>
        <v>PRÓRPIA</v>
      </c>
      <c r="E155" s="436" t="str">
        <f>IFERROR(VLOOKUP($C155,'SINAPI JULHO 2018'!$1:$1048576,2,0),IFERROR(VLOOKUP($C155,'5-COMP. PROPRIA'!$B$13:$I$518,4,0),""))</f>
        <v xml:space="preserve">LIXAMENTO DE SUPERFICIE METÁLICA </v>
      </c>
      <c r="F155" s="437" t="str">
        <f>IFERROR(VLOOKUP($C155,'SINAPI JULHO 2018'!$A:$D,3,0),IFERROR(VLOOKUP($C155,'5-COMP. PROPRIA'!$B$13:$I$518,5,0),""))</f>
        <v>M2</v>
      </c>
      <c r="G155" s="438">
        <f>QUANT!K492</f>
        <v>413.6</v>
      </c>
      <c r="H155" s="439">
        <f>IFERROR(VLOOKUP($C155,'SINAPI JULHO 2018'!$A:$D,4,0),IFERROR(VLOOKUP($C155,'5-COMP. PROPRIA'!$B$13:$I$518,8,0),""))</f>
        <v>4.66</v>
      </c>
      <c r="I155" s="440">
        <f>H155*'4-BDI'!$E$29</f>
        <v>5.9759840000000004</v>
      </c>
      <c r="J155" s="63">
        <f t="shared" si="66"/>
        <v>1927.37</v>
      </c>
      <c r="K155" s="190">
        <f t="shared" si="67"/>
        <v>2471.66</v>
      </c>
    </row>
    <row r="156" spans="2:11" ht="15">
      <c r="B156" s="14" t="s">
        <v>12789</v>
      </c>
      <c r="C156" s="435" t="str">
        <f>QUANT!C494</f>
        <v>73924/1</v>
      </c>
      <c r="D156" s="435" t="str">
        <f>QUANT!D494</f>
        <v>SINAPI</v>
      </c>
      <c r="E156" s="436" t="str">
        <f>IFERROR(VLOOKUP($C156,'SINAPI JULHO 2018'!$1:$1048576,2,0),IFERROR(VLOOKUP($C156,'5-COMP. PROPRIA'!$B$13:$I$518,4,0),""))</f>
        <v>PINTURA ESMALTE ALTO BRILHO, DUAS DEMAOS, SOBRE SUPERFICIE METALICA</v>
      </c>
      <c r="F156" s="437" t="str">
        <f>IFERROR(VLOOKUP($C156,'SINAPI JULHO 2018'!$A:$D,3,0),IFERROR(VLOOKUP($C156,'5-COMP. PROPRIA'!$B$13:$I$518,5,0),""))</f>
        <v>M2</v>
      </c>
      <c r="G156" s="438">
        <f>QUANT!K494</f>
        <v>413.6</v>
      </c>
      <c r="H156" s="439">
        <f>IFERROR(VLOOKUP($C156,'SINAPI JULHO 2018'!$A:$D,4,0),IFERROR(VLOOKUP($C156,'5-COMP. PROPRIA'!$B$13:$I$518,8,0),""))</f>
        <v>21.24</v>
      </c>
      <c r="I156" s="440">
        <f>H156*'4-BDI'!$E$29</f>
        <v>27.238175999999999</v>
      </c>
      <c r="J156" s="63">
        <f t="shared" si="66"/>
        <v>8784.86</v>
      </c>
      <c r="K156" s="190">
        <f t="shared" si="67"/>
        <v>11265.7</v>
      </c>
    </row>
    <row r="157" spans="2:11" ht="45">
      <c r="B157" s="14" t="s">
        <v>12790</v>
      </c>
      <c r="C157" s="435">
        <f>QUANT!C496</f>
        <v>94210</v>
      </c>
      <c r="D157" s="435" t="str">
        <f>QUANT!D496</f>
        <v>SINAPI</v>
      </c>
      <c r="E157" s="436" t="str">
        <f>IFERROR(VLOOKUP($C157,'SINAPI JULHO 2018'!$1:$1048576,2,0),IFERROR(VLOOKUP($C157,'5-COMP. PROPRIA'!$B$13:$I$518,4,0),""))</f>
        <v>TELHAMENTO COM TELHA ONDULADA DE FIBROCIMENTO E = 6 MM, COM RECOBRIMENTO LATERAL DE 1 1/4 DE ONDA PARA TELHADO COM INCLINAÇÃO MÁXIMA DE 10°, COM ATÉ 2 ÁGUAS, INCLUSO IÇAMENTO. AF_06/2016</v>
      </c>
      <c r="F157" s="437" t="str">
        <f>IFERROR(VLOOKUP($C157,'SINAPI JULHO 2018'!$A:$D,3,0),IFERROR(VLOOKUP($C157,'5-COMP. PROPRIA'!$B$13:$I$518,5,0),""))</f>
        <v>M2</v>
      </c>
      <c r="G157" s="438">
        <f>QUANT!K496</f>
        <v>206.8</v>
      </c>
      <c r="H157" s="439">
        <f>IFERROR(VLOOKUP($C157,'SINAPI JULHO 2018'!$A:$D,4,0),IFERROR(VLOOKUP($C157,'5-COMP. PROPRIA'!$B$13:$I$518,8,0),""))</f>
        <v>33.97</v>
      </c>
      <c r="I157" s="440">
        <f>H157*'4-BDI'!$E$29</f>
        <v>43.563127999999999</v>
      </c>
      <c r="J157" s="63">
        <f t="shared" si="66"/>
        <v>7024.99</v>
      </c>
      <c r="K157" s="190">
        <f t="shared" si="67"/>
        <v>9008.85</v>
      </c>
    </row>
    <row r="158" spans="2:11" ht="30">
      <c r="B158" s="14" t="s">
        <v>12791</v>
      </c>
      <c r="C158" s="435">
        <f>QUANT!C498</f>
        <v>94231</v>
      </c>
      <c r="D158" s="435" t="str">
        <f>QUANT!D498</f>
        <v>SINAPI</v>
      </c>
      <c r="E158" s="436" t="str">
        <f>IFERROR(VLOOKUP($C158,'SINAPI JULHO 2018'!$1:$1048576,2,0),IFERROR(VLOOKUP($C158,'5-COMP. PROPRIA'!$B$13:$I$518,4,0),""))</f>
        <v>RUFO EM CHAPA DE AÇO GALVANIZADO NÚMERO 24, CORTE DE 25 CM, INCLUSO TRANSPORTE VERTICAL. AF_06/2016</v>
      </c>
      <c r="F158" s="437" t="str">
        <f>IFERROR(VLOOKUP($C158,'SINAPI JULHO 2018'!$A:$D,3,0),IFERROR(VLOOKUP($C158,'5-COMP. PROPRIA'!$B$13:$I$518,5,0),""))</f>
        <v>M</v>
      </c>
      <c r="G158" s="438">
        <f>QUANT!K498</f>
        <v>54</v>
      </c>
      <c r="H158" s="439">
        <f>IFERROR(VLOOKUP($C158,'SINAPI JULHO 2018'!$A:$D,4,0),IFERROR(VLOOKUP($C158,'5-COMP. PROPRIA'!$B$13:$I$518,8,0),""))</f>
        <v>24.35</v>
      </c>
      <c r="I158" s="440">
        <f>H158*'4-BDI'!$E$29</f>
        <v>31.22644</v>
      </c>
      <c r="J158" s="63">
        <f t="shared" si="66"/>
        <v>1314.9</v>
      </c>
      <c r="K158" s="190">
        <f t="shared" si="67"/>
        <v>1686.22</v>
      </c>
    </row>
    <row r="159" spans="2:11" ht="30">
      <c r="B159" s="14" t="s">
        <v>12792</v>
      </c>
      <c r="C159" s="435">
        <f>QUANT!C500</f>
        <v>96116</v>
      </c>
      <c r="D159" s="435" t="str">
        <f>QUANT!D500</f>
        <v>SINAPI</v>
      </c>
      <c r="E159" s="436" t="str">
        <f>IFERROR(VLOOKUP($C159,'SINAPI JULHO 2018'!$1:$1048576,2,0),IFERROR(VLOOKUP($C159,'5-COMP. PROPRIA'!$B$13:$I$518,4,0),""))</f>
        <v>FORRO EM RÉGUAS DE PVC, FRISADO, PARA AMBIENTES COMERCIAIS, INCLUSIVE ESTRUTURA DE FIXAÇÃO. AF_05/2017_P</v>
      </c>
      <c r="F159" s="437" t="str">
        <f>IFERROR(VLOOKUP($C159,'SINAPI JULHO 2018'!$A:$D,3,0),IFERROR(VLOOKUP($C159,'5-COMP. PROPRIA'!$B$13:$I$518,5,0),""))</f>
        <v>M2</v>
      </c>
      <c r="G159" s="438">
        <f>QUANT!K500</f>
        <v>180.65</v>
      </c>
      <c r="H159" s="439">
        <f>IFERROR(VLOOKUP($C159,'SINAPI JULHO 2018'!$A:$D,4,0),IFERROR(VLOOKUP($C159,'5-COMP. PROPRIA'!$B$13:$I$518,8,0),""))</f>
        <v>42.15</v>
      </c>
      <c r="I159" s="440">
        <f>H159*'4-BDI'!$E$29</f>
        <v>54.053159999999998</v>
      </c>
      <c r="J159" s="63">
        <f t="shared" si="66"/>
        <v>7614.39</v>
      </c>
      <c r="K159" s="190">
        <f t="shared" si="67"/>
        <v>9764.7000000000007</v>
      </c>
    </row>
    <row r="160" spans="2:11" ht="15">
      <c r="B160" s="362" t="s">
        <v>12793</v>
      </c>
      <c r="C160" s="363"/>
      <c r="D160" s="363"/>
      <c r="E160" s="363" t="str">
        <f>QUANT!E502</f>
        <v>ESQUADRIAS</v>
      </c>
      <c r="F160" s="364"/>
      <c r="G160" s="365"/>
      <c r="H160" s="366"/>
      <c r="I160" s="367"/>
      <c r="J160" s="368"/>
      <c r="K160" s="369"/>
    </row>
    <row r="161" spans="2:11" ht="30">
      <c r="B161" s="14" t="s">
        <v>12794</v>
      </c>
      <c r="C161" s="435">
        <f>QUANT!C504</f>
        <v>91341</v>
      </c>
      <c r="D161" s="435" t="str">
        <f>QUANT!D504</f>
        <v>SINAPI</v>
      </c>
      <c r="E161" s="436" t="str">
        <f>IFERROR(VLOOKUP($C161,'SINAPI JULHO 2018'!$1:$1048576,2,0),IFERROR(VLOOKUP($C161,'5-COMP. PROPRIA'!$B$13:$I$518,4,0),""))</f>
        <v>PORTA EM ALUMÍNIO DE ABRIR TIPO VENEZIANA COM GUARNIÇÃO, FIXAÇÃO COM PARAFUSOS - FORNECIMENTO E INSTALAÇÃO. AF_08/2015</v>
      </c>
      <c r="F161" s="437" t="str">
        <f>IFERROR(VLOOKUP($C161,'SINAPI JULHO 2018'!$A:$D,3,0),IFERROR(VLOOKUP($C161,'5-COMP. PROPRIA'!$B$13:$I$518,5,0),""))</f>
        <v>M2</v>
      </c>
      <c r="G161" s="438">
        <f>QUANT!K504</f>
        <v>22.92</v>
      </c>
      <c r="H161" s="439">
        <f>IFERROR(VLOOKUP($C161,'SINAPI JULHO 2018'!$A:$D,4,0),IFERROR(VLOOKUP($C161,'5-COMP. PROPRIA'!$B$13:$I$518,8,0),""))</f>
        <v>654.62</v>
      </c>
      <c r="I161" s="440">
        <f>H161*'4-BDI'!$E$29</f>
        <v>839.48468800000001</v>
      </c>
      <c r="J161" s="63">
        <f t="shared" ref="J161" si="68">TRUNC(G161*H161,2)</f>
        <v>15003.89</v>
      </c>
      <c r="K161" s="190">
        <f t="shared" ref="K161" si="69">TRUNC(G161*I161,2)</f>
        <v>19240.98</v>
      </c>
    </row>
    <row r="162" spans="2:11" ht="30">
      <c r="B162" s="14" t="s">
        <v>12795</v>
      </c>
      <c r="C162" s="435">
        <f>QUANT!C506</f>
        <v>94575</v>
      </c>
      <c r="D162" s="435" t="str">
        <f>QUANT!D506</f>
        <v>SINAPI</v>
      </c>
      <c r="E162" s="436" t="str">
        <f>IFERROR(VLOOKUP($C162,'SINAPI JULHO 2018'!$1:$1048576,2,0),IFERROR(VLOOKUP($C162,'5-COMP. PROPRIA'!$B$13:$I$518,4,0),""))</f>
        <v>JANELA DE ALUMÍNIO MAXIM-AR, FIXAÇÃO COM PARAFUSO, VEDAÇÃO COM ESPUMA EXPANSIVA PU, COM VIDROS, PADRONIZADA. AF_07/2016</v>
      </c>
      <c r="F162" s="437" t="str">
        <f>IFERROR(VLOOKUP($C162,'SINAPI JULHO 2018'!$A:$D,3,0),IFERROR(VLOOKUP($C162,'5-COMP. PROPRIA'!$B$13:$I$518,5,0),""))</f>
        <v>M2</v>
      </c>
      <c r="G162" s="438">
        <f>QUANT!K506</f>
        <v>3.6</v>
      </c>
      <c r="H162" s="439">
        <f>IFERROR(VLOOKUP($C162,'SINAPI JULHO 2018'!$A:$D,4,0),IFERROR(VLOOKUP($C162,'5-COMP. PROPRIA'!$B$13:$I$518,8,0),""))</f>
        <v>680.31</v>
      </c>
      <c r="I162" s="440">
        <f>H162*'4-BDI'!$E$29</f>
        <v>872.42954399999996</v>
      </c>
      <c r="J162" s="63">
        <f t="shared" ref="J162:J165" si="70">TRUNC(G162*H162,2)</f>
        <v>2449.11</v>
      </c>
      <c r="K162" s="190">
        <f t="shared" ref="K162:K165" si="71">TRUNC(G162*I162,2)</f>
        <v>3140.74</v>
      </c>
    </row>
    <row r="163" spans="2:11" ht="45">
      <c r="B163" s="14" t="s">
        <v>12796</v>
      </c>
      <c r="C163" s="435">
        <f>QUANT!C508</f>
        <v>94576</v>
      </c>
      <c r="D163" s="435" t="str">
        <f>QUANT!D508</f>
        <v>SINAPI</v>
      </c>
      <c r="E163" s="436" t="str">
        <f>IFERROR(VLOOKUP($C163,'SINAPI JULHO 2018'!$1:$1048576,2,0),IFERROR(VLOOKUP($C163,'5-COMP. PROPRIA'!$B$13:$I$518,4,0),""))</f>
        <v>JANELA DE ALUMÍNIO DE CORRER, 2 FOLHAS, FIXAÇÃO COM PARAFUSO, VEDAÇÃO COM ESPUMA EXPANSIVA PU, COM VIDROS, PADRONIZADA. AF_07/2016</v>
      </c>
      <c r="F163" s="437" t="str">
        <f>IFERROR(VLOOKUP($C163,'SINAPI JULHO 2018'!$A:$D,3,0),IFERROR(VLOOKUP($C163,'5-COMP. PROPRIA'!$B$13:$I$518,5,0),""))</f>
        <v>M2</v>
      </c>
      <c r="G163" s="438">
        <f>QUANT!K508</f>
        <v>8.6000000000000014</v>
      </c>
      <c r="H163" s="439">
        <f>IFERROR(VLOOKUP($C163,'SINAPI JULHO 2018'!$A:$D,4,0),IFERROR(VLOOKUP($C163,'5-COMP. PROPRIA'!$B$13:$I$518,8,0),""))</f>
        <v>426.12</v>
      </c>
      <c r="I163" s="440">
        <f>H163*'4-BDI'!$E$29</f>
        <v>546.45628799999997</v>
      </c>
      <c r="J163" s="63">
        <f t="shared" si="70"/>
        <v>3664.63</v>
      </c>
      <c r="K163" s="190">
        <f t="shared" si="71"/>
        <v>4699.5200000000004</v>
      </c>
    </row>
    <row r="164" spans="2:11" ht="15">
      <c r="B164" s="14" t="s">
        <v>12797</v>
      </c>
      <c r="C164" s="435" t="str">
        <f>QUANT!C510</f>
        <v>CP-LIX-02</v>
      </c>
      <c r="D164" s="435" t="str">
        <f>QUANT!D510</f>
        <v>PRÓRPIA</v>
      </c>
      <c r="E164" s="436" t="str">
        <f>IFERROR(VLOOKUP($C164,'SINAPI JULHO 2018'!$1:$1048576,2,0),IFERROR(VLOOKUP($C164,'5-COMP. PROPRIA'!$B$13:$I$518,4,0),""))</f>
        <v xml:space="preserve">LIXAMENTO DE SUPERFICIE METÁLICA </v>
      </c>
      <c r="F164" s="437" t="str">
        <f>IFERROR(VLOOKUP($C164,'SINAPI JULHO 2018'!$A:$D,3,0),IFERROR(VLOOKUP($C164,'5-COMP. PROPRIA'!$B$13:$I$518,5,0),""))</f>
        <v>M2</v>
      </c>
      <c r="G164" s="438">
        <f>QUANT!K510</f>
        <v>70.240000000000009</v>
      </c>
      <c r="H164" s="439">
        <f>IFERROR(VLOOKUP($C164,'SINAPI JULHO 2018'!$A:$D,4,0),IFERROR(VLOOKUP($C164,'5-COMP. PROPRIA'!$B$13:$I$518,8,0),""))</f>
        <v>4.66</v>
      </c>
      <c r="I164" s="440">
        <f>H164*'4-BDI'!$E$29</f>
        <v>5.9759840000000004</v>
      </c>
      <c r="J164" s="63">
        <f t="shared" ref="J164" si="72">TRUNC(G164*H164,2)</f>
        <v>327.31</v>
      </c>
      <c r="K164" s="190">
        <f t="shared" ref="K164" si="73">TRUNC(G164*I164,2)</f>
        <v>419.75</v>
      </c>
    </row>
    <row r="165" spans="2:11" ht="15">
      <c r="B165" s="14" t="s">
        <v>12798</v>
      </c>
      <c r="C165" s="435" t="str">
        <f>QUANT!C512</f>
        <v>73924/1</v>
      </c>
      <c r="D165" s="435" t="str">
        <f>QUANT!D512</f>
        <v>SINAPI</v>
      </c>
      <c r="E165" s="436" t="str">
        <f>IFERROR(VLOOKUP($C165,'SINAPI JULHO 2018'!$1:$1048576,2,0),IFERROR(VLOOKUP($C165,'5-COMP. PROPRIA'!$B$13:$I$518,4,0),""))</f>
        <v>PINTURA ESMALTE ALTO BRILHO, DUAS DEMAOS, SOBRE SUPERFICIE METALICA</v>
      </c>
      <c r="F165" s="437" t="str">
        <f>IFERROR(VLOOKUP($C165,'SINAPI JULHO 2018'!$A:$D,3,0),IFERROR(VLOOKUP($C165,'5-COMP. PROPRIA'!$B$13:$I$518,5,0),""))</f>
        <v>M2</v>
      </c>
      <c r="G165" s="438">
        <f>QUANT!K512</f>
        <v>70.240000000000009</v>
      </c>
      <c r="H165" s="439">
        <f>IFERROR(VLOOKUP($C165,'SINAPI JULHO 2018'!$A:$D,4,0),IFERROR(VLOOKUP($C165,'5-COMP. PROPRIA'!$B$13:$I$518,8,0),""))</f>
        <v>21.24</v>
      </c>
      <c r="I165" s="440">
        <f>H165*'4-BDI'!$E$29</f>
        <v>27.238175999999999</v>
      </c>
      <c r="J165" s="63">
        <f t="shared" si="70"/>
        <v>1491.89</v>
      </c>
      <c r="K165" s="190">
        <f t="shared" si="71"/>
        <v>1913.2</v>
      </c>
    </row>
    <row r="166" spans="2:11" ht="15">
      <c r="B166" s="362" t="s">
        <v>12799</v>
      </c>
      <c r="C166" s="363"/>
      <c r="D166" s="363"/>
      <c r="E166" s="363" t="str">
        <f>QUANT!E514</f>
        <v>LOUÇAS, METAIS, GRADIS E DIVISORIAS</v>
      </c>
      <c r="F166" s="364"/>
      <c r="G166" s="365"/>
      <c r="H166" s="366"/>
      <c r="I166" s="367"/>
      <c r="J166" s="368"/>
      <c r="K166" s="369"/>
    </row>
    <row r="167" spans="2:11" ht="30">
      <c r="B167" s="14" t="s">
        <v>12800</v>
      </c>
      <c r="C167" s="435" t="str">
        <f>QUANT!C516</f>
        <v>CP-HID-05</v>
      </c>
      <c r="D167" s="435" t="str">
        <f>QUANT!D516</f>
        <v>PRÓRPIA</v>
      </c>
      <c r="E167" s="436" t="str">
        <f>IFERROR(VLOOKUP($C167,'SINAPI JULHO 2018'!$1:$1048576,2,0),IFERROR(VLOOKUP($C167,'5-COMP. PROPRIA'!$B$13:$I$518,4,0),""))</f>
        <v xml:space="preserve">VASO SANITÁRIO CONVENCIONAL COM CONEXÕES DE INSTALAÇÃO E ASSENTO PLÁSTICO - FORNECIMENTO E INSTALAÇÃO </v>
      </c>
      <c r="F167" s="437" t="str">
        <f>IFERROR(VLOOKUP($C167,'SINAPI JULHO 2018'!$A:$D,3,0),IFERROR(VLOOKUP($C167,'5-COMP. PROPRIA'!$B$13:$I$518,5,0),""))</f>
        <v>UNI</v>
      </c>
      <c r="G167" s="438">
        <f>QUANT!K516</f>
        <v>8</v>
      </c>
      <c r="H167" s="439">
        <f>IFERROR(VLOOKUP($C167,'SINAPI JULHO 2018'!$A:$D,4,0),IFERROR(VLOOKUP($C167,'5-COMP. PROPRIA'!$B$13:$I$518,8,0),""))</f>
        <v>245.87</v>
      </c>
      <c r="I167" s="440">
        <f>H167*'4-BDI'!$E$29</f>
        <v>315.30368800000002</v>
      </c>
      <c r="J167" s="63">
        <f t="shared" ref="J167" si="74">TRUNC(G167*H167,2)</f>
        <v>1966.96</v>
      </c>
      <c r="K167" s="190">
        <f t="shared" ref="K167" si="75">TRUNC(G167*I167,2)</f>
        <v>2522.42</v>
      </c>
    </row>
    <row r="168" spans="2:11" ht="60">
      <c r="B168" s="14" t="s">
        <v>12801</v>
      </c>
      <c r="C168" s="435">
        <f>QUANT!C518</f>
        <v>86942</v>
      </c>
      <c r="D168" s="435" t="str">
        <f>QUANT!D518</f>
        <v>SINAPI</v>
      </c>
      <c r="E168" s="436" t="str">
        <f>IFERROR(VLOOKUP($C168,'SINAPI JULHO 2018'!$1:$1048576,2,0),IFERROR(VLOOKUP($C168,'5-COMP. PROPRIA'!$B$13:$I$518,4,0),""))</f>
        <v>LAVATÓRIO LOUÇA BRANCA SUSPENSO, 29,5 X 39CM OU EQUIVALENTE, PADRÃO POPULAR, INCLUSO SIFÃO TIPO GARRAFA EM PVC, VÁLVULA E ENGATE FLEXÍVEL 30CM EM PLÁSTICO E TORNEIRA CROMADA DE MESA, PADRÃO POPULAR - FORNECIMENTO E INSTALAÇÃO. AF_12/2013</v>
      </c>
      <c r="F168" s="437" t="str">
        <f>IFERROR(VLOOKUP($C168,'SINAPI JULHO 2018'!$A:$D,3,0),IFERROR(VLOOKUP($C168,'5-COMP. PROPRIA'!$B$13:$I$518,5,0),""))</f>
        <v>UN</v>
      </c>
      <c r="G168" s="438">
        <f>QUANT!K518</f>
        <v>8</v>
      </c>
      <c r="H168" s="439">
        <f>IFERROR(VLOOKUP($C168,'SINAPI JULHO 2018'!$A:$D,4,0),IFERROR(VLOOKUP($C168,'5-COMP. PROPRIA'!$B$13:$I$518,8,0),""))</f>
        <v>176.69</v>
      </c>
      <c r="I168" s="440">
        <f>H168*'4-BDI'!$E$29</f>
        <v>226.587256</v>
      </c>
      <c r="J168" s="63">
        <f t="shared" ref="J168:J173" si="76">TRUNC(G168*H168,2)</f>
        <v>1413.52</v>
      </c>
      <c r="K168" s="190">
        <f t="shared" ref="K168:K173" si="77">TRUNC(G168*I168,2)</f>
        <v>1812.69</v>
      </c>
    </row>
    <row r="169" spans="2:11" ht="30">
      <c r="B169" s="14" t="s">
        <v>12802</v>
      </c>
      <c r="C169" s="435">
        <f>QUANT!C520</f>
        <v>86906</v>
      </c>
      <c r="D169" s="435" t="str">
        <f>QUANT!D520</f>
        <v>SINAPI</v>
      </c>
      <c r="E169" s="436" t="str">
        <f>IFERROR(VLOOKUP($C169,'SINAPI JULHO 2018'!$1:$1048576,2,0),IFERROR(VLOOKUP($C169,'5-COMP. PROPRIA'!$B$13:$I$518,4,0),""))</f>
        <v>TORNEIRA CROMADA DE MESA, 1/2" OU 3/4", PARA LAVATÓRIO, PADRÃO POPULAR - FORNECIMENTO E INSTALAÇÃO. AF_12/2013</v>
      </c>
      <c r="F169" s="437" t="str">
        <f>IFERROR(VLOOKUP($C169,'SINAPI JULHO 2018'!$A:$D,3,0),IFERROR(VLOOKUP($C169,'5-COMP. PROPRIA'!$B$13:$I$518,5,0),""))</f>
        <v>UN</v>
      </c>
      <c r="G169" s="438">
        <f>QUANT!K520</f>
        <v>8</v>
      </c>
      <c r="H169" s="439">
        <f>IFERROR(VLOOKUP($C169,'SINAPI JULHO 2018'!$A:$D,4,0),IFERROR(VLOOKUP($C169,'5-COMP. PROPRIA'!$B$13:$I$518,8,0),""))</f>
        <v>49.21</v>
      </c>
      <c r="I169" s="440">
        <f>H169*'4-BDI'!$E$29</f>
        <v>63.106904</v>
      </c>
      <c r="J169" s="63">
        <f t="shared" si="76"/>
        <v>393.68</v>
      </c>
      <c r="K169" s="190">
        <f t="shared" si="77"/>
        <v>504.85</v>
      </c>
    </row>
    <row r="170" spans="2:11" ht="30">
      <c r="B170" s="14" t="s">
        <v>12803</v>
      </c>
      <c r="C170" s="435">
        <f>QUANT!C522</f>
        <v>86910</v>
      </c>
      <c r="D170" s="435" t="str">
        <f>QUANT!D522</f>
        <v>SINAPI</v>
      </c>
      <c r="E170" s="436" t="str">
        <f>IFERROR(VLOOKUP($C170,'SINAPI JULHO 2018'!$1:$1048576,2,0),IFERROR(VLOOKUP($C170,'5-COMP. PROPRIA'!$B$13:$I$518,4,0),""))</f>
        <v>TORNEIRA CROMADA TUBO MÓVEL, DE PAREDE, 1/2" OU 3/4", PARA PIA DE COZINHA, PADRÃO MÉDIO - FORNECIMENTO E INSTALAÇÃO. AF_12/2013</v>
      </c>
      <c r="F170" s="437" t="str">
        <f>IFERROR(VLOOKUP($C170,'SINAPI JULHO 2018'!$A:$D,3,0),IFERROR(VLOOKUP($C170,'5-COMP. PROPRIA'!$B$13:$I$518,5,0),""))</f>
        <v>UN</v>
      </c>
      <c r="G170" s="438">
        <f>QUANT!K522</f>
        <v>1</v>
      </c>
      <c r="H170" s="439">
        <f>IFERROR(VLOOKUP($C170,'SINAPI JULHO 2018'!$A:$D,4,0),IFERROR(VLOOKUP($C170,'5-COMP. PROPRIA'!$B$13:$I$518,8,0),""))</f>
        <v>94.14</v>
      </c>
      <c r="I170" s="440">
        <f>H170*'4-BDI'!$E$29</f>
        <v>120.72513600000001</v>
      </c>
      <c r="J170" s="63">
        <f t="shared" si="76"/>
        <v>94.14</v>
      </c>
      <c r="K170" s="190">
        <f t="shared" si="77"/>
        <v>120.72</v>
      </c>
    </row>
    <row r="171" spans="2:11" ht="60">
      <c r="B171" s="14" t="s">
        <v>12804</v>
      </c>
      <c r="C171" s="435">
        <f>QUANT!C524</f>
        <v>86933</v>
      </c>
      <c r="D171" s="435" t="str">
        <f>QUANT!D524</f>
        <v>SINAPI</v>
      </c>
      <c r="E171" s="436" t="str">
        <f>IFERROR(VLOOKUP($C171,'SINAPI JULHO 2018'!$1:$1048576,2,0),IFERROR(VLOOKUP($C171,'5-COMP. PROPRIA'!$B$13:$I$518,4,0),""))</f>
        <v>BANCADA DE MÁRMORE SINTÉTICO 120 X 60CM, COM CUBA INTEGRADA, INCLUSO SIFÃO TIPO GARRAFA EM PVC, VÁLVULA EM PLÁSTICO CROMADO TIPO AMERICANA E TORNEIRA CROMADA LONGA, DE PAREDE, PADRÃO POPULAR - FORNECIMENTO E INSTALAÇÃO. AF_12/2013</v>
      </c>
      <c r="F171" s="437" t="str">
        <f>IFERROR(VLOOKUP($C171,'SINAPI JULHO 2018'!$A:$D,3,0),IFERROR(VLOOKUP($C171,'5-COMP. PROPRIA'!$B$13:$I$518,5,0),""))</f>
        <v>UN</v>
      </c>
      <c r="G171" s="438">
        <f>QUANT!K524</f>
        <v>1</v>
      </c>
      <c r="H171" s="439">
        <f>IFERROR(VLOOKUP($C171,'SINAPI JULHO 2018'!$A:$D,4,0),IFERROR(VLOOKUP($C171,'5-COMP. PROPRIA'!$B$13:$I$518,8,0),""))</f>
        <v>305.52</v>
      </c>
      <c r="I171" s="440">
        <f>H171*'4-BDI'!$E$29</f>
        <v>391.79884799999996</v>
      </c>
      <c r="J171" s="63">
        <f t="shared" si="76"/>
        <v>305.52</v>
      </c>
      <c r="K171" s="190">
        <f t="shared" si="77"/>
        <v>391.79</v>
      </c>
    </row>
    <row r="172" spans="2:11" ht="30">
      <c r="B172" s="14" t="s">
        <v>12805</v>
      </c>
      <c r="C172" s="435">
        <f>QUANT!C526</f>
        <v>9535</v>
      </c>
      <c r="D172" s="435" t="str">
        <f>QUANT!D526</f>
        <v>SINAPI</v>
      </c>
      <c r="E172" s="436" t="str">
        <f>IFERROR(VLOOKUP($C172,'SINAPI JULHO 2018'!$1:$1048576,2,0),IFERROR(VLOOKUP($C172,'5-COMP. PROPRIA'!$B$13:$I$518,4,0),""))</f>
        <v>CHUVEIRO ELETRICO COMUM CORPO PLASTICO TIPO DUCHA, FORNECIMENTO E INSTALACAO</v>
      </c>
      <c r="F172" s="437" t="str">
        <f>IFERROR(VLOOKUP($C172,'SINAPI JULHO 2018'!$A:$D,3,0),IFERROR(VLOOKUP($C172,'5-COMP. PROPRIA'!$B$13:$I$518,5,0),""))</f>
        <v>UN</v>
      </c>
      <c r="G172" s="438">
        <f>QUANT!K526</f>
        <v>9</v>
      </c>
      <c r="H172" s="439">
        <f>IFERROR(VLOOKUP($C172,'SINAPI JULHO 2018'!$A:$D,4,0),IFERROR(VLOOKUP($C172,'5-COMP. PROPRIA'!$B$13:$I$518,8,0),""))</f>
        <v>64.69</v>
      </c>
      <c r="I172" s="440">
        <f>H172*'4-BDI'!$E$29</f>
        <v>82.958455999999998</v>
      </c>
      <c r="J172" s="63">
        <f t="shared" si="76"/>
        <v>582.21</v>
      </c>
      <c r="K172" s="190">
        <f t="shared" si="77"/>
        <v>746.62</v>
      </c>
    </row>
    <row r="173" spans="2:11" ht="45">
      <c r="B173" s="14" t="s">
        <v>12806</v>
      </c>
      <c r="C173" s="435" t="str">
        <f>QUANT!C528</f>
        <v>CP-MIC-01</v>
      </c>
      <c r="D173" s="435" t="str">
        <f>QUANT!D528</f>
        <v>PRÓRPIA</v>
      </c>
      <c r="E173" s="436" t="str">
        <f>IFERROR(VLOOKUP($C173,'SINAPI JULHO 2018'!$1:$1048576,2,0),IFERROR(VLOOKUP($C173,'5-COMP. PROPRIA'!$B$13:$I$518,4,0),""))</f>
        <v>MICTORIO SIFONADO DE LOUCA BRANCA COM PERTENCES, COM REGISTRO DE PRESSAO 1/2" COM CANOPLA CROMADA ACABAMENTO SIMPLES E CONJUNTO PARA FIXACAO  - FORNECIMENTO E INSTALACAO</v>
      </c>
      <c r="F173" s="437" t="str">
        <f>IFERROR(VLOOKUP($C173,'SINAPI JULHO 2018'!$A:$D,3,0),IFERROR(VLOOKUP($C173,'5-COMP. PROPRIA'!$B$13:$I$518,5,0),""))</f>
        <v>UN</v>
      </c>
      <c r="G173" s="438">
        <f>QUANT!K528</f>
        <v>2</v>
      </c>
      <c r="H173" s="439">
        <f>IFERROR(VLOOKUP($C173,'SINAPI JULHO 2018'!$A:$D,4,0),IFERROR(VLOOKUP($C173,'5-COMP. PROPRIA'!$B$13:$I$518,8,0),""))</f>
        <v>679.36</v>
      </c>
      <c r="I173" s="440">
        <f>H173*'4-BDI'!$E$29</f>
        <v>871.21126400000003</v>
      </c>
      <c r="J173" s="63">
        <f t="shared" si="76"/>
        <v>1358.72</v>
      </c>
      <c r="K173" s="190">
        <f t="shared" si="77"/>
        <v>1742.42</v>
      </c>
    </row>
    <row r="174" spans="2:11" ht="45">
      <c r="B174" s="14" t="s">
        <v>12807</v>
      </c>
      <c r="C174" s="435" t="str">
        <f>QUANT!C530</f>
        <v>73774/1</v>
      </c>
      <c r="D174" s="435" t="str">
        <f>QUANT!D530</f>
        <v>SINAPI</v>
      </c>
      <c r="E174" s="436" t="str">
        <f>IFERROR(VLOOKUP($C174,'SINAPI JULHO 2018'!$1:$1048576,2,0),IFERROR(VLOOKUP($C174,'5-COMP. PROPRIA'!$B$13:$I$518,4,0),""))</f>
        <v>DIVISORIA EM MARMORITE ESPESSURA 35MM, CHUMBAMENTO NO PISO E PAREDE COM ARGAMASSA DE CIMENTO E AREIA, POLIMENTO MANUAL, EXCLUSIVE FERRAGENS</v>
      </c>
      <c r="F174" s="437" t="str">
        <f>IFERROR(VLOOKUP($C174,'SINAPI JULHO 2018'!$A:$D,3,0),IFERROR(VLOOKUP($C174,'5-COMP. PROPRIA'!$B$13:$I$518,5,0),""))</f>
        <v>M2</v>
      </c>
      <c r="G174" s="438">
        <f>QUANT!K530</f>
        <v>5.04</v>
      </c>
      <c r="H174" s="439">
        <f>IFERROR(VLOOKUP($C174,'SINAPI JULHO 2018'!$A:$D,4,0),IFERROR(VLOOKUP($C174,'5-COMP. PROPRIA'!$B$13:$I$518,8,0),""))</f>
        <v>260.72000000000003</v>
      </c>
      <c r="I174" s="440">
        <f>H174*'4-BDI'!$E$29</f>
        <v>334.347328</v>
      </c>
      <c r="J174" s="63">
        <f t="shared" ref="J174" si="78">TRUNC(G174*H174,2)</f>
        <v>1314.02</v>
      </c>
      <c r="K174" s="190">
        <f t="shared" ref="K174" si="79">TRUNC(G174*I174,2)</f>
        <v>1685.11</v>
      </c>
    </row>
    <row r="175" spans="2:11" ht="15">
      <c r="B175" s="362" t="s">
        <v>12808</v>
      </c>
      <c r="C175" s="363"/>
      <c r="D175" s="363"/>
      <c r="E175" s="363" t="str">
        <f>QUANT!E532</f>
        <v>PISOS E REVESTIMENTOS</v>
      </c>
      <c r="F175" s="364"/>
      <c r="G175" s="365"/>
      <c r="H175" s="366"/>
      <c r="I175" s="367"/>
      <c r="J175" s="368"/>
      <c r="K175" s="369"/>
    </row>
    <row r="176" spans="2:11" ht="15">
      <c r="B176" s="14" t="s">
        <v>12809</v>
      </c>
      <c r="C176" s="435" t="str">
        <f>QUANT!C534</f>
        <v>CP-DEM-01</v>
      </c>
      <c r="D176" s="435" t="str">
        <f>QUANT!D534</f>
        <v>PRÓRPIA</v>
      </c>
      <c r="E176" s="436" t="str">
        <f>IFERROR(VLOOKUP($C176,'SINAPI JULHO 2018'!$1:$1048576,2,0),IFERROR(VLOOKUP($C176,'5-COMP. PROPRIA'!$B$13:$I$518,4,0),""))</f>
        <v>DEMOLIÇÃO DE CONCRETO SIMPLES</v>
      </c>
      <c r="F176" s="437" t="str">
        <f>IFERROR(VLOOKUP($C176,'SINAPI JULHO 2018'!$A:$D,3,0),IFERROR(VLOOKUP($C176,'5-COMP. PROPRIA'!$B$13:$I$518,5,0),""))</f>
        <v>M3</v>
      </c>
      <c r="G176" s="438">
        <f>QUANT!K534</f>
        <v>10.360000000000001</v>
      </c>
      <c r="H176" s="439">
        <f>IFERROR(VLOOKUP($C176,'SINAPI JULHO 2018'!$A:$D,4,0),IFERROR(VLOOKUP($C176,'5-COMP. PROPRIA'!$B$13:$I$518,8,0),""))</f>
        <v>165.98</v>
      </c>
      <c r="I176" s="440">
        <f>H176*'4-BDI'!$E$29</f>
        <v>212.85275199999998</v>
      </c>
      <c r="J176" s="63">
        <f t="shared" ref="J176" si="80">TRUNC(G176*H176,2)</f>
        <v>1719.55</v>
      </c>
      <c r="K176" s="190">
        <f t="shared" ref="K176" si="81">TRUNC(G176*I176,2)</f>
        <v>2205.15</v>
      </c>
    </row>
    <row r="177" spans="2:11" ht="30">
      <c r="B177" s="14" t="s">
        <v>12810</v>
      </c>
      <c r="C177" s="435">
        <f>QUANT!C536</f>
        <v>97633</v>
      </c>
      <c r="D177" s="435" t="str">
        <f>QUANT!D536</f>
        <v>SINAPI</v>
      </c>
      <c r="E177" s="436" t="str">
        <f>IFERROR(VLOOKUP($C177,'SINAPI JULHO 2018'!$1:$1048576,2,0),IFERROR(VLOOKUP($C177,'5-COMP. PROPRIA'!$B$13:$I$518,4,0),""))</f>
        <v>DEMOLIÇÃO DE REVESTIMENTO CERÂMICO, DE FORMA MANUAL, SEM REAPROVEITAMENTO. AF_12/2017</v>
      </c>
      <c r="F177" s="437" t="str">
        <f>IFERROR(VLOOKUP($C177,'SINAPI JULHO 2018'!$A:$D,3,0),IFERROR(VLOOKUP($C177,'5-COMP. PROPRIA'!$B$13:$I$518,5,0),""))</f>
        <v>M2</v>
      </c>
      <c r="G177" s="438">
        <f>QUANT!K536</f>
        <v>51.55</v>
      </c>
      <c r="H177" s="439">
        <f>IFERROR(VLOOKUP($C177,'SINAPI JULHO 2018'!$A:$D,4,0),IFERROR(VLOOKUP($C177,'5-COMP. PROPRIA'!$B$13:$I$518,8,0),""))</f>
        <v>14.76</v>
      </c>
      <c r="I177" s="440">
        <f>H177*'4-BDI'!$E$29</f>
        <v>18.928224</v>
      </c>
      <c r="J177" s="63">
        <f t="shared" ref="J177:J186" si="82">TRUNC(G177*H177,2)</f>
        <v>760.87</v>
      </c>
      <c r="K177" s="190">
        <f t="shared" ref="K177:K186" si="83">TRUNC(G177*I177,2)</f>
        <v>975.74</v>
      </c>
    </row>
    <row r="178" spans="2:11" ht="15">
      <c r="B178" s="14" t="s">
        <v>12811</v>
      </c>
      <c r="C178" s="435">
        <f>QUANT!C538</f>
        <v>72897</v>
      </c>
      <c r="D178" s="435" t="str">
        <f>QUANT!D538</f>
        <v>SINAPI</v>
      </c>
      <c r="E178" s="436" t="str">
        <f>IFERROR(VLOOKUP($C178,'SINAPI JULHO 2018'!$1:$1048576,2,0),IFERROR(VLOOKUP($C178,'5-COMP. PROPRIA'!$B$13:$I$518,4,0),""))</f>
        <v>CARGA MANUAL DE ENTULHO EM CAMINHAO BASCULANTE 6 M3</v>
      </c>
      <c r="F178" s="437" t="str">
        <f>IFERROR(VLOOKUP($C178,'SINAPI JULHO 2018'!$A:$D,3,0),IFERROR(VLOOKUP($C178,'5-COMP. PROPRIA'!$B$13:$I$518,5,0),""))</f>
        <v>M3</v>
      </c>
      <c r="G178" s="438">
        <f>QUANT!K538</f>
        <v>11.906500000000001</v>
      </c>
      <c r="H178" s="439">
        <f>IFERROR(VLOOKUP($C178,'SINAPI JULHO 2018'!$A:$D,4,0),IFERROR(VLOOKUP($C178,'5-COMP. PROPRIA'!$B$13:$I$518,8,0),""))</f>
        <v>17.34</v>
      </c>
      <c r="I178" s="440">
        <f>H178*'4-BDI'!$E$29</f>
        <v>22.236816000000001</v>
      </c>
      <c r="J178" s="63">
        <f t="shared" si="82"/>
        <v>206.45</v>
      </c>
      <c r="K178" s="190">
        <f t="shared" si="83"/>
        <v>264.76</v>
      </c>
    </row>
    <row r="179" spans="2:11" ht="30">
      <c r="B179" s="14" t="s">
        <v>12812</v>
      </c>
      <c r="C179" s="435">
        <f>QUANT!C540</f>
        <v>97914</v>
      </c>
      <c r="D179" s="435" t="str">
        <f>QUANT!D540</f>
        <v>SINAPI</v>
      </c>
      <c r="E179" s="436" t="str">
        <f>IFERROR(VLOOKUP($C179,'SINAPI JULHO 2018'!$1:$1048576,2,0),IFERROR(VLOOKUP($C179,'5-COMP. PROPRIA'!$B$13:$I$518,4,0),""))</f>
        <v>TRANSPORTE COM CAMINHÃO BASCULANTE DE 6 M3, EM VIA URBANA PAVIMENTADA, DMT ATÉ 30 KM (UNIDADE: M3XKM). AF_01/2018</v>
      </c>
      <c r="F179" s="437" t="str">
        <f>IFERROR(VLOOKUP($C179,'SINAPI JULHO 2018'!$A:$D,3,0),IFERROR(VLOOKUP($C179,'5-COMP. PROPRIA'!$B$13:$I$518,5,0),""))</f>
        <v>M3XKM</v>
      </c>
      <c r="G179" s="438">
        <f>QUANT!K540</f>
        <v>89.298750000000013</v>
      </c>
      <c r="H179" s="439">
        <f>IFERROR(VLOOKUP($C179,'SINAPI JULHO 2018'!$A:$D,4,0),IFERROR(VLOOKUP($C179,'5-COMP. PROPRIA'!$B$13:$I$518,8,0),""))</f>
        <v>1.52</v>
      </c>
      <c r="I179" s="440">
        <f>H179*'4-BDI'!$E$29</f>
        <v>1.9492480000000001</v>
      </c>
      <c r="J179" s="63">
        <f t="shared" si="82"/>
        <v>135.72999999999999</v>
      </c>
      <c r="K179" s="190">
        <f t="shared" si="83"/>
        <v>174.06</v>
      </c>
    </row>
    <row r="180" spans="2:11" ht="30">
      <c r="B180" s="14" t="s">
        <v>12813</v>
      </c>
      <c r="C180" s="435">
        <f>QUANT!C542</f>
        <v>95241</v>
      </c>
      <c r="D180" s="435" t="str">
        <f>QUANT!D542</f>
        <v>SINAPI</v>
      </c>
      <c r="E180" s="436" t="str">
        <f>IFERROR(VLOOKUP($C180,'SINAPI JULHO 2018'!$1:$1048576,2,0),IFERROR(VLOOKUP($C180,'5-COMP. PROPRIA'!$B$13:$I$518,4,0),""))</f>
        <v>LASTRO DE CONCRETO MAGRO, APLICADO EM PISOS OU RADIERS, ESPESSURA DE 5 CM. AF_07/2016</v>
      </c>
      <c r="F180" s="437" t="str">
        <f>IFERROR(VLOOKUP($C180,'SINAPI JULHO 2018'!$A:$D,3,0),IFERROR(VLOOKUP($C180,'5-COMP. PROPRIA'!$B$13:$I$518,5,0),""))</f>
        <v>M2</v>
      </c>
      <c r="G180" s="438">
        <f>QUANT!K542</f>
        <v>148</v>
      </c>
      <c r="H180" s="439">
        <f>IFERROR(VLOOKUP($C180,'SINAPI JULHO 2018'!$A:$D,4,0),IFERROR(VLOOKUP($C180,'5-COMP. PROPRIA'!$B$13:$I$518,8,0),""))</f>
        <v>20.02</v>
      </c>
      <c r="I180" s="440">
        <f>H180*'4-BDI'!$E$29</f>
        <v>25.673648</v>
      </c>
      <c r="J180" s="63">
        <f t="shared" si="82"/>
        <v>2962.96</v>
      </c>
      <c r="K180" s="190">
        <f t="shared" si="83"/>
        <v>3799.69</v>
      </c>
    </row>
    <row r="181" spans="2:11" ht="45">
      <c r="B181" s="14" t="s">
        <v>12814</v>
      </c>
      <c r="C181" s="435">
        <f>QUANT!C544</f>
        <v>87620</v>
      </c>
      <c r="D181" s="435" t="str">
        <f>QUANT!D544</f>
        <v>SINAPI</v>
      </c>
      <c r="E181" s="436" t="str">
        <f>IFERROR(VLOOKUP($C181,'SINAPI JULHO 2018'!$1:$1048576,2,0),IFERROR(VLOOKUP($C181,'5-COMP. PROPRIA'!$B$13:$I$518,4,0),""))</f>
        <v>CONTRAPISO EM ARGAMASSA TRAÇO 1:4 (CIMENTO E AREIA), PREPARO MECÂNICO COM BETONEIRA 400 L, APLICADO EM ÁREAS SECAS SOBRE LAJE, ADERIDO, ESPESSURA 2CM. AF_06/2014</v>
      </c>
      <c r="F181" s="437" t="str">
        <f>IFERROR(VLOOKUP($C181,'SINAPI JULHO 2018'!$A:$D,3,0),IFERROR(VLOOKUP($C181,'5-COMP. PROPRIA'!$B$13:$I$518,5,0),""))</f>
        <v>M2</v>
      </c>
      <c r="G181" s="438">
        <f>QUANT!K544</f>
        <v>148</v>
      </c>
      <c r="H181" s="439">
        <f>IFERROR(VLOOKUP($C181,'SINAPI JULHO 2018'!$A:$D,4,0),IFERROR(VLOOKUP($C181,'5-COMP. PROPRIA'!$B$13:$I$518,8,0),""))</f>
        <v>24.83</v>
      </c>
      <c r="I181" s="440">
        <f>H181*'4-BDI'!$E$29</f>
        <v>31.841991999999998</v>
      </c>
      <c r="J181" s="63">
        <f t="shared" si="82"/>
        <v>3674.84</v>
      </c>
      <c r="K181" s="190">
        <f t="shared" si="83"/>
        <v>4712.6099999999997</v>
      </c>
    </row>
    <row r="182" spans="2:11" ht="30">
      <c r="B182" s="14" t="s">
        <v>12815</v>
      </c>
      <c r="C182" s="435">
        <f>QUANT!C546</f>
        <v>84191</v>
      </c>
      <c r="D182" s="435" t="str">
        <f>QUANT!D546</f>
        <v>SINAPI</v>
      </c>
      <c r="E182" s="436" t="str">
        <f>IFERROR(VLOOKUP($C182,'SINAPI JULHO 2018'!$1:$1048576,2,0),IFERROR(VLOOKUP($C182,'5-COMP. PROPRIA'!$B$13:$I$518,4,0),""))</f>
        <v>PISO EM GRANILITE, MARMORITE OU GRANITINA ESPESSURA 8 MM, INCLUSO JUNTAS DE DILATACAO PLASTICAS</v>
      </c>
      <c r="F182" s="437" t="str">
        <f>IFERROR(VLOOKUP($C182,'SINAPI JULHO 2018'!$A:$D,3,0),IFERROR(VLOOKUP($C182,'5-COMP. PROPRIA'!$B$13:$I$518,5,0),""))</f>
        <v>M2</v>
      </c>
      <c r="G182" s="438">
        <f>QUANT!K546</f>
        <v>148</v>
      </c>
      <c r="H182" s="439">
        <f>IFERROR(VLOOKUP($C182,'SINAPI JULHO 2018'!$A:$D,4,0),IFERROR(VLOOKUP($C182,'5-COMP. PROPRIA'!$B$13:$I$518,8,0),""))</f>
        <v>95.34</v>
      </c>
      <c r="I182" s="440">
        <f>H182*'4-BDI'!$E$29</f>
        <v>122.264016</v>
      </c>
      <c r="J182" s="63">
        <f t="shared" si="82"/>
        <v>14110.32</v>
      </c>
      <c r="K182" s="190">
        <f t="shared" si="83"/>
        <v>18095.07</v>
      </c>
    </row>
    <row r="183" spans="2:11" ht="30">
      <c r="B183" s="14" t="s">
        <v>12816</v>
      </c>
      <c r="C183" s="435" t="str">
        <f>QUANT!C548</f>
        <v>73872/1</v>
      </c>
      <c r="D183" s="435" t="str">
        <f>QUANT!D548</f>
        <v>SINAPI</v>
      </c>
      <c r="E183" s="436" t="str">
        <f>IFERROR(VLOOKUP($C183,'SINAPI JULHO 2018'!$1:$1048576,2,0),IFERROR(VLOOKUP($C183,'5-COMP. PROPRIA'!$B$13:$I$518,4,0),""))</f>
        <v>IMPERMEABILIZACAO COM PINTURA A BASE DE RESINA EPOXI ALCATRAO, UMA DEMAO.</v>
      </c>
      <c r="F183" s="437" t="str">
        <f>IFERROR(VLOOKUP($C183,'SINAPI JULHO 2018'!$A:$D,3,0),IFERROR(VLOOKUP($C183,'5-COMP. PROPRIA'!$B$13:$I$518,5,0),""))</f>
        <v>M2</v>
      </c>
      <c r="G183" s="438">
        <f>QUANT!K548</f>
        <v>148</v>
      </c>
      <c r="H183" s="439">
        <f>IFERROR(VLOOKUP($C183,'SINAPI JULHO 2018'!$A:$D,4,0),IFERROR(VLOOKUP($C183,'5-COMP. PROPRIA'!$B$13:$I$518,8,0),""))</f>
        <v>26</v>
      </c>
      <c r="I183" s="440">
        <f>H183*'4-BDI'!$E$29</f>
        <v>33.342399999999998</v>
      </c>
      <c r="J183" s="63">
        <f t="shared" si="82"/>
        <v>3848</v>
      </c>
      <c r="K183" s="190">
        <f t="shared" si="83"/>
        <v>4934.67</v>
      </c>
    </row>
    <row r="184" spans="2:11" ht="15">
      <c r="B184" s="14" t="s">
        <v>12817</v>
      </c>
      <c r="C184" s="435" t="str">
        <f>QUANT!C550</f>
        <v>73850/1</v>
      </c>
      <c r="D184" s="435" t="str">
        <f>QUANT!D550</f>
        <v>SINAPI</v>
      </c>
      <c r="E184" s="436" t="str">
        <f>IFERROR(VLOOKUP($C184,'SINAPI JULHO 2018'!$1:$1048576,2,0),IFERROR(VLOOKUP($C184,'5-COMP. PROPRIA'!$B$13:$I$518,4,0),""))</f>
        <v>RODAPE EM MARMORITE, ALTURA 10CM</v>
      </c>
      <c r="F184" s="437" t="str">
        <f>IFERROR(VLOOKUP($C184,'SINAPI JULHO 2018'!$A:$D,3,0),IFERROR(VLOOKUP($C184,'5-COMP. PROPRIA'!$B$13:$I$518,5,0),""))</f>
        <v>M</v>
      </c>
      <c r="G184" s="438">
        <f>QUANT!K550</f>
        <v>188.85</v>
      </c>
      <c r="H184" s="439">
        <f>IFERROR(VLOOKUP($C184,'SINAPI JULHO 2018'!$A:$D,4,0),IFERROR(VLOOKUP($C184,'5-COMP. PROPRIA'!$B$13:$I$518,8,0),""))</f>
        <v>22.15</v>
      </c>
      <c r="I184" s="440">
        <f>H184*'4-BDI'!$E$29</f>
        <v>28.405159999999999</v>
      </c>
      <c r="J184" s="63">
        <f t="shared" si="82"/>
        <v>4183.0200000000004</v>
      </c>
      <c r="K184" s="190">
        <f t="shared" si="83"/>
        <v>5364.31</v>
      </c>
    </row>
    <row r="185" spans="2:11" ht="30">
      <c r="B185" s="14" t="s">
        <v>12818</v>
      </c>
      <c r="C185" s="435">
        <f>QUANT!C552</f>
        <v>88649</v>
      </c>
      <c r="D185" s="435" t="str">
        <f>QUANT!D552</f>
        <v>SINAPI</v>
      </c>
      <c r="E185" s="436" t="str">
        <f>IFERROR(VLOOKUP($C185,'SINAPI JULHO 2018'!$1:$1048576,2,0),IFERROR(VLOOKUP($C185,'5-COMP. PROPRIA'!$B$13:$I$518,4,0),""))</f>
        <v>RODAPÉ CERÂMICO DE 7CM DE ALTURA COM PLACAS TIPO ESMALTADA EXTRA DE DIMENSÕES 45X45CM. AF_06/2014</v>
      </c>
      <c r="F185" s="437" t="str">
        <f>IFERROR(VLOOKUP($C185,'SINAPI JULHO 2018'!$A:$D,3,0),IFERROR(VLOOKUP($C185,'5-COMP. PROPRIA'!$B$13:$I$518,5,0),""))</f>
        <v>M</v>
      </c>
      <c r="G185" s="438">
        <f>QUANT!K552</f>
        <v>39.5</v>
      </c>
      <c r="H185" s="439">
        <f>IFERROR(VLOOKUP($C185,'SINAPI JULHO 2018'!$A:$D,4,0),IFERROR(VLOOKUP($C185,'5-COMP. PROPRIA'!$B$13:$I$518,8,0),""))</f>
        <v>4.7300000000000004</v>
      </c>
      <c r="I185" s="440">
        <f>H185*'4-BDI'!$E$29</f>
        <v>6.0657520000000007</v>
      </c>
      <c r="J185" s="63">
        <f t="shared" si="82"/>
        <v>186.83</v>
      </c>
      <c r="K185" s="190">
        <f t="shared" si="83"/>
        <v>239.59</v>
      </c>
    </row>
    <row r="186" spans="2:11" ht="45">
      <c r="B186" s="14" t="s">
        <v>12819</v>
      </c>
      <c r="C186" s="435">
        <f>QUANT!C554</f>
        <v>87250</v>
      </c>
      <c r="D186" s="435" t="str">
        <f>QUANT!D554</f>
        <v>SINAPI</v>
      </c>
      <c r="E186" s="436" t="str">
        <f>IFERROR(VLOOKUP($C186,'SINAPI JULHO 2018'!$1:$1048576,2,0),IFERROR(VLOOKUP($C186,'5-COMP. PROPRIA'!$B$13:$I$518,4,0),""))</f>
        <v>REVESTIMENTO CERÂMICO PARA PISO COM PLACAS TIPO ESMALTADA EXTRA DE DIMENSÕES 45X45 CM APLICADA EM AMBIENTES DE ÁREA ENTRE 5 M2 E 10 M2. AF_06/2014</v>
      </c>
      <c r="F186" s="437" t="str">
        <f>IFERROR(VLOOKUP($C186,'SINAPI JULHO 2018'!$A:$D,3,0),IFERROR(VLOOKUP($C186,'5-COMP. PROPRIA'!$B$13:$I$518,5,0),""))</f>
        <v>M2</v>
      </c>
      <c r="G186" s="438">
        <f>QUANT!K554</f>
        <v>51.55</v>
      </c>
      <c r="H186" s="439">
        <f>IFERROR(VLOOKUP($C186,'SINAPI JULHO 2018'!$A:$D,4,0),IFERROR(VLOOKUP($C186,'5-COMP. PROPRIA'!$B$13:$I$518,8,0),""))</f>
        <v>32.64</v>
      </c>
      <c r="I186" s="440">
        <f>H186*'4-BDI'!$E$29</f>
        <v>41.857536000000003</v>
      </c>
      <c r="J186" s="63">
        <f t="shared" si="82"/>
        <v>1682.59</v>
      </c>
      <c r="K186" s="190">
        <f t="shared" si="83"/>
        <v>2157.75</v>
      </c>
    </row>
    <row r="187" spans="2:11" ht="15">
      <c r="B187" s="526" t="s">
        <v>12756</v>
      </c>
      <c r="C187" s="527"/>
      <c r="D187" s="527"/>
      <c r="E187" s="527"/>
      <c r="F187" s="527"/>
      <c r="G187" s="527"/>
      <c r="H187" s="527"/>
      <c r="I187" s="294"/>
      <c r="J187" s="189">
        <f>SUM(J130:J186)</f>
        <v>144750.26999999999</v>
      </c>
      <c r="K187" s="192">
        <f>SUM(K130:K186)</f>
        <v>185627.70000000004</v>
      </c>
    </row>
    <row r="188" spans="2:11" ht="15">
      <c r="B188" s="305" t="s">
        <v>12820</v>
      </c>
      <c r="C188" s="306"/>
      <c r="D188" s="307"/>
      <c r="E188" s="308" t="str">
        <f>QUANT!E556</f>
        <v xml:space="preserve">GUARDA CORPO </v>
      </c>
      <c r="F188" s="309"/>
      <c r="G188" s="310"/>
      <c r="H188" s="311"/>
      <c r="I188" s="311"/>
      <c r="J188" s="312"/>
      <c r="K188" s="313"/>
    </row>
    <row r="189" spans="2:11" ht="15">
      <c r="B189" s="370" t="s">
        <v>12821</v>
      </c>
      <c r="C189" s="435" t="str">
        <f>QUANT!C558</f>
        <v>74195/1</v>
      </c>
      <c r="D189" s="435" t="str">
        <f>QUANT!D78</f>
        <v>SINAPI</v>
      </c>
      <c r="E189" s="436" t="str">
        <f>IFERROR(VLOOKUP($C189,'SINAPI JULHO 2018'!$1:$1048576,2,0),IFERROR(VLOOKUP($C189,'5-COMP. PROPRIA'!$B$13:$I$518,4,0),""))</f>
        <v>GUARDA-CORPO  COM CORRIMAO EM FERRO BARRA CHATA 3/16"</v>
      </c>
      <c r="F189" s="437" t="str">
        <f>IFERROR(VLOOKUP($C189,'SINAPI JULHO 2018'!$A:$D,3,0),IFERROR(VLOOKUP($C189,'5-COMP. PROPRIA'!$B$13:$I$518,5,0),""))</f>
        <v>M</v>
      </c>
      <c r="G189" s="438">
        <f>QUANT!K558</f>
        <v>10.4</v>
      </c>
      <c r="H189" s="439">
        <f>IFERROR(VLOOKUP($C189,'SINAPI JULHO 2018'!$A:$D,4,0),IFERROR(VLOOKUP($C189,'5-COMP. PROPRIA'!$B$13:$I$518,8,0),""))</f>
        <v>404.58</v>
      </c>
      <c r="I189" s="440">
        <f>H189*'4-BDI'!$E$29</f>
        <v>518.833392</v>
      </c>
      <c r="J189" s="63">
        <f t="shared" ref="J189" si="84">TRUNC(G189*H189,2)</f>
        <v>4207.63</v>
      </c>
      <c r="K189" s="190">
        <f t="shared" ref="K189" si="85">TRUNC(G189*I189,2)</f>
        <v>5395.86</v>
      </c>
    </row>
    <row r="190" spans="2:11" ht="15">
      <c r="B190" s="370" t="s">
        <v>12822</v>
      </c>
      <c r="C190" s="435" t="str">
        <f>QUANT!C560</f>
        <v>CP-LIX-02</v>
      </c>
      <c r="D190" s="435" t="str">
        <f>QUANT!D560</f>
        <v>PRÓRPIA</v>
      </c>
      <c r="E190" s="436" t="str">
        <f>IFERROR(VLOOKUP($C190,'SINAPI JULHO 2018'!$1:$1048576,2,0),IFERROR(VLOOKUP($C190,'5-COMP. PROPRIA'!$B$13:$I$518,4,0),""))</f>
        <v xml:space="preserve">LIXAMENTO DE SUPERFICIE METÁLICA </v>
      </c>
      <c r="F190" s="437" t="str">
        <f>IFERROR(VLOOKUP($C190,'SINAPI JULHO 2018'!$A:$D,3,0),IFERROR(VLOOKUP($C190,'5-COMP. PROPRIA'!$B$13:$I$518,5,0),""))</f>
        <v>M2</v>
      </c>
      <c r="G190" s="438">
        <f>QUANT!K560</f>
        <v>31.200000000000003</v>
      </c>
      <c r="H190" s="439">
        <f>IFERROR(VLOOKUP($C190,'SINAPI JULHO 2018'!$A:$D,4,0),IFERROR(VLOOKUP($C190,'5-COMP. PROPRIA'!$B$13:$I$518,8,0),""))</f>
        <v>4.66</v>
      </c>
      <c r="I190" s="440">
        <f>H190*'4-BDI'!$E$29</f>
        <v>5.9759840000000004</v>
      </c>
      <c r="J190" s="63">
        <f t="shared" ref="J190:J191" si="86">TRUNC(G190*H190,2)</f>
        <v>145.38999999999999</v>
      </c>
      <c r="K190" s="190">
        <f t="shared" ref="K190:K191" si="87">TRUNC(G190*I190,2)</f>
        <v>186.45</v>
      </c>
    </row>
    <row r="191" spans="2:11" ht="15">
      <c r="B191" s="370" t="s">
        <v>12823</v>
      </c>
      <c r="C191" s="435" t="str">
        <f>QUANT!C562</f>
        <v>73924/1</v>
      </c>
      <c r="D191" s="435" t="str">
        <f>QUANT!D562</f>
        <v>SINAPI</v>
      </c>
      <c r="E191" s="436" t="str">
        <f>IFERROR(VLOOKUP($C191,'SINAPI JULHO 2018'!$1:$1048576,2,0),IFERROR(VLOOKUP($C191,'5-COMP. PROPRIA'!$B$13:$I$518,4,0),""))</f>
        <v>PINTURA ESMALTE ALTO BRILHO, DUAS DEMAOS, SOBRE SUPERFICIE METALICA</v>
      </c>
      <c r="F191" s="437" t="str">
        <f>IFERROR(VLOOKUP($C191,'SINAPI JULHO 2018'!$A:$D,3,0),IFERROR(VLOOKUP($C191,'5-COMP. PROPRIA'!$B$13:$I$518,5,0),""))</f>
        <v>M2</v>
      </c>
      <c r="G191" s="438">
        <f>QUANT!K562</f>
        <v>31.200000000000003</v>
      </c>
      <c r="H191" s="439">
        <f>IFERROR(VLOOKUP($C191,'SINAPI JULHO 2018'!$A:$D,4,0),IFERROR(VLOOKUP($C191,'5-COMP. PROPRIA'!$B$13:$I$518,8,0),""))</f>
        <v>21.24</v>
      </c>
      <c r="I191" s="440">
        <f>H191*'4-BDI'!$E$29</f>
        <v>27.238175999999999</v>
      </c>
      <c r="J191" s="63">
        <f t="shared" si="86"/>
        <v>662.68</v>
      </c>
      <c r="K191" s="190">
        <f t="shared" si="87"/>
        <v>849.83</v>
      </c>
    </row>
    <row r="192" spans="2:11" ht="15">
      <c r="B192" s="526" t="s">
        <v>12756</v>
      </c>
      <c r="C192" s="527"/>
      <c r="D192" s="527"/>
      <c r="E192" s="527"/>
      <c r="F192" s="527"/>
      <c r="G192" s="527"/>
      <c r="H192" s="527"/>
      <c r="I192" s="294"/>
      <c r="J192" s="189">
        <f>SUM(J189:J191)</f>
        <v>5015.7000000000007</v>
      </c>
      <c r="K192" s="192">
        <f>SUM(K189:K191)</f>
        <v>6432.1399999999994</v>
      </c>
    </row>
    <row r="193" spans="2:11" s="174" customFormat="1" ht="15">
      <c r="B193" s="305" t="s">
        <v>12824</v>
      </c>
      <c r="C193" s="306"/>
      <c r="D193" s="307"/>
      <c r="E193" s="308" t="str">
        <f>QUANT!E564</f>
        <v>URBANIZAÇÃO</v>
      </c>
      <c r="F193" s="309"/>
      <c r="G193" s="310"/>
      <c r="H193" s="311"/>
      <c r="I193" s="311"/>
      <c r="J193" s="312"/>
      <c r="K193" s="313"/>
    </row>
    <row r="194" spans="2:11" s="174" customFormat="1" ht="15">
      <c r="B194" s="362" t="s">
        <v>12825</v>
      </c>
      <c r="C194" s="363"/>
      <c r="D194" s="363"/>
      <c r="E194" s="363" t="str">
        <f>QUANT!E566</f>
        <v>CAMPO</v>
      </c>
      <c r="F194" s="364"/>
      <c r="G194" s="365"/>
      <c r="H194" s="366"/>
      <c r="I194" s="367"/>
      <c r="J194" s="368"/>
      <c r="K194" s="369"/>
    </row>
    <row r="195" spans="2:11" ht="15">
      <c r="B195" s="14" t="s">
        <v>12826</v>
      </c>
      <c r="C195" s="282" t="str">
        <f>QUANT!C568</f>
        <v>CP-URB-01</v>
      </c>
      <c r="D195" s="282" t="str">
        <f>QUANT!D568</f>
        <v>PRÓRPIA</v>
      </c>
      <c r="E195" s="283" t="str">
        <f>IFERROR(VLOOKUP($C195,'SINAPI JULHO 2018'!$1:$1048576,2,0),IFERROR(VLOOKUP($C195,'5-COMP. PROPRIA'!$B$13:$I$518,4,0),""))</f>
        <v xml:space="preserve">AQUISIÇÃO  CARGA, TRANSPORTE E ESPALHAMENTO DE SOLO VEGETAL </v>
      </c>
      <c r="F195" s="284" t="str">
        <f>IFERROR(VLOOKUP($C195,'SINAPI JULHO 2018'!$A:$D,3,0),IFERROR(VLOOKUP($C195,'5-COMP. PROPRIA'!$B$13:$I$518,5,0),""))</f>
        <v>M3</v>
      </c>
      <c r="G195" s="285">
        <f>QUANT!K568</f>
        <v>290.13</v>
      </c>
      <c r="H195" s="286">
        <f>IFERROR(VLOOKUP($C195,'SINAPI JULHO 2018'!$A:$D,4,0),IFERROR(VLOOKUP($C195,'5-COMP. PROPRIA'!$B$13:$I$518,8,0),""))</f>
        <v>106.53</v>
      </c>
      <c r="I195" s="287">
        <f>H195*'4-BDI'!$E$29</f>
        <v>136.61407199999999</v>
      </c>
      <c r="J195" s="63">
        <f t="shared" ref="J195" si="88">TRUNC(G195*H195,2)</f>
        <v>30907.54</v>
      </c>
      <c r="K195" s="190">
        <f t="shared" ref="K195" si="89">TRUNC(G195*I195,2)</f>
        <v>39635.839999999997</v>
      </c>
    </row>
    <row r="196" spans="2:11" ht="15">
      <c r="B196" s="14" t="s">
        <v>12827</v>
      </c>
      <c r="C196" s="282">
        <f>QUANT!C570</f>
        <v>85180</v>
      </c>
      <c r="D196" s="282" t="str">
        <f>QUANT!D570</f>
        <v>SINAPI</v>
      </c>
      <c r="E196" s="283" t="str">
        <f>IFERROR(VLOOKUP($C196,'SINAPI JULHO 2018'!$1:$1048576,2,0),IFERROR(VLOOKUP($C196,'5-COMP. PROPRIA'!$B$13:$I$518,4,0),""))</f>
        <v>PLANTIO DE GRAMA ESMERALDA EM ROLO</v>
      </c>
      <c r="F196" s="284" t="str">
        <f>IFERROR(VLOOKUP($C196,'SINAPI JULHO 2018'!$A:$D,3,0),IFERROR(VLOOKUP($C196,'5-COMP. PROPRIA'!$B$13:$I$518,5,0),""))</f>
        <v>M2</v>
      </c>
      <c r="G196" s="285">
        <f>QUANT!K570</f>
        <v>5258</v>
      </c>
      <c r="H196" s="286">
        <f>IFERROR(VLOOKUP($C196,'SINAPI JULHO 2018'!$A:$D,4,0),IFERROR(VLOOKUP($C196,'5-COMP. PROPRIA'!$B$13:$I$518,8,0),""))</f>
        <v>12.28</v>
      </c>
      <c r="I196" s="287">
        <f>H196*'4-BDI'!$E$29</f>
        <v>15.747871999999999</v>
      </c>
      <c r="J196" s="63">
        <f t="shared" ref="J196" si="90">TRUNC(G196*H196,2)</f>
        <v>64568.24</v>
      </c>
      <c r="K196" s="190">
        <f t="shared" ref="K196" si="91">TRUNC(G196*I196,2)</f>
        <v>82802.31</v>
      </c>
    </row>
    <row r="197" spans="2:11" ht="15">
      <c r="B197" s="362" t="s">
        <v>12828</v>
      </c>
      <c r="C197" s="363"/>
      <c r="D197" s="363"/>
      <c r="E197" s="363" t="str">
        <f>QUANT!E572</f>
        <v>BANCO DE RESERVAS</v>
      </c>
      <c r="F197" s="364"/>
      <c r="G197" s="365"/>
      <c r="H197" s="366"/>
      <c r="I197" s="367"/>
      <c r="J197" s="368"/>
      <c r="K197" s="369"/>
    </row>
    <row r="198" spans="2:11" ht="15">
      <c r="B198" s="314"/>
      <c r="C198" s="96"/>
      <c r="D198" s="96"/>
      <c r="E198" s="96" t="s">
        <v>12829</v>
      </c>
      <c r="F198" s="178"/>
      <c r="G198" s="146"/>
      <c r="H198" s="145"/>
      <c r="I198" s="219"/>
      <c r="J198" s="65"/>
      <c r="K198" s="191"/>
    </row>
    <row r="199" spans="2:11" ht="15">
      <c r="B199" s="14" t="s">
        <v>12830</v>
      </c>
      <c r="C199" s="282" t="str">
        <f>QUANT!C574</f>
        <v>CP-TRP-01</v>
      </c>
      <c r="D199" s="282" t="str">
        <f>QUANT!D574</f>
        <v>PRÓRPIA</v>
      </c>
      <c r="E199" s="283" t="str">
        <f>IFERROR(VLOOKUP($C199,'SINAPI JULHO 2018'!$1:$1048576,2,0),IFERROR(VLOOKUP($C199,'5-COMP. PROPRIA'!$B$13:$I$518,4,0),""))</f>
        <v>AQUISIÇÃO DE CARGA E TRANSPORTE DE SOLO PARA ATERRO</v>
      </c>
      <c r="F199" s="284" t="str">
        <f>IFERROR(VLOOKUP($C199,'SINAPI JULHO 2018'!$A:$D,3,0),IFERROR(VLOOKUP($C199,'5-COMP. PROPRIA'!$B$13:$I$518,5,0),""))</f>
        <v xml:space="preserve">M3    </v>
      </c>
      <c r="G199" s="285">
        <f>QUANT!K574</f>
        <v>42</v>
      </c>
      <c r="H199" s="286">
        <f>IFERROR(VLOOKUP($C199,'SINAPI JULHO 2018'!$A:$D,4,0),IFERROR(VLOOKUP($C199,'5-COMP. PROPRIA'!$B$13:$I$518,8,0),""))</f>
        <v>88.86</v>
      </c>
      <c r="I199" s="287">
        <f>H199*'4-BDI'!$E$29</f>
        <v>113.954064</v>
      </c>
      <c r="J199" s="63">
        <f t="shared" ref="J199" si="92">TRUNC(G199*H199,2)</f>
        <v>3732.12</v>
      </c>
      <c r="K199" s="190">
        <f t="shared" ref="K199" si="93">TRUNC(G199*I199,2)</f>
        <v>4786.07</v>
      </c>
    </row>
    <row r="200" spans="2:11" ht="30">
      <c r="B200" s="14" t="s">
        <v>12831</v>
      </c>
      <c r="C200" s="282">
        <f>QUANT!C579</f>
        <v>96385</v>
      </c>
      <c r="D200" s="282" t="str">
        <f>QUANT!D579</f>
        <v>SINAPI</v>
      </c>
      <c r="E200" s="283" t="str">
        <f>IFERROR(VLOOKUP($C200,'SINAPI JULHO 2018'!$1:$1048576,2,0),IFERROR(VLOOKUP($C200,'5-COMP. PROPRIA'!$B$13:$I$518,4,0),""))</f>
        <v>EXECUÇÃO E COMPACTAÇÃO DE ATERRO COM SOLO PREDOMINANTEMENTE ARGILOSO - EXCLUSIVE ESCAVAÇÃO, CARGA E TRANSPORTE E SOLO. AF_09/2017</v>
      </c>
      <c r="F200" s="284" t="str">
        <f>IFERROR(VLOOKUP($C200,'SINAPI JULHO 2018'!$A:$D,3,0),IFERROR(VLOOKUP($C200,'5-COMP. PROPRIA'!$B$13:$I$518,5,0),""))</f>
        <v>M3</v>
      </c>
      <c r="G200" s="285">
        <f>QUANT!K579</f>
        <v>42</v>
      </c>
      <c r="H200" s="286">
        <f>IFERROR(VLOOKUP($C200,'SINAPI JULHO 2018'!$A:$D,4,0),IFERROR(VLOOKUP($C200,'5-COMP. PROPRIA'!$B$13:$I$518,8,0),""))</f>
        <v>4.8499999999999996</v>
      </c>
      <c r="I200" s="287">
        <f>H200*'4-BDI'!$E$29</f>
        <v>6.2196399999999992</v>
      </c>
      <c r="J200" s="63">
        <f t="shared" ref="J200" si="94">TRUNC(G200*H200,2)</f>
        <v>203.7</v>
      </c>
      <c r="K200" s="190">
        <f t="shared" ref="K200" si="95">TRUNC(G200*I200,2)</f>
        <v>261.22000000000003</v>
      </c>
    </row>
    <row r="201" spans="2:11" ht="45">
      <c r="B201" s="14" t="s">
        <v>12832</v>
      </c>
      <c r="C201" s="282">
        <f>QUANT!C581</f>
        <v>94992</v>
      </c>
      <c r="D201" s="282" t="str">
        <f>QUANT!D581</f>
        <v>SINAPI</v>
      </c>
      <c r="E201" s="283" t="str">
        <f>IFERROR(VLOOKUP($C201,'SINAPI JULHO 2018'!$1:$1048576,2,0),IFERROR(VLOOKUP($C201,'5-COMP. PROPRIA'!$B$13:$I$518,4,0),""))</f>
        <v>EXECUÇÃO DE PASSEIO (CALÇADA) OU PISO DE CONCRETO COM CONCRETO MOLDADO IN LOCO, FEITO EM OBRA, ACABAMENTO CONVENCIONAL, ESPESSURA 6 CM, ARMADO. AF_07/2016</v>
      </c>
      <c r="F201" s="284" t="str">
        <f>IFERROR(VLOOKUP($C201,'SINAPI JULHO 2018'!$A:$D,3,0),IFERROR(VLOOKUP($C201,'5-COMP. PROPRIA'!$B$13:$I$518,5,0),""))</f>
        <v>M2</v>
      </c>
      <c r="G201" s="285">
        <f>QUANT!K581</f>
        <v>15</v>
      </c>
      <c r="H201" s="286">
        <f>IFERROR(VLOOKUP($C201,'SINAPI JULHO 2018'!$A:$D,4,0),IFERROR(VLOOKUP($C201,'5-COMP. PROPRIA'!$B$13:$I$518,8,0),""))</f>
        <v>53.02</v>
      </c>
      <c r="I201" s="287">
        <f>H201*'4-BDI'!$E$29</f>
        <v>67.992848000000009</v>
      </c>
      <c r="J201" s="63">
        <f t="shared" ref="J201:J202" si="96">TRUNC(G201*H201,2)</f>
        <v>795.3</v>
      </c>
      <c r="K201" s="190">
        <f t="shared" ref="K201:K202" si="97">TRUNC(G201*I201,2)</f>
        <v>1019.89</v>
      </c>
    </row>
    <row r="202" spans="2:11" ht="15">
      <c r="B202" s="14" t="s">
        <v>12833</v>
      </c>
      <c r="C202" s="282" t="str">
        <f>QUANT!C583</f>
        <v>CP-URB-02</v>
      </c>
      <c r="D202" s="282" t="str">
        <f>QUANT!D583</f>
        <v>PRÓRPIA</v>
      </c>
      <c r="E202" s="283" t="str">
        <f>IFERROR(VLOOKUP($C202,'SINAPI JULHO 2018'!$1:$1048576,2,0),IFERROR(VLOOKUP($C202,'5-COMP. PROPRIA'!$B$13:$I$518,4,0),""))</f>
        <v>BANCO DE CONCRETO</v>
      </c>
      <c r="F202" s="284" t="str">
        <f>IFERROR(VLOOKUP($C202,'SINAPI JULHO 2018'!$A:$D,3,0),IFERROR(VLOOKUP($C202,'5-COMP. PROPRIA'!$B$13:$I$518,5,0),""))</f>
        <v>UNI</v>
      </c>
      <c r="G202" s="285">
        <f>QUANT!K583</f>
        <v>2</v>
      </c>
      <c r="H202" s="286">
        <f>IFERROR(VLOOKUP($C202,'SINAPI JULHO 2018'!$A:$D,4,0),IFERROR(VLOOKUP($C202,'5-COMP. PROPRIA'!$B$13:$I$518,8,0),""))</f>
        <v>813.46999999999991</v>
      </c>
      <c r="I202" s="287">
        <f>H202*'4-BDI'!$E$29</f>
        <v>1043.1939279999999</v>
      </c>
      <c r="J202" s="63">
        <f t="shared" si="96"/>
        <v>1626.94</v>
      </c>
      <c r="K202" s="190">
        <f t="shared" si="97"/>
        <v>2086.38</v>
      </c>
    </row>
    <row r="203" spans="2:11" ht="30">
      <c r="B203" s="14" t="s">
        <v>12834</v>
      </c>
      <c r="C203" s="282" t="str">
        <f>QUANT!C585</f>
        <v>CP-COB-01</v>
      </c>
      <c r="D203" s="282" t="str">
        <f>QUANT!D585</f>
        <v>PRÓRPIA</v>
      </c>
      <c r="E203" s="283" t="str">
        <f>IFERROR(VLOOKUP($C203,'SINAPI JULHO 2018'!$1:$1048576,2,0),IFERROR(VLOOKUP($C203,'5-COMP. PROPRIA'!$B$13:$I$518,4,0),""))</f>
        <v>COBERTURA DE POLICARBONATO, COM ESTRUTURA METALICA PINTADA - FORNECIMENTO E INSTALAÇÃO</v>
      </c>
      <c r="F203" s="284" t="str">
        <f>IFERROR(VLOOKUP($C203,'SINAPI JULHO 2018'!$A:$D,3,0),IFERROR(VLOOKUP($C203,'5-COMP. PROPRIA'!$B$13:$I$518,5,0),""))</f>
        <v>M2</v>
      </c>
      <c r="G203" s="285">
        <f>QUANT!K585</f>
        <v>20.16</v>
      </c>
      <c r="H203" s="286">
        <f>IFERROR(VLOOKUP($C203,'SINAPI JULHO 2018'!$A:$D,4,0),IFERROR(VLOOKUP($C203,'5-COMP. PROPRIA'!$B$13:$I$518,8,0),""))</f>
        <v>423.14</v>
      </c>
      <c r="I203" s="287">
        <f>H203*'4-BDI'!$E$29</f>
        <v>542.63473599999998</v>
      </c>
      <c r="J203" s="63">
        <f t="shared" ref="J203" si="98">TRUNC(G203*H203,2)</f>
        <v>8530.5</v>
      </c>
      <c r="K203" s="190">
        <f t="shared" ref="K203" si="99">TRUNC(G203*I203,2)</f>
        <v>10939.51</v>
      </c>
    </row>
    <row r="204" spans="2:11" ht="15">
      <c r="B204" s="526" t="s">
        <v>12756</v>
      </c>
      <c r="C204" s="527"/>
      <c r="D204" s="527"/>
      <c r="E204" s="527"/>
      <c r="F204" s="527"/>
      <c r="G204" s="527"/>
      <c r="H204" s="527"/>
      <c r="I204" s="294"/>
      <c r="J204" s="192">
        <f>TRUNC(SUM(J195:J203),2)</f>
        <v>110364.34</v>
      </c>
      <c r="K204" s="192">
        <f>TRUNC(SUM(K195:K203),2)</f>
        <v>141531.22</v>
      </c>
    </row>
    <row r="205" spans="2:11" ht="15">
      <c r="B205" s="305" t="s">
        <v>12835</v>
      </c>
      <c r="C205" s="306"/>
      <c r="D205" s="307"/>
      <c r="E205" s="308" t="str">
        <f>QUANT!E587</f>
        <v>PISOS EXTERNOS E CALÇAMENTOS</v>
      </c>
      <c r="F205" s="309"/>
      <c r="G205" s="310"/>
      <c r="H205" s="311"/>
      <c r="I205" s="311"/>
      <c r="J205" s="312"/>
      <c r="K205" s="313"/>
    </row>
    <row r="206" spans="2:11" ht="15">
      <c r="B206" s="361" t="s">
        <v>12836</v>
      </c>
      <c r="C206" s="435">
        <f>QUANT!C589</f>
        <v>84084</v>
      </c>
      <c r="D206" s="435" t="str">
        <f>QUANT!D589</f>
        <v>SINAPI</v>
      </c>
      <c r="E206" s="436" t="str">
        <f>IFERROR(VLOOKUP($C206,'SINAPI JULHO 2018'!$1:$1048576,2,0),IFERROR(VLOOKUP($C206,'5-COMP. PROPRIA'!$B$13:$I$518,4,0),""))</f>
        <v>APICOAMENTO MANUAL DE SUPERFICIE DE CONCRETO</v>
      </c>
      <c r="F206" s="437" t="str">
        <f>IFERROR(VLOOKUP($C206,'SINAPI JULHO 2018'!$A:$D,3,0),IFERROR(VLOOKUP($C206,'5-COMP. PROPRIA'!$B$13:$I$518,5,0),""))</f>
        <v>M2</v>
      </c>
      <c r="G206" s="438">
        <f>QUANT!K589</f>
        <v>282.85000000000002</v>
      </c>
      <c r="H206" s="439">
        <f>IFERROR(VLOOKUP($C206,'SINAPI JULHO 2018'!$A:$D,4,0),IFERROR(VLOOKUP($C206,'5-COMP. PROPRIA'!$B$13:$I$518,8,0),""))</f>
        <v>5.72</v>
      </c>
      <c r="I206" s="440">
        <f>H206*'4-BDI'!$E$29</f>
        <v>7.3353279999999996</v>
      </c>
      <c r="J206" s="63">
        <f t="shared" ref="J206" si="100">TRUNC(G206*H206,2)</f>
        <v>1617.9</v>
      </c>
      <c r="K206" s="190">
        <f t="shared" ref="K206" si="101">TRUNC(G206*I206,2)</f>
        <v>2074.79</v>
      </c>
    </row>
    <row r="207" spans="2:11" ht="15">
      <c r="B207" s="361" t="s">
        <v>12837</v>
      </c>
      <c r="C207" s="435">
        <f>QUANT!C591</f>
        <v>72897</v>
      </c>
      <c r="D207" s="435" t="str">
        <f>QUANT!D591</f>
        <v>SINAPI</v>
      </c>
      <c r="E207" s="436" t="str">
        <f>IFERROR(VLOOKUP($C207,'SINAPI JULHO 2018'!$1:$1048576,2,0),IFERROR(VLOOKUP($C207,'5-COMP. PROPRIA'!$B$13:$I$518,4,0),""))</f>
        <v>CARGA MANUAL DE ENTULHO EM CAMINHAO BASCULANTE 6 M3</v>
      </c>
      <c r="F207" s="437" t="str">
        <f>IFERROR(VLOOKUP($C207,'SINAPI JULHO 2018'!$A:$D,3,0),IFERROR(VLOOKUP($C207,'5-COMP. PROPRIA'!$B$13:$I$518,5,0),""))</f>
        <v>M3</v>
      </c>
      <c r="G207" s="438">
        <f>QUANT!K591</f>
        <v>11.03115</v>
      </c>
      <c r="H207" s="439">
        <f>IFERROR(VLOOKUP($C207,'SINAPI JULHO 2018'!$A:$D,4,0),IFERROR(VLOOKUP($C207,'5-COMP. PROPRIA'!$B$13:$I$518,8,0),""))</f>
        <v>17.34</v>
      </c>
      <c r="I207" s="440">
        <f>H207*'4-BDI'!$E$29</f>
        <v>22.236816000000001</v>
      </c>
      <c r="J207" s="63">
        <f t="shared" ref="J207:J209" si="102">TRUNC(G207*H207,2)</f>
        <v>191.28</v>
      </c>
      <c r="K207" s="190">
        <f t="shared" ref="K207:K209" si="103">TRUNC(G207*I207,2)</f>
        <v>245.29</v>
      </c>
    </row>
    <row r="208" spans="2:11" ht="30">
      <c r="B208" s="361" t="s">
        <v>12838</v>
      </c>
      <c r="C208" s="435">
        <f>QUANT!C593</f>
        <v>97914</v>
      </c>
      <c r="D208" s="435" t="str">
        <f>QUANT!D593</f>
        <v>SINAPI</v>
      </c>
      <c r="E208" s="436" t="str">
        <f>IFERROR(VLOOKUP($C208,'SINAPI JULHO 2018'!$1:$1048576,2,0),IFERROR(VLOOKUP($C208,'5-COMP. PROPRIA'!$B$13:$I$518,4,0),""))</f>
        <v>TRANSPORTE COM CAMINHÃO BASCULANTE DE 6 M3, EM VIA URBANA PAVIMENTADA, DMT ATÉ 30 KM (UNIDADE: M3XKM). AF_01/2018</v>
      </c>
      <c r="F208" s="437" t="str">
        <f>IFERROR(VLOOKUP($C208,'SINAPI JULHO 2018'!$A:$D,3,0),IFERROR(VLOOKUP($C208,'5-COMP. PROPRIA'!$B$13:$I$518,5,0),""))</f>
        <v>M3XKM</v>
      </c>
      <c r="G208" s="438">
        <f>QUANT!K593</f>
        <v>110.3115</v>
      </c>
      <c r="H208" s="439">
        <f>IFERROR(VLOOKUP($C208,'SINAPI JULHO 2018'!$A:$D,4,0),IFERROR(VLOOKUP($C208,'5-COMP. PROPRIA'!$B$13:$I$518,8,0),""))</f>
        <v>1.52</v>
      </c>
      <c r="I208" s="440">
        <f>H208*'4-BDI'!$E$29</f>
        <v>1.9492480000000001</v>
      </c>
      <c r="J208" s="63">
        <f t="shared" si="102"/>
        <v>167.67</v>
      </c>
      <c r="K208" s="190">
        <f t="shared" si="103"/>
        <v>215.02</v>
      </c>
    </row>
    <row r="209" spans="2:11" ht="15">
      <c r="B209" s="361" t="s">
        <v>12839</v>
      </c>
      <c r="C209" s="435" t="str">
        <f>QUANT!C595</f>
        <v>CP-PIS-01</v>
      </c>
      <c r="D209" s="435" t="str">
        <f>QUANT!D595</f>
        <v>PRÓRPIA</v>
      </c>
      <c r="E209" s="436" t="str">
        <f>IFERROR(VLOOKUP($C209,'SINAPI JULHO 2018'!$1:$1048576,2,0),IFERROR(VLOOKUP($C209,'5-COMP. PROPRIA'!$B$13:$I$518,4,0),""))</f>
        <v>REPARO EM PISO DE CONCRETO</v>
      </c>
      <c r="F209" s="437" t="str">
        <f>IFERROR(VLOOKUP($C209,'SINAPI JULHO 2018'!$A:$D,3,0),IFERROR(VLOOKUP($C209,'5-COMP. PROPRIA'!$B$13:$I$518,5,0),""))</f>
        <v>M3</v>
      </c>
      <c r="G209" s="438">
        <f>QUANT!K595</f>
        <v>38.567999999999998</v>
      </c>
      <c r="H209" s="439">
        <f>IFERROR(VLOOKUP($C209,'SINAPI JULHO 2018'!$A:$D,4,0),IFERROR(VLOOKUP($C209,'5-COMP. PROPRIA'!$B$13:$I$518,8,0),""))</f>
        <v>321.97000000000003</v>
      </c>
      <c r="I209" s="440">
        <f>H209*'4-BDI'!$E$29</f>
        <v>412.89432800000003</v>
      </c>
      <c r="J209" s="63">
        <f t="shared" si="102"/>
        <v>12417.73</v>
      </c>
      <c r="K209" s="190">
        <f t="shared" si="103"/>
        <v>15924.5</v>
      </c>
    </row>
    <row r="210" spans="2:11" ht="30">
      <c r="B210" s="361" t="s">
        <v>12840</v>
      </c>
      <c r="C210" s="435">
        <f>QUANT!C601</f>
        <v>94263</v>
      </c>
      <c r="D210" s="435" t="str">
        <f>QUANT!D601</f>
        <v>SINAPI</v>
      </c>
      <c r="E210" s="436" t="str">
        <f>IFERROR(VLOOKUP($C210,'SINAPI JULHO 2018'!$1:$1048576,2,0),IFERROR(VLOOKUP($C210,'5-COMP. PROPRIA'!$B$13:$I$518,4,0),""))</f>
        <v>GUIA (MEIO-FIO) CONCRETO, MOLDADA  IN LOCO  EM TRECHO RETO COM EXTRUSORA, 11,5 CM BASE X 22 CM ALTURA. AF_06/2016</v>
      </c>
      <c r="F210" s="437" t="str">
        <f>IFERROR(VLOOKUP($C210,'SINAPI JULHO 2018'!$A:$D,3,0),IFERROR(VLOOKUP($C210,'5-COMP. PROPRIA'!$B$13:$I$518,5,0),""))</f>
        <v>M</v>
      </c>
      <c r="G210" s="438">
        <f>QUANT!K601</f>
        <v>57.300000000000004</v>
      </c>
      <c r="H210" s="439">
        <f>IFERROR(VLOOKUP($C210,'SINAPI JULHO 2018'!$A:$D,4,0),IFERROR(VLOOKUP($C210,'5-COMP. PROPRIA'!$B$13:$I$518,8,0),""))</f>
        <v>22.16</v>
      </c>
      <c r="I210" s="440">
        <f>H210*'4-BDI'!$E$29</f>
        <v>28.417984000000001</v>
      </c>
      <c r="J210" s="63">
        <f t="shared" ref="J210" si="104">TRUNC(G210*H210,2)</f>
        <v>1269.76</v>
      </c>
      <c r="K210" s="190">
        <f t="shared" ref="K210" si="105">TRUNC(G210*I210,2)</f>
        <v>1628.35</v>
      </c>
    </row>
    <row r="211" spans="2:11" ht="15" customHeight="1">
      <c r="B211" s="523" t="s">
        <v>12756</v>
      </c>
      <c r="C211" s="524"/>
      <c r="D211" s="524"/>
      <c r="E211" s="524"/>
      <c r="F211" s="524"/>
      <c r="G211" s="524"/>
      <c r="H211" s="525"/>
      <c r="I211" s="294"/>
      <c r="J211" s="189">
        <f>TRUNC(SUM(J206:J210),2)</f>
        <v>15664.34</v>
      </c>
      <c r="K211" s="192">
        <f>TRUNC(SUM(K206:K210),2)</f>
        <v>20087.95</v>
      </c>
    </row>
    <row r="212" spans="2:11" ht="15">
      <c r="B212" s="305" t="s">
        <v>12841</v>
      </c>
      <c r="C212" s="306"/>
      <c r="D212" s="307"/>
      <c r="E212" s="308" t="str">
        <f>QUANT!E603</f>
        <v>PORTÕES DE ACESSO</v>
      </c>
      <c r="F212" s="309"/>
      <c r="G212" s="310"/>
      <c r="H212" s="311"/>
      <c r="I212" s="311"/>
      <c r="J212" s="312"/>
      <c r="K212" s="313"/>
    </row>
    <row r="213" spans="2:11" ht="30">
      <c r="B213" s="14" t="s">
        <v>12842</v>
      </c>
      <c r="C213" s="435" t="str">
        <f>QUANT!C605</f>
        <v>74238/2</v>
      </c>
      <c r="D213" s="435" t="str">
        <f>QUANT!D605</f>
        <v>SINAPI</v>
      </c>
      <c r="E213" s="436" t="str">
        <f>IFERROR(VLOOKUP($C213,'SINAPI JULHO 2018'!$1:$1048576,2,0),IFERROR(VLOOKUP($C213,'5-COMP. PROPRIA'!$B$13:$I$518,4,0),""))</f>
        <v>PORTAO EM TELA ARAME GALVANIZADO N.12 MALHA 2" E MOLDURA EM TUBOS DE ACO COM DUAS FOLHAS DE ABRIR, INCLUSO FERRAGENS</v>
      </c>
      <c r="F213" s="437" t="str">
        <f>IFERROR(VLOOKUP($C213,'SINAPI JULHO 2018'!$A:$D,3,0),IFERROR(VLOOKUP($C213,'5-COMP. PROPRIA'!$B$13:$I$518,5,0),""))</f>
        <v>M2</v>
      </c>
      <c r="G213" s="438">
        <f>QUANT!K605</f>
        <v>10</v>
      </c>
      <c r="H213" s="439">
        <f>IFERROR(VLOOKUP($C213,'SINAPI JULHO 2018'!$A:$D,4,0),IFERROR(VLOOKUP($C213,'5-COMP. PROPRIA'!$B$13:$I$518,8,0),""))</f>
        <v>589.02</v>
      </c>
      <c r="I213" s="440">
        <f>H213*'4-BDI'!$E$29</f>
        <v>755.35924799999998</v>
      </c>
      <c r="J213" s="63">
        <f t="shared" ref="J213" si="106">TRUNC(G213*H213,2)</f>
        <v>5890.2</v>
      </c>
      <c r="K213" s="190">
        <f t="shared" ref="K213" si="107">TRUNC(G213*I213,2)</f>
        <v>7553.59</v>
      </c>
    </row>
    <row r="214" spans="2:11" ht="15">
      <c r="B214" s="14" t="s">
        <v>12843</v>
      </c>
      <c r="C214" s="435">
        <f>QUANT!C610</f>
        <v>68054</v>
      </c>
      <c r="D214" s="435" t="str">
        <f>QUANT!D610</f>
        <v>SINAPI</v>
      </c>
      <c r="E214" s="436" t="str">
        <f>IFERROR(VLOOKUP($C214,'SINAPI JULHO 2018'!$1:$1048576,2,0),IFERROR(VLOOKUP($C214,'5-COMP. PROPRIA'!$B$13:$I$518,4,0),""))</f>
        <v>PORTAO DE FERRO EM CHAPA GALVANIZADA PLANA 14 GSG</v>
      </c>
      <c r="F214" s="437" t="str">
        <f>IFERROR(VLOOKUP($C214,'SINAPI JULHO 2018'!$A:$D,3,0),IFERROR(VLOOKUP($C214,'5-COMP. PROPRIA'!$B$13:$I$518,5,0),""))</f>
        <v>M2</v>
      </c>
      <c r="G214" s="438">
        <f>QUANT!K610</f>
        <v>21</v>
      </c>
      <c r="H214" s="439">
        <f>IFERROR(VLOOKUP($C214,'SINAPI JULHO 2018'!$A:$D,4,0),IFERROR(VLOOKUP($C214,'5-COMP. PROPRIA'!$B$13:$I$518,8,0),""))</f>
        <v>214.29</v>
      </c>
      <c r="I214" s="440">
        <f>H214*'4-BDI'!$E$29</f>
        <v>274.80549600000001</v>
      </c>
      <c r="J214" s="63">
        <f t="shared" ref="J214" si="108">TRUNC(G214*H214,2)</f>
        <v>4500.09</v>
      </c>
      <c r="K214" s="190">
        <f t="shared" ref="K214" si="109">TRUNC(G214*I214,2)</f>
        <v>5770.91</v>
      </c>
    </row>
    <row r="215" spans="2:11" ht="15">
      <c r="B215" s="14" t="s">
        <v>12844</v>
      </c>
      <c r="C215" s="435" t="str">
        <f>QUANT!C616</f>
        <v>CP-LIX-02</v>
      </c>
      <c r="D215" s="435" t="str">
        <f>QUANT!D616</f>
        <v>PRÓRPIA</v>
      </c>
      <c r="E215" s="436" t="str">
        <f>IFERROR(VLOOKUP($C215,'SINAPI JULHO 2018'!$1:$1048576,2,0),IFERROR(VLOOKUP($C215,'5-COMP. PROPRIA'!$B$13:$I$518,4,0),""))</f>
        <v xml:space="preserve">LIXAMENTO DE SUPERFICIE METÁLICA </v>
      </c>
      <c r="F215" s="437" t="str">
        <f>IFERROR(VLOOKUP($C215,'SINAPI JULHO 2018'!$A:$D,3,0),IFERROR(VLOOKUP($C215,'5-COMP. PROPRIA'!$B$13:$I$518,5,0),""))</f>
        <v>M2</v>
      </c>
      <c r="G215" s="438">
        <f>QUANT!K616</f>
        <v>62</v>
      </c>
      <c r="H215" s="439">
        <f>IFERROR(VLOOKUP($C215,'SINAPI JULHO 2018'!$A:$D,4,0),IFERROR(VLOOKUP($C215,'5-COMP. PROPRIA'!$B$13:$I$518,8,0),""))</f>
        <v>4.66</v>
      </c>
      <c r="I215" s="440">
        <f>H215*'4-BDI'!$E$29</f>
        <v>5.9759840000000004</v>
      </c>
      <c r="J215" s="63">
        <f t="shared" ref="J215:J216" si="110">TRUNC(G215*H215,2)</f>
        <v>288.92</v>
      </c>
      <c r="K215" s="190">
        <f t="shared" ref="K215:K216" si="111">TRUNC(G215*I215,2)</f>
        <v>370.51</v>
      </c>
    </row>
    <row r="216" spans="2:11" ht="15">
      <c r="B216" s="14" t="s">
        <v>12845</v>
      </c>
      <c r="C216" s="435" t="str">
        <f>QUANT!C618</f>
        <v>73924/1</v>
      </c>
      <c r="D216" s="435" t="str">
        <f>QUANT!D618</f>
        <v>SINAPI</v>
      </c>
      <c r="E216" s="436" t="str">
        <f>IFERROR(VLOOKUP($C216,'SINAPI JULHO 2018'!$1:$1048576,2,0),IFERROR(VLOOKUP($C216,'5-COMP. PROPRIA'!$B$13:$I$518,4,0),""))</f>
        <v>PINTURA ESMALTE ALTO BRILHO, DUAS DEMAOS, SOBRE SUPERFICIE METALICA</v>
      </c>
      <c r="F216" s="437" t="str">
        <f>IFERROR(VLOOKUP($C216,'SINAPI JULHO 2018'!$A:$D,3,0),IFERROR(VLOOKUP($C216,'5-COMP. PROPRIA'!$B$13:$I$518,5,0),""))</f>
        <v>M2</v>
      </c>
      <c r="G216" s="438">
        <f>QUANT!K618</f>
        <v>62</v>
      </c>
      <c r="H216" s="439">
        <f>IFERROR(VLOOKUP($C216,'SINAPI JULHO 2018'!$A:$D,4,0),IFERROR(VLOOKUP($C216,'5-COMP. PROPRIA'!$B$13:$I$518,8,0),""))</f>
        <v>21.24</v>
      </c>
      <c r="I216" s="440">
        <f>H216*'4-BDI'!$E$29</f>
        <v>27.238175999999999</v>
      </c>
      <c r="J216" s="63">
        <f t="shared" si="110"/>
        <v>1316.88</v>
      </c>
      <c r="K216" s="190">
        <f t="shared" si="111"/>
        <v>1688.76</v>
      </c>
    </row>
    <row r="217" spans="2:11" ht="15">
      <c r="B217" s="526" t="s">
        <v>12756</v>
      </c>
      <c r="C217" s="527"/>
      <c r="D217" s="527"/>
      <c r="E217" s="527"/>
      <c r="F217" s="527"/>
      <c r="G217" s="527"/>
      <c r="H217" s="527"/>
      <c r="I217" s="294"/>
      <c r="J217" s="189">
        <f>TRUNC(SUM(J213:J216),2)</f>
        <v>11996.09</v>
      </c>
      <c r="K217" s="192">
        <f>TRUNC(SUM(K213:K216),2)</f>
        <v>15383.77</v>
      </c>
    </row>
    <row r="218" spans="2:11" ht="15">
      <c r="B218" s="305" t="s">
        <v>12846</v>
      </c>
      <c r="C218" s="306"/>
      <c r="D218" s="307"/>
      <c r="E218" s="308" t="str">
        <f>QUANT!E620</f>
        <v>ARQUIBANCADA</v>
      </c>
      <c r="F218" s="309"/>
      <c r="G218" s="310"/>
      <c r="H218" s="311"/>
      <c r="I218" s="311"/>
      <c r="J218" s="312"/>
      <c r="K218" s="313"/>
    </row>
    <row r="219" spans="2:11" ht="15">
      <c r="B219" s="14" t="s">
        <v>12847</v>
      </c>
      <c r="C219" s="435" t="str">
        <f>QUANT!C622</f>
        <v>CP-PIS-02</v>
      </c>
      <c r="D219" s="435" t="str">
        <f>QUANT!D622</f>
        <v>PRÓRPIA</v>
      </c>
      <c r="E219" s="436" t="str">
        <f>IFERROR(VLOOKUP($C219,'SINAPI JULHO 2018'!$1:$1048576,2,0),IFERROR(VLOOKUP($C219,'5-COMP. PROPRIA'!$B$13:$I$518,4,0),""))</f>
        <v>REPARO EM ARQUIBANCADA</v>
      </c>
      <c r="F219" s="437" t="str">
        <f>IFERROR(VLOOKUP($C219,'SINAPI JULHO 2018'!$A:$D,3,0),IFERROR(VLOOKUP($C219,'5-COMP. PROPRIA'!$B$13:$I$518,5,0),""))</f>
        <v>M2</v>
      </c>
      <c r="G219" s="438">
        <f>QUANT!K622</f>
        <v>538.20000000000005</v>
      </c>
      <c r="H219" s="439">
        <f>IFERROR(VLOOKUP($C219,'SINAPI JULHO 2018'!$A:$D,4,0),IFERROR(VLOOKUP($C219,'5-COMP. PROPRIA'!$B$13:$I$518,8,0),""))</f>
        <v>31.89</v>
      </c>
      <c r="I219" s="440">
        <f>H219*'4-BDI'!$E$29</f>
        <v>40.895735999999999</v>
      </c>
      <c r="J219" s="63">
        <f t="shared" ref="J219" si="112">TRUNC(G219*H219,2)</f>
        <v>17163.189999999999</v>
      </c>
      <c r="K219" s="190">
        <f t="shared" ref="K219" si="113">TRUNC(G219*I219,2)</f>
        <v>22010.080000000002</v>
      </c>
    </row>
    <row r="220" spans="2:11" ht="15">
      <c r="B220" s="14" t="s">
        <v>12848</v>
      </c>
      <c r="C220" s="435" t="str">
        <f>QUANT!C624</f>
        <v>CP-ARQ-01</v>
      </c>
      <c r="D220" s="435" t="str">
        <f>QUANT!D624</f>
        <v>PRÓRPIA</v>
      </c>
      <c r="E220" s="436" t="str">
        <f>IFERROR(VLOOKUP($C220,'SINAPI JULHO 2018'!$1:$1048576,2,0),IFERROR(VLOOKUP($C220,'5-COMP. PROPRIA'!$B$13:$I$518,4,0),""))</f>
        <v>DEMOLIÇÃO E RECONSTRUÇÃO DE LAJE DE ASSENTO</v>
      </c>
      <c r="F220" s="437" t="str">
        <f>IFERROR(VLOOKUP($C220,'SINAPI JULHO 2018'!$A:$D,3,0),IFERROR(VLOOKUP($C220,'5-COMP. PROPRIA'!$B$13:$I$518,5,0),""))</f>
        <v>M2</v>
      </c>
      <c r="G220" s="438">
        <f>QUANT!K624</f>
        <v>41.4</v>
      </c>
      <c r="H220" s="439">
        <f>IFERROR(VLOOKUP($C220,'SINAPI JULHO 2018'!$A:$D,4,0),IFERROR(VLOOKUP($C220,'5-COMP. PROPRIA'!$B$13:$I$518,8,0),""))</f>
        <v>55.769999999999996</v>
      </c>
      <c r="I220" s="440">
        <f>H220*'4-BDI'!$E$29</f>
        <v>71.519447999999997</v>
      </c>
      <c r="J220" s="63">
        <f t="shared" ref="J220:J221" si="114">TRUNC(G220*H220,2)</f>
        <v>2308.87</v>
      </c>
      <c r="K220" s="190">
        <f t="shared" ref="K220:K221" si="115">TRUNC(G220*I220,2)</f>
        <v>2960.9</v>
      </c>
    </row>
    <row r="221" spans="2:11" ht="15">
      <c r="B221" s="14" t="s">
        <v>12849</v>
      </c>
      <c r="C221" s="435" t="str">
        <f>QUANT!C626</f>
        <v>79500/2</v>
      </c>
      <c r="D221" s="435" t="str">
        <f>QUANT!D626</f>
        <v>SINAPI</v>
      </c>
      <c r="E221" s="436" t="str">
        <f>IFERROR(VLOOKUP($C221,'SINAPI JULHO 2018'!$1:$1048576,2,0),IFERROR(VLOOKUP($C221,'5-COMP. PROPRIA'!$B$13:$I$518,4,0),""))</f>
        <v>PINTURA ACRILICA EM PISO CIMENTADO, TRES DEMAOS</v>
      </c>
      <c r="F221" s="437" t="str">
        <f>IFERROR(VLOOKUP($C221,'SINAPI JULHO 2018'!$A:$D,3,0),IFERROR(VLOOKUP($C221,'5-COMP. PROPRIA'!$B$13:$I$518,5,0),""))</f>
        <v>M2</v>
      </c>
      <c r="G221" s="438">
        <f>QUANT!K626</f>
        <v>713.35</v>
      </c>
      <c r="H221" s="439">
        <f>IFERROR(VLOOKUP($C221,'SINAPI JULHO 2018'!$A:$D,4,0),IFERROR(VLOOKUP($C221,'5-COMP. PROPRIA'!$B$13:$I$518,8,0),""))</f>
        <v>16.12</v>
      </c>
      <c r="I221" s="440">
        <f>H221*'4-BDI'!$E$29</f>
        <v>20.672288000000002</v>
      </c>
      <c r="J221" s="63">
        <f t="shared" si="114"/>
        <v>11499.2</v>
      </c>
      <c r="K221" s="190">
        <f t="shared" si="115"/>
        <v>14746.57</v>
      </c>
    </row>
    <row r="222" spans="2:11" ht="15">
      <c r="B222" s="526" t="s">
        <v>12756</v>
      </c>
      <c r="C222" s="527"/>
      <c r="D222" s="527"/>
      <c r="E222" s="527"/>
      <c r="F222" s="527"/>
      <c r="G222" s="527"/>
      <c r="H222" s="527"/>
      <c r="I222" s="294"/>
      <c r="J222" s="192">
        <f>TRUNC(SUM(J219:J221),2)</f>
        <v>30971.26</v>
      </c>
      <c r="K222" s="192">
        <f>TRUNC(SUM(K219:K221),2)</f>
        <v>39717.550000000003</v>
      </c>
    </row>
    <row r="223" spans="2:11" ht="15">
      <c r="B223" s="305" t="s">
        <v>12850</v>
      </c>
      <c r="C223" s="306"/>
      <c r="D223" s="307"/>
      <c r="E223" s="308" t="str">
        <f>QUANT!E628</f>
        <v>MURO DE VEDAÇÃO</v>
      </c>
      <c r="F223" s="309"/>
      <c r="G223" s="310"/>
      <c r="H223" s="311"/>
      <c r="I223" s="311"/>
      <c r="J223" s="312"/>
      <c r="K223" s="313"/>
    </row>
    <row r="224" spans="2:11" ht="15">
      <c r="B224" s="362" t="s">
        <v>12851</v>
      </c>
      <c r="C224" s="363"/>
      <c r="D224" s="363"/>
      <c r="E224" s="363" t="str">
        <f>QUANT!E630</f>
        <v>DEMOLIÇÕES</v>
      </c>
      <c r="F224" s="364"/>
      <c r="G224" s="365"/>
      <c r="H224" s="366"/>
      <c r="I224" s="367"/>
      <c r="J224" s="368"/>
      <c r="K224" s="369"/>
    </row>
    <row r="225" spans="2:11" ht="30">
      <c r="B225" s="14" t="s">
        <v>12852</v>
      </c>
      <c r="C225" s="435">
        <f>QUANT!C632</f>
        <v>97625</v>
      </c>
      <c r="D225" s="435" t="str">
        <f>QUANT!D632</f>
        <v>SINAPI</v>
      </c>
      <c r="E225" s="436" t="str">
        <f>IFERROR(VLOOKUP($C225,'SINAPI JULHO 2018'!$1:$1048576,2,0),IFERROR(VLOOKUP($C225,'5-COMP. PROPRIA'!$B$13:$I$518,4,0),""))</f>
        <v>DEMOLIÇÃO DE ALVENARIA PARA QUALQUER TIPO DE BLOCO, DE FORMA MECANIZADA, SEM REAPROVEITAMENTO. AF_12/2017</v>
      </c>
      <c r="F225" s="437" t="str">
        <f>IFERROR(VLOOKUP($C225,'SINAPI JULHO 2018'!$A:$D,3,0),IFERROR(VLOOKUP($C225,'5-COMP. PROPRIA'!$B$13:$I$518,5,0),""))</f>
        <v>M3</v>
      </c>
      <c r="G225" s="438">
        <f>QUANT!K632</f>
        <v>130.62599999999998</v>
      </c>
      <c r="H225" s="439">
        <f>IFERROR(VLOOKUP($C225,'SINAPI JULHO 2018'!$A:$D,4,0),IFERROR(VLOOKUP($C225,'5-COMP. PROPRIA'!$B$13:$I$518,8,0),""))</f>
        <v>32.17</v>
      </c>
      <c r="I225" s="440">
        <f>H225*'4-BDI'!$E$29</f>
        <v>41.254808000000004</v>
      </c>
      <c r="J225" s="63">
        <f t="shared" ref="J225" si="116">TRUNC(G225*H225,2)</f>
        <v>4202.2299999999996</v>
      </c>
      <c r="K225" s="190">
        <f t="shared" ref="K225" si="117">TRUNC(G225*I225,2)</f>
        <v>5388.95</v>
      </c>
    </row>
    <row r="226" spans="2:11" ht="15">
      <c r="B226" s="14" t="s">
        <v>12853</v>
      </c>
      <c r="C226" s="435">
        <f>QUANT!C634</f>
        <v>72897</v>
      </c>
      <c r="D226" s="435" t="str">
        <f>QUANT!D634</f>
        <v>SINAPI</v>
      </c>
      <c r="E226" s="436" t="str">
        <f>IFERROR(VLOOKUP($C226,'SINAPI JULHO 2018'!$1:$1048576,2,0),IFERROR(VLOOKUP($C226,'5-COMP. PROPRIA'!$B$13:$I$518,4,0),""))</f>
        <v>CARGA MANUAL DE ENTULHO EM CAMINHAO BASCULANTE 6 M3</v>
      </c>
      <c r="F226" s="437" t="str">
        <f>IFERROR(VLOOKUP($C226,'SINAPI JULHO 2018'!$A:$D,3,0),IFERROR(VLOOKUP($C226,'5-COMP. PROPRIA'!$B$13:$I$518,5,0),""))</f>
        <v>M3</v>
      </c>
      <c r="G226" s="438">
        <f>QUANT!K634</f>
        <v>261.25199999999995</v>
      </c>
      <c r="H226" s="439">
        <f>IFERROR(VLOOKUP($C226,'SINAPI JULHO 2018'!$A:$D,4,0),IFERROR(VLOOKUP($C226,'5-COMP. PROPRIA'!$B$13:$I$518,8,0),""))</f>
        <v>17.34</v>
      </c>
      <c r="I226" s="440">
        <f>H226*'4-BDI'!$E$29</f>
        <v>22.236816000000001</v>
      </c>
      <c r="J226" s="63">
        <f t="shared" ref="J226:J227" si="118">TRUNC(G226*H226,2)</f>
        <v>4530.1000000000004</v>
      </c>
      <c r="K226" s="190">
        <f t="shared" ref="K226:K227" si="119">TRUNC(G226*I226,2)</f>
        <v>5809.41</v>
      </c>
    </row>
    <row r="227" spans="2:11" ht="30">
      <c r="B227" s="14" t="s">
        <v>12854</v>
      </c>
      <c r="C227" s="435">
        <f>QUANT!C638</f>
        <v>97914</v>
      </c>
      <c r="D227" s="435" t="str">
        <f>QUANT!D638</f>
        <v>SINAPI</v>
      </c>
      <c r="E227" s="436" t="str">
        <f>IFERROR(VLOOKUP($C227,'SINAPI JULHO 2018'!$1:$1048576,2,0),IFERROR(VLOOKUP($C227,'5-COMP. PROPRIA'!$B$13:$I$518,4,0),""))</f>
        <v>TRANSPORTE COM CAMINHÃO BASCULANTE DE 6 M3, EM VIA URBANA PAVIMENTADA, DMT ATÉ 30 KM (UNIDADE: M3XKM). AF_01/2018</v>
      </c>
      <c r="F227" s="437" t="str">
        <f>IFERROR(VLOOKUP($C227,'SINAPI JULHO 2018'!$A:$D,3,0),IFERROR(VLOOKUP($C227,'5-COMP. PROPRIA'!$B$13:$I$518,5,0),""))</f>
        <v>M3XKM</v>
      </c>
      <c r="G227" s="438">
        <f>QUANT!K638</f>
        <v>1959.3899999999996</v>
      </c>
      <c r="H227" s="439">
        <f>IFERROR(VLOOKUP($C227,'SINAPI JULHO 2018'!$A:$D,4,0),IFERROR(VLOOKUP($C227,'5-COMP. PROPRIA'!$B$13:$I$518,8,0),""))</f>
        <v>1.52</v>
      </c>
      <c r="I227" s="440">
        <f>H227*'4-BDI'!$E$29</f>
        <v>1.9492480000000001</v>
      </c>
      <c r="J227" s="63">
        <f t="shared" si="118"/>
        <v>2978.27</v>
      </c>
      <c r="K227" s="190">
        <f t="shared" si="119"/>
        <v>3819.33</v>
      </c>
    </row>
    <row r="228" spans="2:11" ht="15">
      <c r="B228" s="526" t="s">
        <v>12756</v>
      </c>
      <c r="C228" s="527"/>
      <c r="D228" s="527"/>
      <c r="E228" s="527"/>
      <c r="F228" s="527"/>
      <c r="G228" s="527"/>
      <c r="H228" s="527"/>
      <c r="I228" s="294"/>
      <c r="J228" s="192">
        <f>TRUNC(SUM(J225:J227),2)</f>
        <v>11710.6</v>
      </c>
      <c r="K228" s="192">
        <f>TRUNC(SUM(K225:K227),2)</f>
        <v>15017.69</v>
      </c>
    </row>
    <row r="229" spans="2:11" ht="15">
      <c r="B229" s="362" t="s">
        <v>12855</v>
      </c>
      <c r="C229" s="363"/>
      <c r="D229" s="363"/>
      <c r="E229" s="363" t="str">
        <f>QUANT!E642</f>
        <v>MURO FRONTAL</v>
      </c>
      <c r="F229" s="364"/>
      <c r="G229" s="365"/>
      <c r="H229" s="366"/>
      <c r="I229" s="367"/>
      <c r="J229" s="368"/>
      <c r="K229" s="369"/>
    </row>
    <row r="230" spans="2:11" ht="15">
      <c r="B230" s="314" t="s">
        <v>12856</v>
      </c>
      <c r="C230" s="96"/>
      <c r="D230" s="96"/>
      <c r="E230" s="96" t="str">
        <f>QUANT!E646</f>
        <v>ESTACAS</v>
      </c>
      <c r="F230" s="178"/>
      <c r="G230" s="146"/>
      <c r="H230" s="145"/>
      <c r="I230" s="219"/>
      <c r="J230" s="65"/>
      <c r="K230" s="191"/>
    </row>
    <row r="231" spans="2:11" ht="30">
      <c r="B231" s="14" t="s">
        <v>12857</v>
      </c>
      <c r="C231" s="435" t="str">
        <f>QUANT!C648</f>
        <v>CP-FUN-01</v>
      </c>
      <c r="D231" s="435" t="str">
        <f>QUANT!D648</f>
        <v>PRÓRPIA</v>
      </c>
      <c r="E231" s="436" t="str">
        <f>IFERROR(VLOOKUP($C231,'SINAPI JULHO 2018'!$1:$1048576,2,0),IFERROR(VLOOKUP($C231,'5-COMP. PROPRIA'!$B$13:$I$518,4,0),""))</f>
        <v>ESCAVAÇÃO MECANICA DE ESTACA 40 X 40 CM , PROFUNDIDADE DE 1,5 M DE COMPRIMENTO</v>
      </c>
      <c r="F231" s="437" t="str">
        <f>IFERROR(VLOOKUP($C231,'SINAPI JULHO 2018'!$A:$D,3,0),IFERROR(VLOOKUP($C231,'5-COMP. PROPRIA'!$B$13:$I$518,5,0),""))</f>
        <v>M</v>
      </c>
      <c r="G231" s="438">
        <f>QUANT!K648</f>
        <v>37.5</v>
      </c>
      <c r="H231" s="439">
        <f>IFERROR(VLOOKUP($C231,'SINAPI JULHO 2018'!$A:$D,4,0),IFERROR(VLOOKUP($C231,'5-COMP. PROPRIA'!$B$13:$I$518,8,0),""))</f>
        <v>39.909999999999997</v>
      </c>
      <c r="I231" s="440">
        <f>H231*'4-BDI'!$E$29</f>
        <v>51.180583999999996</v>
      </c>
      <c r="J231" s="63">
        <f t="shared" ref="J231" si="120">TRUNC(G231*H231,2)</f>
        <v>1496.62</v>
      </c>
      <c r="K231" s="190">
        <f t="shared" ref="K231" si="121">TRUNC(G231*I231,2)</f>
        <v>1919.27</v>
      </c>
    </row>
    <row r="232" spans="2:11" ht="45">
      <c r="B232" s="14" t="s">
        <v>12858</v>
      </c>
      <c r="C232" s="435">
        <f>QUANT!C652</f>
        <v>92759</v>
      </c>
      <c r="D232" s="435" t="str">
        <f>QUANT!D652</f>
        <v>SINAPI</v>
      </c>
      <c r="E232" s="436" t="str">
        <f>IFERROR(VLOOKUP($C232,'SINAPI JULHO 2018'!$1:$1048576,2,0),IFERROR(VLOOKUP($C232,'5-COMP. PROPRIA'!$B$13:$I$518,4,0),""))</f>
        <v>ARMAÇÃO DE PILAR OU VIGA DE UMA ESTRUTURA CONVENCIONAL DE CONCRETO ARMADO EM UM EDIFÍCIO DE MÚLTIPLOS PAVIMENTOS UTILIZANDO AÇO CA-60 DE 5,0 MM - MONTAGEM. AF_12/2015</v>
      </c>
      <c r="F232" s="437" t="str">
        <f>IFERROR(VLOOKUP($C232,'SINAPI JULHO 2018'!$A:$D,3,0),IFERROR(VLOOKUP($C232,'5-COMP. PROPRIA'!$B$13:$I$518,5,0),""))</f>
        <v>KG</v>
      </c>
      <c r="G232" s="438">
        <f>QUANT!K652</f>
        <v>39.284343750000012</v>
      </c>
      <c r="H232" s="439">
        <f>IFERROR(VLOOKUP($C232,'SINAPI JULHO 2018'!$A:$D,4,0),IFERROR(VLOOKUP($C232,'5-COMP. PROPRIA'!$B$13:$I$518,8,0),""))</f>
        <v>9.1</v>
      </c>
      <c r="I232" s="440">
        <f>H232*'4-BDI'!$E$29</f>
        <v>11.669839999999999</v>
      </c>
      <c r="J232" s="63">
        <f t="shared" ref="J232:J235" si="122">TRUNC(G232*H232,2)</f>
        <v>357.48</v>
      </c>
      <c r="K232" s="190">
        <f t="shared" ref="K232:K235" si="123">TRUNC(G232*I232,2)</f>
        <v>458.44</v>
      </c>
    </row>
    <row r="233" spans="2:11" ht="45">
      <c r="B233" s="14" t="s">
        <v>12859</v>
      </c>
      <c r="C233" s="435">
        <f>QUANT!C656</f>
        <v>92762</v>
      </c>
      <c r="D233" s="435" t="str">
        <f>QUANT!D656</f>
        <v>SINAPI</v>
      </c>
      <c r="E233" s="436" t="str">
        <f>IFERROR(VLOOKUP($C233,'SINAPI JULHO 2018'!$1:$1048576,2,0),IFERROR(VLOOKUP($C233,'5-COMP. PROPRIA'!$B$13:$I$518,4,0),""))</f>
        <v>ARMAÇÃO DE PILAR OU VIGA DE UMA ESTRUTURA CONVENCIONAL DE CONCRETO ARMADO EM UM EDIFÍCIO DE MÚLTIPLOS PAVIMENTOS UTILIZANDO AÇO CA-50 DE 10,0 MM - MONTAGEM. AF_12/2015</v>
      </c>
      <c r="F233" s="437" t="str">
        <f>IFERROR(VLOOKUP($C233,'SINAPI JULHO 2018'!$A:$D,3,0),IFERROR(VLOOKUP($C233,'5-COMP. PROPRIA'!$B$13:$I$518,5,0),""))</f>
        <v>KG</v>
      </c>
      <c r="G233" s="438">
        <f>QUANT!K656</f>
        <v>110.92050000000003</v>
      </c>
      <c r="H233" s="439">
        <f>IFERROR(VLOOKUP($C233,'SINAPI JULHO 2018'!$A:$D,4,0),IFERROR(VLOOKUP($C233,'5-COMP. PROPRIA'!$B$13:$I$518,8,0),""))</f>
        <v>6.58</v>
      </c>
      <c r="I233" s="440">
        <f>H233*'4-BDI'!$E$29</f>
        <v>8.4381920000000008</v>
      </c>
      <c r="J233" s="63">
        <f t="shared" si="122"/>
        <v>729.85</v>
      </c>
      <c r="K233" s="190">
        <f t="shared" si="123"/>
        <v>935.96</v>
      </c>
    </row>
    <row r="234" spans="2:11" ht="30">
      <c r="B234" s="14" t="s">
        <v>12860</v>
      </c>
      <c r="C234" s="435">
        <f>QUANT!C661</f>
        <v>94965</v>
      </c>
      <c r="D234" s="435" t="str">
        <f>QUANT!D661</f>
        <v>SINAPI</v>
      </c>
      <c r="E234" s="436" t="str">
        <f>IFERROR(VLOOKUP($C234,'SINAPI JULHO 2018'!$1:$1048576,2,0),IFERROR(VLOOKUP($C234,'5-COMP. PROPRIA'!$B$13:$I$518,4,0),""))</f>
        <v>CONCRETO FCK = 25MPA, TRAÇO 1:2,3:2,7 (CIMENTO/ AREIA MÉDIA/ BRITA 1)  - PREPARO MECÂNICO COM BETONEIRA 400 L. AF_07/2016</v>
      </c>
      <c r="F234" s="437" t="str">
        <f>IFERROR(VLOOKUP($C234,'SINAPI JULHO 2018'!$A:$D,3,0),IFERROR(VLOOKUP($C234,'5-COMP. PROPRIA'!$B$13:$I$518,5,0),""))</f>
        <v>M3</v>
      </c>
      <c r="G234" s="438">
        <f>QUANT!K661</f>
        <v>6.0000000000000009</v>
      </c>
      <c r="H234" s="439">
        <f>IFERROR(VLOOKUP($C234,'SINAPI JULHO 2018'!$A:$D,4,0),IFERROR(VLOOKUP($C234,'5-COMP. PROPRIA'!$B$13:$I$518,8,0),""))</f>
        <v>323.45</v>
      </c>
      <c r="I234" s="440">
        <f>H234*'4-BDI'!$E$29</f>
        <v>414.79228000000001</v>
      </c>
      <c r="J234" s="63">
        <f t="shared" si="122"/>
        <v>1940.7</v>
      </c>
      <c r="K234" s="190">
        <f t="shared" si="123"/>
        <v>2488.75</v>
      </c>
    </row>
    <row r="235" spans="2:11" ht="15">
      <c r="B235" s="14" t="s">
        <v>12861</v>
      </c>
      <c r="C235" s="435" t="str">
        <f>QUANT!C665</f>
        <v>74157/4</v>
      </c>
      <c r="D235" s="435" t="str">
        <f>QUANT!D652</f>
        <v>SINAPI</v>
      </c>
      <c r="E235" s="436" t="str">
        <f>IFERROR(VLOOKUP($C235,'SINAPI JULHO 2018'!$1:$1048576,2,0),IFERROR(VLOOKUP($C235,'5-COMP. PROPRIA'!$B$13:$I$518,4,0),""))</f>
        <v>LANCAMENTO/APLICACAO MANUAL DE CONCRETO EM FUNDACOES</v>
      </c>
      <c r="F235" s="437" t="str">
        <f>IFERROR(VLOOKUP($C235,'SINAPI JULHO 2018'!$A:$D,3,0),IFERROR(VLOOKUP($C235,'5-COMP. PROPRIA'!$B$13:$I$518,5,0),""))</f>
        <v>M3</v>
      </c>
      <c r="G235" s="438">
        <f>QUANT!K665</f>
        <v>6.0000000000000009</v>
      </c>
      <c r="H235" s="439">
        <f>IFERROR(VLOOKUP($C235,'SINAPI JULHO 2018'!$A:$D,4,0),IFERROR(VLOOKUP($C235,'5-COMP. PROPRIA'!$B$13:$I$518,8,0),""))</f>
        <v>93.76</v>
      </c>
      <c r="I235" s="440">
        <f>H235*'4-BDI'!$E$29</f>
        <v>120.237824</v>
      </c>
      <c r="J235" s="63">
        <f t="shared" si="122"/>
        <v>562.55999999999995</v>
      </c>
      <c r="K235" s="190">
        <f t="shared" si="123"/>
        <v>721.42</v>
      </c>
    </row>
    <row r="236" spans="2:11" ht="15">
      <c r="B236" s="314" t="s">
        <v>12862</v>
      </c>
      <c r="C236" s="96"/>
      <c r="D236" s="96"/>
      <c r="E236" s="96" t="str">
        <f>QUANT!E667</f>
        <v>BALDRAMES</v>
      </c>
      <c r="F236" s="178"/>
      <c r="G236" s="146"/>
      <c r="H236" s="145"/>
      <c r="I236" s="219"/>
      <c r="J236" s="65"/>
      <c r="K236" s="191"/>
    </row>
    <row r="237" spans="2:11" ht="29.25" customHeight="1">
      <c r="B237" s="14" t="s">
        <v>12863</v>
      </c>
      <c r="C237" s="435">
        <f>QUANT!C669</f>
        <v>96527</v>
      </c>
      <c r="D237" s="435" t="str">
        <f>QUANT!D669</f>
        <v>SINAPI</v>
      </c>
      <c r="E237" s="436" t="str">
        <f>IFERROR(VLOOKUP($C237,'SINAPI JULHO 2018'!$1:$1048576,2,0),IFERROR(VLOOKUP($C237,'5-COMP. PROPRIA'!$B$13:$I$518,4,0),""))</f>
        <v>ESCAVAÇÃO MANUAL DE VALA PARA VIGA BALDRAME, COM PREVISÃO DE FÔRMA. AF_06/2017</v>
      </c>
      <c r="F237" s="437" t="str">
        <f>IFERROR(VLOOKUP($C237,'SINAPI JULHO 2018'!$A:$D,3,0),IFERROR(VLOOKUP($C237,'5-COMP. PROPRIA'!$B$13:$I$518,5,0),""))</f>
        <v>M3</v>
      </c>
      <c r="G237" s="438">
        <f>QUANT!K669</f>
        <v>20.794800000000002</v>
      </c>
      <c r="H237" s="439">
        <f>IFERROR(VLOOKUP($C237,'SINAPI JULHO 2018'!$A:$D,4,0),IFERROR(VLOOKUP($C237,'5-COMP. PROPRIA'!$B$13:$I$518,8,0),""))</f>
        <v>84.88</v>
      </c>
      <c r="I237" s="440">
        <f>H237*'4-BDI'!$E$29</f>
        <v>108.850112</v>
      </c>
      <c r="J237" s="63">
        <f t="shared" ref="J237" si="124">TRUNC(G237*H237,2)</f>
        <v>1765.06</v>
      </c>
      <c r="K237" s="190">
        <f t="shared" ref="K237" si="125">TRUNC(G237*I237,2)</f>
        <v>2263.5100000000002</v>
      </c>
    </row>
    <row r="238" spans="2:11" ht="30">
      <c r="B238" s="14" t="s">
        <v>12864</v>
      </c>
      <c r="C238" s="435">
        <f>QUANT!C673</f>
        <v>96617</v>
      </c>
      <c r="D238" s="435" t="str">
        <f>QUANT!D673</f>
        <v>SINAPI</v>
      </c>
      <c r="E238" s="436" t="str">
        <f>IFERROR(VLOOKUP($C238,'SINAPI JULHO 2018'!$1:$1048576,2,0),IFERROR(VLOOKUP($C238,'5-COMP. PROPRIA'!$B$13:$I$518,4,0),""))</f>
        <v>LASTRO DE CONCRETO MAGRO, APLICADO EM BLOCOS DE COROAMENTO OU SAPATAS, ESPESSURA DE 3 CM. AF_08/2017</v>
      </c>
      <c r="F238" s="437" t="str">
        <f>IFERROR(VLOOKUP($C238,'SINAPI JULHO 2018'!$A:$D,3,0),IFERROR(VLOOKUP($C238,'5-COMP. PROPRIA'!$B$13:$I$518,5,0),""))</f>
        <v>M2</v>
      </c>
      <c r="G238" s="438">
        <f>QUANT!K673</f>
        <v>14.880000000000003</v>
      </c>
      <c r="H238" s="439">
        <f>IFERROR(VLOOKUP($C238,'SINAPI JULHO 2018'!$A:$D,4,0),IFERROR(VLOOKUP($C238,'5-COMP. PROPRIA'!$B$13:$I$518,8,0),""))</f>
        <v>12.49</v>
      </c>
      <c r="I238" s="440">
        <f>H238*'4-BDI'!$E$29</f>
        <v>16.017175999999999</v>
      </c>
      <c r="J238" s="63">
        <f t="shared" ref="J238:J247" si="126">TRUNC(G238*H238,2)</f>
        <v>185.85</v>
      </c>
      <c r="K238" s="190">
        <f t="shared" ref="K238:K247" si="127">TRUNC(G238*I238,2)</f>
        <v>238.33</v>
      </c>
    </row>
    <row r="239" spans="2:11" ht="30">
      <c r="B239" s="14" t="s">
        <v>12865</v>
      </c>
      <c r="C239" s="435">
        <f>QUANT!C677</f>
        <v>94965</v>
      </c>
      <c r="D239" s="435" t="str">
        <f>QUANT!D677</f>
        <v>SINAPI</v>
      </c>
      <c r="E239" s="436" t="str">
        <f>IFERROR(VLOOKUP($C239,'SINAPI JULHO 2018'!$1:$1048576,2,0),IFERROR(VLOOKUP($C239,'5-COMP. PROPRIA'!$B$13:$I$518,4,0),""))</f>
        <v>CONCRETO FCK = 25MPA, TRAÇO 1:2,3:2,7 (CIMENTO/ AREIA MÉDIA/ BRITA 1)  - PREPARO MECÂNICO COM BETONEIRA 400 L. AF_07/2016</v>
      </c>
      <c r="F239" s="437" t="str">
        <f>IFERROR(VLOOKUP($C239,'SINAPI JULHO 2018'!$A:$D,3,0),IFERROR(VLOOKUP($C239,'5-COMP. PROPRIA'!$B$13:$I$518,5,0),""))</f>
        <v>M3</v>
      </c>
      <c r="G239" s="438">
        <f>QUANT!K677</f>
        <v>5.9520000000000017</v>
      </c>
      <c r="H239" s="439">
        <f>IFERROR(VLOOKUP($C239,'SINAPI JULHO 2018'!$A:$D,4,0),IFERROR(VLOOKUP($C239,'5-COMP. PROPRIA'!$B$13:$I$518,8,0),""))</f>
        <v>323.45</v>
      </c>
      <c r="I239" s="440">
        <f>H239*'4-BDI'!$E$29</f>
        <v>414.79228000000001</v>
      </c>
      <c r="J239" s="63">
        <f t="shared" si="126"/>
        <v>1925.17</v>
      </c>
      <c r="K239" s="190">
        <f t="shared" si="127"/>
        <v>2468.84</v>
      </c>
    </row>
    <row r="240" spans="2:11" ht="15">
      <c r="B240" s="14" t="s">
        <v>12866</v>
      </c>
      <c r="C240" s="435" t="str">
        <f>QUANT!C682</f>
        <v>74157/4</v>
      </c>
      <c r="D240" s="435" t="str">
        <f>QUANT!D682</f>
        <v>SINAPI</v>
      </c>
      <c r="E240" s="436" t="str">
        <f>IFERROR(VLOOKUP($C240,'SINAPI JULHO 2018'!$1:$1048576,2,0),IFERROR(VLOOKUP($C240,'5-COMP. PROPRIA'!$B$13:$I$518,4,0),""))</f>
        <v>LANCAMENTO/APLICACAO MANUAL DE CONCRETO EM FUNDACOES</v>
      </c>
      <c r="F240" s="437" t="str">
        <f>IFERROR(VLOOKUP($C240,'SINAPI JULHO 2018'!$A:$D,3,0),IFERROR(VLOOKUP($C240,'5-COMP. PROPRIA'!$B$13:$I$518,5,0),""))</f>
        <v>M3</v>
      </c>
      <c r="G240" s="438">
        <f>QUANT!K682</f>
        <v>5.9520000000000017</v>
      </c>
      <c r="H240" s="439">
        <f>IFERROR(VLOOKUP($C240,'SINAPI JULHO 2018'!$A:$D,4,0),IFERROR(VLOOKUP($C240,'5-COMP. PROPRIA'!$B$13:$I$518,8,0),""))</f>
        <v>93.76</v>
      </c>
      <c r="I240" s="440">
        <f>H240*'4-BDI'!$E$29</f>
        <v>120.237824</v>
      </c>
      <c r="J240" s="63">
        <f t="shared" si="126"/>
        <v>558.04999999999995</v>
      </c>
      <c r="K240" s="190">
        <f t="shared" si="127"/>
        <v>715.65</v>
      </c>
    </row>
    <row r="241" spans="2:11" ht="30">
      <c r="B241" s="14" t="s">
        <v>12867</v>
      </c>
      <c r="C241" s="435">
        <f>QUANT!C684</f>
        <v>96543</v>
      </c>
      <c r="D241" s="435" t="str">
        <f>QUANT!D684</f>
        <v>SINAPI</v>
      </c>
      <c r="E241" s="436" t="str">
        <f>IFERROR(VLOOKUP($C241,'SINAPI JULHO 2018'!$1:$1048576,2,0),IFERROR(VLOOKUP($C241,'5-COMP. PROPRIA'!$B$13:$I$518,4,0),""))</f>
        <v>ARMAÇÃO DE BLOCO, VIGA BALDRAME E SAPATA UTILIZANDO AÇO CA-60 DE 5 MM - MONTAGEM. AF_06/2017</v>
      </c>
      <c r="F241" s="437" t="str">
        <f>IFERROR(VLOOKUP($C241,'SINAPI JULHO 2018'!$A:$D,3,0),IFERROR(VLOOKUP($C241,'5-COMP. PROPRIA'!$B$13:$I$518,5,0),""))</f>
        <v>KG</v>
      </c>
      <c r="G241" s="438">
        <f>QUANT!K684</f>
        <v>101.24576750000004</v>
      </c>
      <c r="H241" s="439">
        <f>IFERROR(VLOOKUP($C241,'SINAPI JULHO 2018'!$A:$D,4,0),IFERROR(VLOOKUP($C241,'5-COMP. PROPRIA'!$B$13:$I$518,8,0),""))</f>
        <v>11.01</v>
      </c>
      <c r="I241" s="440">
        <f>H241*'4-BDI'!$E$29</f>
        <v>14.119223999999999</v>
      </c>
      <c r="J241" s="63">
        <f t="shared" si="126"/>
        <v>1114.71</v>
      </c>
      <c r="K241" s="190">
        <f t="shared" si="127"/>
        <v>1429.51</v>
      </c>
    </row>
    <row r="242" spans="2:11" ht="45">
      <c r="B242" s="14" t="s">
        <v>12868</v>
      </c>
      <c r="C242" s="435">
        <f>QUANT!C689</f>
        <v>92762</v>
      </c>
      <c r="D242" s="435" t="str">
        <f>QUANT!D689</f>
        <v>SINAPI</v>
      </c>
      <c r="E242" s="436" t="str">
        <f>IFERROR(VLOOKUP($C242,'SINAPI JULHO 2018'!$1:$1048576,2,0),IFERROR(VLOOKUP($C242,'5-COMP. PROPRIA'!$B$13:$I$518,4,0),""))</f>
        <v>ARMAÇÃO DE PILAR OU VIGA DE UMA ESTRUTURA CONVENCIONAL DE CONCRETO ARMADO EM UM EDIFÍCIO DE MÚLTIPLOS PAVIMENTOS UTILIZANDO AÇO CA-50 DE 10,0 MM - MONTAGEM. AF_12/2015</v>
      </c>
      <c r="F242" s="437" t="str">
        <f>IFERROR(VLOOKUP($C242,'SINAPI JULHO 2018'!$A:$D,3,0),IFERROR(VLOOKUP($C242,'5-COMP. PROPRIA'!$B$13:$I$518,5,0),""))</f>
        <v>KG</v>
      </c>
      <c r="G242" s="438">
        <f>QUANT!K689</f>
        <v>183.38856000000004</v>
      </c>
      <c r="H242" s="439">
        <f>IFERROR(VLOOKUP($C242,'SINAPI JULHO 2018'!$A:$D,4,0),IFERROR(VLOOKUP($C242,'5-COMP. PROPRIA'!$B$13:$I$518,8,0),""))</f>
        <v>6.58</v>
      </c>
      <c r="I242" s="440">
        <f>H242*'4-BDI'!$E$29</f>
        <v>8.4381920000000008</v>
      </c>
      <c r="J242" s="63">
        <f t="shared" si="126"/>
        <v>1206.69</v>
      </c>
      <c r="K242" s="190">
        <f t="shared" si="127"/>
        <v>1547.46</v>
      </c>
    </row>
    <row r="243" spans="2:11" ht="30">
      <c r="B243" s="14" t="s">
        <v>12869</v>
      </c>
      <c r="C243" s="435">
        <f>QUANT!C694</f>
        <v>96536</v>
      </c>
      <c r="D243" s="435" t="str">
        <f>QUANT!D694</f>
        <v>SINAPI</v>
      </c>
      <c r="E243" s="436" t="str">
        <f>IFERROR(VLOOKUP($C243,'SINAPI JULHO 2018'!$1:$1048576,2,0),IFERROR(VLOOKUP($C243,'5-COMP. PROPRIA'!$B$13:$I$518,4,0),""))</f>
        <v>FABRICAÇÃO, MONTAGEM E DESMONTAGEM DE FÔRMA PARA VIGA BALDRAME, EM MADEIRA SERRADA, E=25 MM, 4 UTILIZAÇÕES. AF_06/2017</v>
      </c>
      <c r="F243" s="437" t="str">
        <f>IFERROR(VLOOKUP($C243,'SINAPI JULHO 2018'!$A:$D,3,0),IFERROR(VLOOKUP($C243,'5-COMP. PROPRIA'!$B$13:$I$518,5,0),""))</f>
        <v>M2</v>
      </c>
      <c r="G243" s="438">
        <f>QUANT!K694</f>
        <v>59.52000000000001</v>
      </c>
      <c r="H243" s="439">
        <f>IFERROR(VLOOKUP($C243,'SINAPI JULHO 2018'!$A:$D,4,0),IFERROR(VLOOKUP($C243,'5-COMP. PROPRIA'!$B$13:$I$518,8,0),""))</f>
        <v>37.81</v>
      </c>
      <c r="I243" s="440">
        <f>H243*'4-BDI'!$E$29</f>
        <v>48.487544</v>
      </c>
      <c r="J243" s="63">
        <f t="shared" si="126"/>
        <v>2250.4499999999998</v>
      </c>
      <c r="K243" s="190">
        <f t="shared" si="127"/>
        <v>2885.97</v>
      </c>
    </row>
    <row r="244" spans="2:11" ht="15">
      <c r="B244" s="14" t="s">
        <v>12870</v>
      </c>
      <c r="C244" s="435">
        <f>QUANT!C698</f>
        <v>93382</v>
      </c>
      <c r="D244" s="435" t="str">
        <f>QUANT!D698</f>
        <v>SINAPI</v>
      </c>
      <c r="E244" s="436" t="str">
        <f>IFERROR(VLOOKUP($C244,'SINAPI JULHO 2018'!$1:$1048576,2,0),IFERROR(VLOOKUP($C244,'5-COMP. PROPRIA'!$B$13:$I$518,4,0),""))</f>
        <v>REATERRO MANUAL DE VALAS COM COMPACTAÇÃO MECANIZADA. AF_04/2016</v>
      </c>
      <c r="F244" s="437" t="str">
        <f>IFERROR(VLOOKUP($C244,'SINAPI JULHO 2018'!$A:$D,3,0),IFERROR(VLOOKUP($C244,'5-COMP. PROPRIA'!$B$13:$I$518,5,0),""))</f>
        <v>M3</v>
      </c>
      <c r="G244" s="438">
        <f>QUANT!K698</f>
        <v>14.8428</v>
      </c>
      <c r="H244" s="439">
        <f>IFERROR(VLOOKUP($C244,'SINAPI JULHO 2018'!$A:$D,4,0),IFERROR(VLOOKUP($C244,'5-COMP. PROPRIA'!$B$13:$I$518,8,0),""))</f>
        <v>19.27</v>
      </c>
      <c r="I244" s="440">
        <f>H244*'4-BDI'!$E$29</f>
        <v>24.711848</v>
      </c>
      <c r="J244" s="63">
        <f t="shared" si="126"/>
        <v>286.02</v>
      </c>
      <c r="K244" s="190">
        <f t="shared" si="127"/>
        <v>366.79</v>
      </c>
    </row>
    <row r="245" spans="2:11" ht="30">
      <c r="B245" s="14" t="s">
        <v>12871</v>
      </c>
      <c r="C245" s="435" t="str">
        <f>QUANT!C702</f>
        <v>74106/1</v>
      </c>
      <c r="D245" s="435" t="str">
        <f>QUANT!D702</f>
        <v>SINAPI</v>
      </c>
      <c r="E245" s="436" t="str">
        <f>IFERROR(VLOOKUP($C245,'SINAPI JULHO 2018'!$1:$1048576,2,0),IFERROR(VLOOKUP($C245,'5-COMP. PROPRIA'!$B$13:$I$518,4,0),""))</f>
        <v>IMPERMEABILIZACAO DE ESTRUTURAS ENTERRADAS, COM TINTA ASFALTICA, DUAS DEMAOS.</v>
      </c>
      <c r="F245" s="437" t="str">
        <f>IFERROR(VLOOKUP($C245,'SINAPI JULHO 2018'!$A:$D,3,0),IFERROR(VLOOKUP($C245,'5-COMP. PROPRIA'!$B$13:$I$518,5,0),""))</f>
        <v>M2</v>
      </c>
      <c r="G245" s="438">
        <f>QUANT!K702</f>
        <v>74.400000000000006</v>
      </c>
      <c r="H245" s="439">
        <f>IFERROR(VLOOKUP($C245,'SINAPI JULHO 2018'!$A:$D,4,0),IFERROR(VLOOKUP($C245,'5-COMP. PROPRIA'!$B$13:$I$518,8,0),""))</f>
        <v>9.5399999999999991</v>
      </c>
      <c r="I245" s="440">
        <f>H245*'4-BDI'!$E$29</f>
        <v>12.234095999999999</v>
      </c>
      <c r="J245" s="63">
        <f t="shared" si="126"/>
        <v>709.77</v>
      </c>
      <c r="K245" s="190">
        <f t="shared" si="127"/>
        <v>910.21</v>
      </c>
    </row>
    <row r="246" spans="2:11" ht="15">
      <c r="B246" s="14" t="s">
        <v>12872</v>
      </c>
      <c r="C246" s="435">
        <f>QUANT!C704</f>
        <v>72897</v>
      </c>
      <c r="D246" s="435" t="str">
        <f>QUANT!D704</f>
        <v>SINAPI</v>
      </c>
      <c r="E246" s="436" t="str">
        <f>IFERROR(VLOOKUP($C246,'SINAPI JULHO 2018'!$1:$1048576,2,0),IFERROR(VLOOKUP($C246,'5-COMP. PROPRIA'!$B$13:$I$518,4,0),""))</f>
        <v>CARGA MANUAL DE ENTULHO EM CAMINHAO BASCULANTE 6 M3</v>
      </c>
      <c r="F246" s="437" t="str">
        <f>IFERROR(VLOOKUP($C246,'SINAPI JULHO 2018'!$A:$D,3,0),IFERROR(VLOOKUP($C246,'5-COMP. PROPRIA'!$B$13:$I$518,5,0),""))</f>
        <v>M3</v>
      </c>
      <c r="G246" s="438">
        <f>QUANT!K704</f>
        <v>7.7376000000000023</v>
      </c>
      <c r="H246" s="439">
        <f>IFERROR(VLOOKUP($C246,'SINAPI JULHO 2018'!$A:$D,4,0),IFERROR(VLOOKUP($C246,'5-COMP. PROPRIA'!$B$13:$I$518,8,0),""))</f>
        <v>17.34</v>
      </c>
      <c r="I246" s="440">
        <f>H246*'4-BDI'!$E$29</f>
        <v>22.236816000000001</v>
      </c>
      <c r="J246" s="63">
        <f t="shared" si="126"/>
        <v>134.16</v>
      </c>
      <c r="K246" s="190">
        <f t="shared" si="127"/>
        <v>172.05</v>
      </c>
    </row>
    <row r="247" spans="2:11" ht="30">
      <c r="B247" s="14" t="s">
        <v>12873</v>
      </c>
      <c r="C247" s="435">
        <f>QUANT!C708</f>
        <v>97914</v>
      </c>
      <c r="D247" s="435" t="str">
        <f>QUANT!D708</f>
        <v>SINAPI</v>
      </c>
      <c r="E247" s="436" t="str">
        <f>IFERROR(VLOOKUP($C247,'SINAPI JULHO 2018'!$1:$1048576,2,0),IFERROR(VLOOKUP($C247,'5-COMP. PROPRIA'!$B$13:$I$518,4,0),""))</f>
        <v>TRANSPORTE COM CAMINHÃO BASCULANTE DE 6 M3, EM VIA URBANA PAVIMENTADA, DMT ATÉ 30 KM (UNIDADE: M3XKM). AF_01/2018</v>
      </c>
      <c r="F247" s="437" t="str">
        <f>IFERROR(VLOOKUP($C247,'SINAPI JULHO 2018'!$A:$D,3,0),IFERROR(VLOOKUP($C247,'5-COMP. PROPRIA'!$B$13:$I$518,5,0),""))</f>
        <v>M3XKM</v>
      </c>
      <c r="G247" s="438">
        <f>QUANT!K708</f>
        <v>58.032000000000018</v>
      </c>
      <c r="H247" s="439">
        <f>IFERROR(VLOOKUP($C247,'SINAPI JULHO 2018'!$A:$D,4,0),IFERROR(VLOOKUP($C247,'5-COMP. PROPRIA'!$B$13:$I$518,8,0),""))</f>
        <v>1.52</v>
      </c>
      <c r="I247" s="440">
        <f>H247*'4-BDI'!$E$29</f>
        <v>1.9492480000000001</v>
      </c>
      <c r="J247" s="63">
        <f t="shared" si="126"/>
        <v>88.2</v>
      </c>
      <c r="K247" s="190">
        <f t="shared" si="127"/>
        <v>113.11</v>
      </c>
    </row>
    <row r="248" spans="2:11" ht="15">
      <c r="B248" s="314" t="s">
        <v>12874</v>
      </c>
      <c r="C248" s="96"/>
      <c r="D248" s="96"/>
      <c r="E248" s="96" t="str">
        <f>QUANT!E714</f>
        <v>GRAUTEMENTO VERTICAL</v>
      </c>
      <c r="F248" s="178"/>
      <c r="G248" s="146"/>
      <c r="H248" s="145"/>
      <c r="I248" s="219"/>
      <c r="J248" s="65"/>
      <c r="K248" s="191"/>
    </row>
    <row r="249" spans="2:11" ht="15">
      <c r="B249" s="14" t="s">
        <v>12875</v>
      </c>
      <c r="C249" s="435">
        <f>QUANT!C716</f>
        <v>89993</v>
      </c>
      <c r="D249" s="435" t="str">
        <f>QUANT!D716</f>
        <v>SINAPI</v>
      </c>
      <c r="E249" s="436" t="str">
        <f>IFERROR(VLOOKUP($C249,'SINAPI JULHO 2018'!$1:$1048576,2,0),IFERROR(VLOOKUP($C249,'5-COMP. PROPRIA'!$B$13:$I$518,4,0),""))</f>
        <v>GRAUTEAMENTO VERTICAL EM ALVENARIA ESTRUTURAL. AF_01/2015</v>
      </c>
      <c r="F249" s="437" t="str">
        <f>IFERROR(VLOOKUP($C249,'SINAPI JULHO 2018'!$A:$D,3,0),IFERROR(VLOOKUP($C249,'5-COMP. PROPRIA'!$B$13:$I$518,5,0),""))</f>
        <v>M3</v>
      </c>
      <c r="G249" s="438">
        <f>QUANT!K716</f>
        <v>16.800000000000004</v>
      </c>
      <c r="H249" s="439">
        <f>IFERROR(VLOOKUP($C249,'SINAPI JULHO 2018'!$A:$D,4,0),IFERROR(VLOOKUP($C249,'5-COMP. PROPRIA'!$B$13:$I$518,8,0),""))</f>
        <v>590.5</v>
      </c>
      <c r="I249" s="440">
        <f>H249*'4-BDI'!$E$29</f>
        <v>757.25720000000001</v>
      </c>
      <c r="J249" s="63">
        <f t="shared" ref="J249" si="128">TRUNC(G249*H249,2)</f>
        <v>9920.4</v>
      </c>
      <c r="K249" s="190">
        <f t="shared" ref="K249" si="129">TRUNC(G249*I249,2)</f>
        <v>12721.92</v>
      </c>
    </row>
    <row r="250" spans="2:11" ht="30">
      <c r="B250" s="14" t="s">
        <v>12876</v>
      </c>
      <c r="C250" s="435">
        <f>QUANT!C720</f>
        <v>89996</v>
      </c>
      <c r="D250" s="435" t="str">
        <f>QUANT!D720</f>
        <v>SINAPI</v>
      </c>
      <c r="E250" s="436" t="str">
        <f>IFERROR(VLOOKUP($C250,'SINAPI JULHO 2018'!$1:$1048576,2,0),IFERROR(VLOOKUP($C250,'5-COMP. PROPRIA'!$B$13:$I$518,4,0),""))</f>
        <v>ARMAÇÃO VERTICAL DE ALVENARIA ESTRUTURAL; DIÂMETRO DE 10,0 MM. AF_01/2015</v>
      </c>
      <c r="F250" s="437" t="str">
        <f>IFERROR(VLOOKUP($C250,'SINAPI JULHO 2018'!$A:$D,3,0),IFERROR(VLOOKUP($C250,'5-COMP. PROPRIA'!$B$13:$I$518,5,0),""))</f>
        <v>KG</v>
      </c>
      <c r="G250" s="438">
        <f>QUANT!K720</f>
        <v>283.46350000000007</v>
      </c>
      <c r="H250" s="439">
        <f>IFERROR(VLOOKUP($C250,'SINAPI JULHO 2018'!$A:$D,4,0),IFERROR(VLOOKUP($C250,'5-COMP. PROPRIA'!$B$13:$I$518,8,0),""))</f>
        <v>6.27</v>
      </c>
      <c r="I250" s="440">
        <f>H250*'4-BDI'!$E$29</f>
        <v>8.0406479999999991</v>
      </c>
      <c r="J250" s="63">
        <f t="shared" ref="J250" si="130">TRUNC(G250*H250,2)</f>
        <v>1777.31</v>
      </c>
      <c r="K250" s="190">
        <f t="shared" ref="K250" si="131">TRUNC(G250*I250,2)</f>
        <v>2279.23</v>
      </c>
    </row>
    <row r="251" spans="2:11" ht="15">
      <c r="B251" s="314" t="s">
        <v>12877</v>
      </c>
      <c r="C251" s="96"/>
      <c r="D251" s="96"/>
      <c r="E251" s="96" t="str">
        <f>QUANT!E725</f>
        <v>GRAUTEMENTO DE CINTA INTERMEDIARIA</v>
      </c>
      <c r="F251" s="178"/>
      <c r="G251" s="146"/>
      <c r="H251" s="145"/>
      <c r="I251" s="219"/>
      <c r="J251" s="65"/>
      <c r="K251" s="191"/>
    </row>
    <row r="252" spans="2:11" ht="30">
      <c r="B252" s="14" t="s">
        <v>12878</v>
      </c>
      <c r="C252" s="435">
        <f>QUANT!C727</f>
        <v>89994</v>
      </c>
      <c r="D252" s="435" t="str">
        <f>QUANT!D727</f>
        <v>SINAPI</v>
      </c>
      <c r="E252" s="436" t="str">
        <f>IFERROR(VLOOKUP($C252,'SINAPI JULHO 2018'!$1:$1048576,2,0),IFERROR(VLOOKUP($C252,'5-COMP. PROPRIA'!$B$13:$I$518,4,0),""))</f>
        <v>GRAUTEAMENTO DE CINTA INTERMEDIÁRIA OU DE CONTRAVERGA EM ALVENARIA ESTRUTURAL. AF_01/2015</v>
      </c>
      <c r="F252" s="437" t="str">
        <f>IFERROR(VLOOKUP($C252,'SINAPI JULHO 2018'!$A:$D,3,0),IFERROR(VLOOKUP($C252,'5-COMP. PROPRIA'!$B$13:$I$518,5,0),""))</f>
        <v>M3</v>
      </c>
      <c r="G252" s="438">
        <f>QUANT!K727</f>
        <v>2.9760000000000009</v>
      </c>
      <c r="H252" s="439">
        <f>IFERROR(VLOOKUP($C252,'SINAPI JULHO 2018'!$A:$D,4,0),IFERROR(VLOOKUP($C252,'5-COMP. PROPRIA'!$B$13:$I$518,8,0),""))</f>
        <v>497.12</v>
      </c>
      <c r="I252" s="440">
        <f>H252*'4-BDI'!$E$29</f>
        <v>637.50668800000005</v>
      </c>
      <c r="J252" s="63">
        <f t="shared" ref="J252" si="132">TRUNC(G252*H252,2)</f>
        <v>1479.42</v>
      </c>
      <c r="K252" s="190">
        <f t="shared" ref="K252" si="133">TRUNC(G252*I252,2)</f>
        <v>1897.21</v>
      </c>
    </row>
    <row r="253" spans="2:11" ht="30">
      <c r="B253" s="14" t="s">
        <v>12879</v>
      </c>
      <c r="C253" s="435">
        <f>QUANT!C731</f>
        <v>89998</v>
      </c>
      <c r="D253" s="435" t="str">
        <f>QUANT!D731</f>
        <v>SINAPI</v>
      </c>
      <c r="E253" s="436" t="str">
        <f>IFERROR(VLOOKUP($C253,'SINAPI JULHO 2018'!$1:$1048576,2,0),IFERROR(VLOOKUP($C253,'5-COMP. PROPRIA'!$B$13:$I$518,4,0),""))</f>
        <v>ARMAÇÃO DE CINTA DE ALVENARIA ESTRUTURAL; DIÂMETRO DE 10,0 MM. AF_01/2015</v>
      </c>
      <c r="F253" s="437" t="str">
        <f>IFERROR(VLOOKUP($C253,'SINAPI JULHO 2018'!$A:$D,3,0),IFERROR(VLOOKUP($C253,'5-COMP. PROPRIA'!$B$13:$I$518,5,0),""))</f>
        <v>KG</v>
      </c>
      <c r="G253" s="438">
        <f>QUANT!K731</f>
        <v>91.69428000000002</v>
      </c>
      <c r="H253" s="439">
        <f>IFERROR(VLOOKUP($C253,'SINAPI JULHO 2018'!$A:$D,4,0),IFERROR(VLOOKUP($C253,'5-COMP. PROPRIA'!$B$13:$I$518,8,0),""))</f>
        <v>5.89</v>
      </c>
      <c r="I253" s="440">
        <f>H253*'4-BDI'!$E$29</f>
        <v>7.5533359999999998</v>
      </c>
      <c r="J253" s="63">
        <f t="shared" ref="J253" si="134">TRUNC(G253*H253,2)</f>
        <v>540.07000000000005</v>
      </c>
      <c r="K253" s="190">
        <f t="shared" ref="K253" si="135">TRUNC(G253*I253,2)</f>
        <v>692.59</v>
      </c>
    </row>
    <row r="254" spans="2:11" ht="30">
      <c r="B254" s="14" t="s">
        <v>12880</v>
      </c>
      <c r="C254" s="435" t="str">
        <f>QUANT!C736</f>
        <v>CP-FUN-02</v>
      </c>
      <c r="D254" s="435" t="str">
        <f>QUANT!D736</f>
        <v>PRÓRPIA</v>
      </c>
      <c r="E254" s="436" t="str">
        <f>IFERROR(VLOOKUP($C254,'SINAPI JULHO 2018'!$1:$1048576,2,0),IFERROR(VLOOKUP($C254,'5-COMP. PROPRIA'!$B$13:$I$518,4,0),""))</f>
        <v>CINTA DE AMARRAÇÃO DE ALVENARIA MOLDADA IN LOCO COM UTILIZAÇÃO DE BLOCOS CANALETA</v>
      </c>
      <c r="F254" s="437" t="str">
        <f>IFERROR(VLOOKUP($C254,'SINAPI JULHO 2018'!$A:$D,3,0),IFERROR(VLOOKUP($C254,'5-COMP. PROPRIA'!$B$13:$I$518,5,0),""))</f>
        <v>M</v>
      </c>
      <c r="G254" s="438">
        <f>QUANT!K736</f>
        <v>74.400000000000006</v>
      </c>
      <c r="H254" s="439">
        <f>IFERROR(VLOOKUP($C254,'SINAPI JULHO 2018'!$A:$D,4,0),IFERROR(VLOOKUP($C254,'5-COMP. PROPRIA'!$B$13:$I$518,8,0),""))</f>
        <v>20.91</v>
      </c>
      <c r="I254" s="440">
        <f>H254*'4-BDI'!$E$29</f>
        <v>26.814983999999999</v>
      </c>
      <c r="J254" s="63">
        <f t="shared" ref="J254" si="136">TRUNC(G254*H254,2)</f>
        <v>1555.7</v>
      </c>
      <c r="K254" s="190">
        <f t="shared" ref="K254" si="137">TRUNC(G254*I254,2)</f>
        <v>1995.03</v>
      </c>
    </row>
    <row r="255" spans="2:11" ht="15">
      <c r="B255" s="314" t="s">
        <v>12881</v>
      </c>
      <c r="C255" s="96"/>
      <c r="D255" s="96"/>
      <c r="E255" s="96" t="str">
        <f>QUANT!E739</f>
        <v>GRAUTEMENTO DE CINTA SUPERIOR</v>
      </c>
      <c r="F255" s="178"/>
      <c r="G255" s="146"/>
      <c r="H255" s="145"/>
      <c r="I255" s="219"/>
      <c r="J255" s="65"/>
      <c r="K255" s="191"/>
    </row>
    <row r="256" spans="2:11" ht="30.75" customHeight="1">
      <c r="B256" s="14" t="s">
        <v>12882</v>
      </c>
      <c r="C256" s="435">
        <f>QUANT!C741</f>
        <v>89995</v>
      </c>
      <c r="D256" s="435" t="str">
        <f>QUANT!D741</f>
        <v>SINAPI</v>
      </c>
      <c r="E256" s="436" t="str">
        <f>IFERROR(VLOOKUP($C256,'SINAPI JULHO 2018'!$1:$1048576,2,0),IFERROR(VLOOKUP($C256,'5-COMP. PROPRIA'!$B$13:$I$518,4,0),""))</f>
        <v>GRAUTEAMENTO DE CINTA SUPERIOR OU DE VERGA EM ALVENARIA ESTRUTURAL. AF_01/2015</v>
      </c>
      <c r="F256" s="437" t="str">
        <f>IFERROR(VLOOKUP($C256,'SINAPI JULHO 2018'!$A:$D,3,0),IFERROR(VLOOKUP($C256,'5-COMP. PROPRIA'!$B$13:$I$518,5,0),""))</f>
        <v>M3</v>
      </c>
      <c r="G256" s="438">
        <f>QUANT!K741</f>
        <v>2.9760000000000009</v>
      </c>
      <c r="H256" s="439">
        <f>IFERROR(VLOOKUP($C256,'SINAPI JULHO 2018'!$A:$D,4,0),IFERROR(VLOOKUP($C256,'5-COMP. PROPRIA'!$B$13:$I$518,8,0),""))</f>
        <v>566.62</v>
      </c>
      <c r="I256" s="440">
        <f>H256*'4-BDI'!$E$29</f>
        <v>726.63348799999994</v>
      </c>
      <c r="J256" s="63">
        <f t="shared" ref="J256:J257" si="138">TRUNC(G256*H256,2)</f>
        <v>1686.26</v>
      </c>
      <c r="K256" s="190">
        <f t="shared" ref="K256:K257" si="139">TRUNC(G256*I256,2)</f>
        <v>2162.46</v>
      </c>
    </row>
    <row r="257" spans="2:11" ht="30.75" customHeight="1">
      <c r="B257" s="14" t="s">
        <v>12883</v>
      </c>
      <c r="C257" s="435">
        <f>QUANT!C745</f>
        <v>89998</v>
      </c>
      <c r="D257" s="435" t="str">
        <f>QUANT!D745</f>
        <v>SINAPI</v>
      </c>
      <c r="E257" s="436" t="str">
        <f>IFERROR(VLOOKUP($C257,'SINAPI JULHO 2018'!$1:$1048576,2,0),IFERROR(VLOOKUP($C257,'5-COMP. PROPRIA'!$B$13:$I$518,4,0),""))</f>
        <v>ARMAÇÃO DE CINTA DE ALVENARIA ESTRUTURAL; DIÂMETRO DE 10,0 MM. AF_01/2015</v>
      </c>
      <c r="F257" s="437" t="str">
        <f>IFERROR(VLOOKUP($C257,'SINAPI JULHO 2018'!$A:$D,3,0),IFERROR(VLOOKUP($C257,'5-COMP. PROPRIA'!$B$13:$I$518,5,0),""))</f>
        <v>KG</v>
      </c>
      <c r="G257" s="438">
        <f>QUANT!K745</f>
        <v>91.69428000000002</v>
      </c>
      <c r="H257" s="439">
        <f>IFERROR(VLOOKUP($C257,'SINAPI JULHO 2018'!$A:$D,4,0),IFERROR(VLOOKUP($C257,'5-COMP. PROPRIA'!$B$13:$I$518,8,0),""))</f>
        <v>5.89</v>
      </c>
      <c r="I257" s="440">
        <f>H257*'4-BDI'!$E$29</f>
        <v>7.5533359999999998</v>
      </c>
      <c r="J257" s="63">
        <f t="shared" si="138"/>
        <v>540.07000000000005</v>
      </c>
      <c r="K257" s="190">
        <f t="shared" si="139"/>
        <v>692.59</v>
      </c>
    </row>
    <row r="258" spans="2:11" ht="30">
      <c r="B258" s="14" t="s">
        <v>12884</v>
      </c>
      <c r="C258" s="435" t="str">
        <f>QUANT!C750</f>
        <v>CP-FUN-02</v>
      </c>
      <c r="D258" s="435" t="str">
        <f>QUANT!D750</f>
        <v>PRÓRPIA</v>
      </c>
      <c r="E258" s="436" t="str">
        <f>IFERROR(VLOOKUP($C258,'SINAPI JULHO 2018'!$1:$1048576,2,0),IFERROR(VLOOKUP($C258,'5-COMP. PROPRIA'!$B$13:$I$518,4,0),""))</f>
        <v>CINTA DE AMARRAÇÃO DE ALVENARIA MOLDADA IN LOCO COM UTILIZAÇÃO DE BLOCOS CANALETA</v>
      </c>
      <c r="F258" s="437" t="str">
        <f>IFERROR(VLOOKUP($C258,'SINAPI JULHO 2018'!$A:$D,3,0),IFERROR(VLOOKUP($C258,'5-COMP. PROPRIA'!$B$13:$I$518,5,0),""))</f>
        <v>M</v>
      </c>
      <c r="G258" s="438">
        <f>QUANT!K750</f>
        <v>74.400000000000006</v>
      </c>
      <c r="H258" s="439">
        <f>IFERROR(VLOOKUP($C258,'SINAPI JULHO 2018'!$A:$D,4,0),IFERROR(VLOOKUP($C258,'5-COMP. PROPRIA'!$B$13:$I$518,8,0),""))</f>
        <v>20.91</v>
      </c>
      <c r="I258" s="440">
        <f>H258*'4-BDI'!$E$29</f>
        <v>26.814983999999999</v>
      </c>
      <c r="J258" s="63">
        <f t="shared" ref="J258" si="140">TRUNC(G258*H258,2)</f>
        <v>1555.7</v>
      </c>
      <c r="K258" s="190">
        <f t="shared" ref="K258" si="141">TRUNC(G258*I258,2)</f>
        <v>1995.03</v>
      </c>
    </row>
    <row r="259" spans="2:11" ht="15">
      <c r="B259" s="314" t="s">
        <v>12885</v>
      </c>
      <c r="C259" s="96"/>
      <c r="D259" s="96"/>
      <c r="E259" s="96" t="str">
        <f>QUANT!E752</f>
        <v>VEDAÇÃO EM ALVENARIA DE BLOCO DE CONCRETO</v>
      </c>
      <c r="F259" s="178"/>
      <c r="G259" s="146"/>
      <c r="H259" s="145"/>
      <c r="I259" s="219"/>
      <c r="J259" s="65"/>
      <c r="K259" s="191"/>
    </row>
    <row r="260" spans="2:11" ht="60">
      <c r="B260" s="14" t="s">
        <v>12886</v>
      </c>
      <c r="C260" s="435">
        <f>QUANT!C754</f>
        <v>87457</v>
      </c>
      <c r="D260" s="435" t="str">
        <f>QUANT!D754</f>
        <v>SINAPI</v>
      </c>
      <c r="E260" s="436" t="str">
        <f>IFERROR(VLOOKUP($C260,'SINAPI JULHO 2018'!$1:$1048576,2,0),IFERROR(VLOOKUP($C260,'5-COMP. PROPRIA'!$B$13:$I$518,4,0),""))</f>
        <v>ALVENARIA DE VEDAÇÃO DE BLOCOS VAZADOS DE CONCRETO DE 19X19X39CM (ESPESSURA 19CM) DE PAREDES COM ÁREA LÍQUIDA MAIOR OU IGUAL A 6M² SEM VÃOS E ARGAMASSA DE ASSENTAMENTO COM PREPARO EM BETONEIRA. AF_06/2014</v>
      </c>
      <c r="F260" s="437" t="str">
        <f>IFERROR(VLOOKUP($C260,'SINAPI JULHO 2018'!$A:$D,3,0),IFERROR(VLOOKUP($C260,'5-COMP. PROPRIA'!$B$13:$I$518,5,0),""))</f>
        <v>M2</v>
      </c>
      <c r="G260" s="438">
        <f>QUANT!K754</f>
        <v>282.72000000000003</v>
      </c>
      <c r="H260" s="439">
        <f>IFERROR(VLOOKUP($C260,'SINAPI JULHO 2018'!$A:$D,4,0),IFERROR(VLOOKUP($C260,'5-COMP. PROPRIA'!$B$13:$I$518,8,0),""))</f>
        <v>69.02</v>
      </c>
      <c r="I260" s="440">
        <f>H260*'4-BDI'!$E$29</f>
        <v>88.511247999999995</v>
      </c>
      <c r="J260" s="63">
        <f t="shared" ref="J260" si="142">TRUNC(G260*H260,2)</f>
        <v>19513.330000000002</v>
      </c>
      <c r="K260" s="190">
        <f t="shared" ref="K260" si="143">TRUNC(G260*I260,2)</f>
        <v>25023.9</v>
      </c>
    </row>
    <row r="261" spans="2:11" ht="60">
      <c r="B261" s="14" t="s">
        <v>12887</v>
      </c>
      <c r="C261" s="435">
        <f>QUANT!C758</f>
        <v>87457</v>
      </c>
      <c r="D261" s="435" t="str">
        <f>QUANT!D758</f>
        <v>SINAPI</v>
      </c>
      <c r="E261" s="436" t="str">
        <f>IFERROR(VLOOKUP($C261,'SINAPI JULHO 2018'!$1:$1048576,2,0),IFERROR(VLOOKUP($C261,'5-COMP. PROPRIA'!$B$13:$I$518,4,0),""))</f>
        <v>ALVENARIA DE VEDAÇÃO DE BLOCOS VAZADOS DE CONCRETO DE 19X19X39CM (ESPESSURA 19CM) DE PAREDES COM ÁREA LÍQUIDA MAIOR OU IGUAL A 6M² SEM VÃOS E ARGAMASSA DE ASSENTAMENTO COM PREPARO EM BETONEIRA. AF_06/2014</v>
      </c>
      <c r="F261" s="437" t="str">
        <f>IFERROR(VLOOKUP($C261,'SINAPI JULHO 2018'!$A:$D,3,0),IFERROR(VLOOKUP($C261,'5-COMP. PROPRIA'!$B$13:$I$518,5,0),""))</f>
        <v>M2</v>
      </c>
      <c r="G261" s="438">
        <f>QUANT!K758</f>
        <v>42</v>
      </c>
      <c r="H261" s="439">
        <f>IFERROR(VLOOKUP($C261,'SINAPI JULHO 2018'!$A:$D,4,0),IFERROR(VLOOKUP($C261,'5-COMP. PROPRIA'!$B$13:$I$518,8,0),""))</f>
        <v>69.02</v>
      </c>
      <c r="I261" s="440">
        <f>H261*'4-BDI'!$E$29</f>
        <v>88.511247999999995</v>
      </c>
      <c r="J261" s="63">
        <f t="shared" ref="J261:J265" si="144">TRUNC(G261*H261,2)</f>
        <v>2898.84</v>
      </c>
      <c r="K261" s="190">
        <f t="shared" ref="K261:K265" si="145">TRUNC(G261*I261,2)</f>
        <v>3717.47</v>
      </c>
    </row>
    <row r="262" spans="2:11" ht="15">
      <c r="B262" s="14" t="s">
        <v>12888</v>
      </c>
      <c r="C262" s="435" t="str">
        <f>QUANT!C762</f>
        <v>CP-LIX-01</v>
      </c>
      <c r="D262" s="435" t="str">
        <f>QUANT!D762</f>
        <v>PRÓRPIA</v>
      </c>
      <c r="E262" s="436" t="str">
        <f>IFERROR(VLOOKUP($C262,'SINAPI JULHO 2018'!$1:$1048576,2,0),IFERROR(VLOOKUP($C262,'5-COMP. PROPRIA'!$B$13:$I$518,4,0),""))</f>
        <v>LIXAMENTO MANUAL DE CONCRETO APARENTE</v>
      </c>
      <c r="F262" s="437" t="str">
        <f>IFERROR(VLOOKUP($C262,'SINAPI JULHO 2018'!$A:$D,3,0),IFERROR(VLOOKUP($C262,'5-COMP. PROPRIA'!$B$13:$I$518,5,0),""))</f>
        <v>M2</v>
      </c>
      <c r="G262" s="438">
        <f>QUANT!K762</f>
        <v>624.96</v>
      </c>
      <c r="H262" s="439">
        <f>IFERROR(VLOOKUP($C262,'SINAPI JULHO 2018'!$A:$D,4,0),IFERROR(VLOOKUP($C262,'5-COMP. PROPRIA'!$B$13:$I$518,8,0),""))</f>
        <v>3.7700000000000005</v>
      </c>
      <c r="I262" s="440">
        <f>H262*'4-BDI'!$E$29</f>
        <v>4.8346480000000005</v>
      </c>
      <c r="J262" s="63">
        <f t="shared" si="144"/>
        <v>2356.09</v>
      </c>
      <c r="K262" s="190">
        <f t="shared" si="145"/>
        <v>3021.46</v>
      </c>
    </row>
    <row r="263" spans="2:11" ht="30">
      <c r="B263" s="14" t="s">
        <v>12889</v>
      </c>
      <c r="C263" s="435">
        <f>QUANT!C764</f>
        <v>88485</v>
      </c>
      <c r="D263" s="435" t="str">
        <f>QUANT!D764</f>
        <v>SINAPI</v>
      </c>
      <c r="E263" s="436" t="str">
        <f>IFERROR(VLOOKUP($C263,'SINAPI JULHO 2018'!$1:$1048576,2,0),IFERROR(VLOOKUP($C263,'5-COMP. PROPRIA'!$B$13:$I$518,4,0),""))</f>
        <v>APLICAÇÃO DE FUNDO SELADOR ACRÍLICO EM PAREDES, UMA DEMÃO. AF_06/2014</v>
      </c>
      <c r="F263" s="437" t="str">
        <f>IFERROR(VLOOKUP($C263,'SINAPI JULHO 2018'!$A:$D,3,0),IFERROR(VLOOKUP($C263,'5-COMP. PROPRIA'!$B$13:$I$518,5,0),""))</f>
        <v>M2</v>
      </c>
      <c r="G263" s="438">
        <f>QUANT!K764</f>
        <v>624.96</v>
      </c>
      <c r="H263" s="439">
        <f>IFERROR(VLOOKUP($C263,'SINAPI JULHO 2018'!$A:$D,4,0),IFERROR(VLOOKUP($C263,'5-COMP. PROPRIA'!$B$13:$I$518,8,0),""))</f>
        <v>1.6</v>
      </c>
      <c r="I263" s="440">
        <f>H263*'4-BDI'!$E$29</f>
        <v>2.0518399999999999</v>
      </c>
      <c r="J263" s="63">
        <f t="shared" si="144"/>
        <v>999.93</v>
      </c>
      <c r="K263" s="190">
        <f t="shared" si="145"/>
        <v>1282.31</v>
      </c>
    </row>
    <row r="264" spans="2:11" ht="30">
      <c r="B264" s="14" t="s">
        <v>12890</v>
      </c>
      <c r="C264" s="435">
        <f>QUANT!C766</f>
        <v>88489</v>
      </c>
      <c r="D264" s="435" t="str">
        <f>QUANT!D766</f>
        <v>SINAPI</v>
      </c>
      <c r="E264" s="436" t="str">
        <f>IFERROR(VLOOKUP($C264,'SINAPI JULHO 2018'!$1:$1048576,2,0),IFERROR(VLOOKUP($C264,'5-COMP. PROPRIA'!$B$13:$I$518,4,0),""))</f>
        <v>APLICAÇÃO MANUAL DE PINTURA COM TINTA LÁTEX ACRÍLICA EM PAREDES, DUAS DEMÃOS. AF_06/2014</v>
      </c>
      <c r="F264" s="437" t="str">
        <f>IFERROR(VLOOKUP($C264,'SINAPI JULHO 2018'!$A:$D,3,0),IFERROR(VLOOKUP($C264,'5-COMP. PROPRIA'!$B$13:$I$518,5,0),""))</f>
        <v>M2</v>
      </c>
      <c r="G264" s="438">
        <f>QUANT!K766</f>
        <v>476.16000000000008</v>
      </c>
      <c r="H264" s="439">
        <f>IFERROR(VLOOKUP($C264,'SINAPI JULHO 2018'!$A:$D,4,0),IFERROR(VLOOKUP($C264,'5-COMP. PROPRIA'!$B$13:$I$518,8,0),""))</f>
        <v>9.69</v>
      </c>
      <c r="I264" s="440">
        <f>H264*'4-BDI'!$E$29</f>
        <v>12.426456</v>
      </c>
      <c r="J264" s="63">
        <f t="shared" si="144"/>
        <v>4613.99</v>
      </c>
      <c r="K264" s="190">
        <f t="shared" si="145"/>
        <v>5916.98</v>
      </c>
    </row>
    <row r="265" spans="2:11" ht="15">
      <c r="B265" s="14" t="s">
        <v>12891</v>
      </c>
      <c r="C265" s="435" t="str">
        <f>QUANT!C768</f>
        <v>CP-PIN-02</v>
      </c>
      <c r="D265" s="435" t="str">
        <f>QUANT!D768</f>
        <v>PRÓRPIA</v>
      </c>
      <c r="E265" s="436" t="str">
        <f>IFERROR(VLOOKUP($C265,'SINAPI JULHO 2018'!$1:$1048576,2,0),IFERROR(VLOOKUP($C265,'5-COMP. PROPRIA'!$B$13:$I$518,4,0),""))</f>
        <v xml:space="preserve">PINTURA COM TINTA ESMALTE SINTÉTICO </v>
      </c>
      <c r="F265" s="437" t="str">
        <f>IFERROR(VLOOKUP($C265,'SINAPI JULHO 2018'!$A:$D,3,0),IFERROR(VLOOKUP($C265,'5-COMP. PROPRIA'!$B$13:$I$518,5,0),""))</f>
        <v>M2</v>
      </c>
      <c r="G265" s="438">
        <f>QUANT!K768</f>
        <v>178.56</v>
      </c>
      <c r="H265" s="439">
        <f>IFERROR(VLOOKUP($C265,'SINAPI JULHO 2018'!$A:$D,4,0),IFERROR(VLOOKUP($C265,'5-COMP. PROPRIA'!$B$13:$I$518,8,0),""))</f>
        <v>10.93</v>
      </c>
      <c r="I265" s="440">
        <f>H265*'4-BDI'!$E$29</f>
        <v>14.016632</v>
      </c>
      <c r="J265" s="63">
        <f t="shared" si="144"/>
        <v>1951.66</v>
      </c>
      <c r="K265" s="190">
        <f t="shared" si="145"/>
        <v>2502.8000000000002</v>
      </c>
    </row>
    <row r="266" spans="2:11" ht="15">
      <c r="B266" s="14" t="s">
        <v>12892</v>
      </c>
      <c r="C266" s="435" t="str">
        <f>QUANT!C770</f>
        <v>CP-PIN-01</v>
      </c>
      <c r="D266" s="435" t="str">
        <f>QUANT!D770</f>
        <v>PRÓRPIA</v>
      </c>
      <c r="E266" s="436" t="str">
        <f>IFERROR(VLOOKUP($C266,'SINAPI JULHO 2018'!$1:$1048576,2,0),IFERROR(VLOOKUP($C266,'5-COMP. PROPRIA'!$B$13:$I$518,4,0),""))</f>
        <v xml:space="preserve">PINTURA DE LOGOMARCA  E NOMENCLATURA </v>
      </c>
      <c r="F266" s="437" t="str">
        <f>IFERROR(VLOOKUP($C266,'SINAPI JULHO 2018'!$A:$D,3,0),IFERROR(VLOOKUP($C266,'5-COMP. PROPRIA'!$B$13:$I$518,5,0),""))</f>
        <v>M2</v>
      </c>
      <c r="G266" s="438">
        <f>QUANT!K770</f>
        <v>80</v>
      </c>
      <c r="H266" s="439">
        <f>IFERROR(VLOOKUP($C266,'SINAPI JULHO 2018'!$A:$D,4,0),IFERROR(VLOOKUP($C266,'5-COMP. PROPRIA'!$B$13:$I$518,8,0),""))</f>
        <v>50.529999999999994</v>
      </c>
      <c r="I266" s="440">
        <f>H266*'4-BDI'!$E$29</f>
        <v>64.799671999999987</v>
      </c>
      <c r="J266" s="63">
        <f t="shared" ref="J266" si="146">TRUNC(G266*H266,2)</f>
        <v>4042.4</v>
      </c>
      <c r="K266" s="190">
        <f t="shared" ref="K266" si="147">TRUNC(G266*I266,2)</f>
        <v>5183.97</v>
      </c>
    </row>
    <row r="267" spans="2:11" ht="30">
      <c r="B267" s="14" t="s">
        <v>12893</v>
      </c>
      <c r="C267" s="435" t="str">
        <f>QUANT!C772</f>
        <v>CP-JUN-01</v>
      </c>
      <c r="D267" s="435" t="str">
        <f>QUANT!D772</f>
        <v>PRÓRPIA</v>
      </c>
      <c r="E267" s="436" t="str">
        <f>IFERROR(VLOOKUP($C267,'SINAPI JULHO 2018'!$1:$1048576,2,0),IFERROR(VLOOKUP($C267,'5-COMP. PROPRIA'!$B$13:$I$518,4,0),""))</f>
        <v xml:space="preserve">JUNTA DE DILATAÇÃO COM SELANTE ELASTICO MONOCOMPONENTE A BASE DE POLIURETANO </v>
      </c>
      <c r="F267" s="437" t="str">
        <f>IFERROR(VLOOKUP($C267,'SINAPI JULHO 2018'!$A:$D,3,0),IFERROR(VLOOKUP($C267,'5-COMP. PROPRIA'!$B$13:$I$518,5,0),""))</f>
        <v>UNI</v>
      </c>
      <c r="G267" s="438">
        <f>QUANT!K772</f>
        <v>7</v>
      </c>
      <c r="H267" s="439">
        <f>IFERROR(VLOOKUP($C267,'SINAPI JULHO 2018'!$A:$D,4,0),IFERROR(VLOOKUP($C267,'5-COMP. PROPRIA'!$B$13:$I$518,8,0),""))</f>
        <v>207.84</v>
      </c>
      <c r="I267" s="440">
        <f>H267*'4-BDI'!$E$29</f>
        <v>266.53401600000001</v>
      </c>
      <c r="J267" s="63">
        <f t="shared" ref="J267" si="148">TRUNC(G267*H267,2)</f>
        <v>1454.88</v>
      </c>
      <c r="K267" s="190">
        <f t="shared" ref="K267" si="149">TRUNC(G267*I267,2)</f>
        <v>1865.73</v>
      </c>
    </row>
    <row r="268" spans="2:11" ht="15">
      <c r="B268" s="314" t="s">
        <v>12894</v>
      </c>
      <c r="C268" s="96"/>
      <c r="D268" s="96"/>
      <c r="E268" s="96" t="str">
        <f>QUANT!E774</f>
        <v>ALAMBRADO</v>
      </c>
      <c r="F268" s="178"/>
      <c r="G268" s="146"/>
      <c r="H268" s="145"/>
      <c r="I268" s="219"/>
      <c r="J268" s="65"/>
      <c r="K268" s="191"/>
    </row>
    <row r="269" spans="2:11" ht="45">
      <c r="B269" s="14" t="s">
        <v>12895</v>
      </c>
      <c r="C269" s="435" t="str">
        <f>QUANT!C776</f>
        <v>CP-ALA-02</v>
      </c>
      <c r="D269" s="435" t="str">
        <f>QUANT!D776</f>
        <v>PRÓRPIA</v>
      </c>
      <c r="E269" s="436" t="str">
        <f>IFERROR(VLOOKUP($C269,'SINAPI JULHO 2018'!$1:$1048576,2,0),IFERROR(VLOOKUP($C269,'5-COMP. PROPRIA'!$B$13:$I$518,4,0),""))</f>
        <v>ALAMBRADO EM TUBOS DE ACO GALVANIZADO, COM COSTURA, DIN 2440, DIAMETRO 2", ALTURA 2,5 M, FIXADOS A CADA 3 M, COM TELA DE ARAME GALVANIZADO REVESTIDO COM PVC, FIO 12 BWG E MALHA 7,5X7,5CM</v>
      </c>
      <c r="F269" s="437" t="str">
        <f>IFERROR(VLOOKUP($C269,'SINAPI JULHO 2018'!$A:$D,3,0),IFERROR(VLOOKUP($C269,'5-COMP. PROPRIA'!$B$13:$I$518,5,0),""))</f>
        <v>M2</v>
      </c>
      <c r="G269" s="438">
        <f>QUANT!K776</f>
        <v>77.5</v>
      </c>
      <c r="H269" s="439">
        <f>IFERROR(VLOOKUP($C269,'SINAPI JULHO 2018'!$A:$D,4,0),IFERROR(VLOOKUP($C269,'5-COMP. PROPRIA'!$B$13:$I$518,8,0),""))</f>
        <v>274.85999999999996</v>
      </c>
      <c r="I269" s="440">
        <f>H269*'4-BDI'!$E$29</f>
        <v>352.48046399999993</v>
      </c>
      <c r="J269" s="63">
        <f t="shared" ref="J269" si="150">TRUNC(G269*H269,2)</f>
        <v>21301.65</v>
      </c>
      <c r="K269" s="190">
        <f t="shared" ref="K269" si="151">TRUNC(G269*I269,2)</f>
        <v>27317.23</v>
      </c>
    </row>
    <row r="270" spans="2:11" ht="15">
      <c r="B270" s="14" t="s">
        <v>12896</v>
      </c>
      <c r="C270" s="435" t="str">
        <f>QUANT!C778</f>
        <v>CP-LIX-02</v>
      </c>
      <c r="D270" s="435" t="str">
        <f>QUANT!D778</f>
        <v>PRÓRPIA</v>
      </c>
      <c r="E270" s="436" t="str">
        <f>IFERROR(VLOOKUP($C270,'SINAPI JULHO 2018'!$1:$1048576,2,0),IFERROR(VLOOKUP($C270,'5-COMP. PROPRIA'!$B$13:$I$518,4,0),""))</f>
        <v xml:space="preserve">LIXAMENTO DE SUPERFICIE METÁLICA </v>
      </c>
      <c r="F270" s="437" t="str">
        <f>IFERROR(VLOOKUP($C270,'SINAPI JULHO 2018'!$A:$D,3,0),IFERROR(VLOOKUP($C270,'5-COMP. PROPRIA'!$B$13:$I$518,5,0),""))</f>
        <v>M2</v>
      </c>
      <c r="G270" s="438">
        <f>QUANT!K778</f>
        <v>193.75</v>
      </c>
      <c r="H270" s="439">
        <f>IFERROR(VLOOKUP($C270,'SINAPI JULHO 2018'!$A:$D,4,0),IFERROR(VLOOKUP($C270,'5-COMP. PROPRIA'!$B$13:$I$518,8,0),""))</f>
        <v>4.66</v>
      </c>
      <c r="I270" s="440">
        <f>H270*'4-BDI'!$E$29</f>
        <v>5.9759840000000004</v>
      </c>
      <c r="J270" s="63">
        <f t="shared" ref="J270" si="152">TRUNC(G270*H270,2)</f>
        <v>902.87</v>
      </c>
      <c r="K270" s="190">
        <f t="shared" ref="K270" si="153">TRUNC(G270*I270,2)</f>
        <v>1157.8399999999999</v>
      </c>
    </row>
    <row r="271" spans="2:11" ht="15">
      <c r="B271" s="14" t="s">
        <v>12897</v>
      </c>
      <c r="C271" s="435" t="str">
        <f>QUANT!C780</f>
        <v>73924/1</v>
      </c>
      <c r="D271" s="435" t="str">
        <f>QUANT!D780</f>
        <v>SINAPI</v>
      </c>
      <c r="E271" s="436" t="str">
        <f>IFERROR(VLOOKUP($C271,'SINAPI JULHO 2018'!$1:$1048576,2,0),IFERROR(VLOOKUP($C271,'5-COMP. PROPRIA'!$B$13:$I$518,4,0),""))</f>
        <v>PINTURA ESMALTE ALTO BRILHO, DUAS DEMAOS, SOBRE SUPERFICIE METALICA</v>
      </c>
      <c r="F271" s="437" t="str">
        <f>IFERROR(VLOOKUP($C271,'SINAPI JULHO 2018'!$A:$D,3,0),IFERROR(VLOOKUP($C271,'5-COMP. PROPRIA'!$B$13:$I$518,5,0),""))</f>
        <v>M2</v>
      </c>
      <c r="G271" s="438">
        <f>QUANT!K780</f>
        <v>193.75</v>
      </c>
      <c r="H271" s="439">
        <f>IFERROR(VLOOKUP($C271,'SINAPI JULHO 2018'!$A:$D,4,0),IFERROR(VLOOKUP($C271,'5-COMP. PROPRIA'!$B$13:$I$518,8,0),""))</f>
        <v>21.24</v>
      </c>
      <c r="I271" s="440">
        <f>H271*'4-BDI'!$E$29</f>
        <v>27.238175999999999</v>
      </c>
      <c r="J271" s="63">
        <f t="shared" ref="J271" si="154">TRUNC(G271*H271,2)</f>
        <v>4115.25</v>
      </c>
      <c r="K271" s="190">
        <f t="shared" ref="K271" si="155">TRUNC(G271*I271,2)</f>
        <v>5277.39</v>
      </c>
    </row>
    <row r="272" spans="2:11" ht="15">
      <c r="B272" s="526" t="s">
        <v>12756</v>
      </c>
      <c r="C272" s="527"/>
      <c r="D272" s="527"/>
      <c r="E272" s="527"/>
      <c r="F272" s="527"/>
      <c r="G272" s="527"/>
      <c r="H272" s="527"/>
      <c r="I272" s="294"/>
      <c r="J272" s="192">
        <f>TRUNC(SUM(J269:J271),2)</f>
        <v>26319.77</v>
      </c>
      <c r="K272" s="192">
        <f>TRUNC(SUM(K230:K271),2)</f>
        <v>126338.41</v>
      </c>
    </row>
    <row r="273" spans="2:11" ht="15">
      <c r="B273" s="362" t="s">
        <v>12898</v>
      </c>
      <c r="C273" s="363"/>
      <c r="D273" s="363"/>
      <c r="E273" s="363" t="str">
        <f>QUANT!E782</f>
        <v>MURO POSTERIOR</v>
      </c>
      <c r="F273" s="364"/>
      <c r="G273" s="365"/>
      <c r="H273" s="366"/>
      <c r="I273" s="367"/>
      <c r="J273" s="368"/>
      <c r="K273" s="369"/>
    </row>
    <row r="274" spans="2:11" ht="15">
      <c r="B274" s="314" t="s">
        <v>12899</v>
      </c>
      <c r="C274" s="96"/>
      <c r="D274" s="96"/>
      <c r="E274" s="96" t="str">
        <f>QUANT!E786</f>
        <v>ESTACAS</v>
      </c>
      <c r="F274" s="178"/>
      <c r="G274" s="146"/>
      <c r="H274" s="145"/>
      <c r="I274" s="219"/>
      <c r="J274" s="65"/>
      <c r="K274" s="191"/>
    </row>
    <row r="275" spans="2:11" ht="30">
      <c r="B275" s="14" t="s">
        <v>12900</v>
      </c>
      <c r="C275" s="435" t="str">
        <f>QUANT!C788</f>
        <v>CP-FUN-01</v>
      </c>
      <c r="D275" s="435" t="str">
        <f>QUANT!D788</f>
        <v>PRÓRPIA</v>
      </c>
      <c r="E275" s="436" t="str">
        <f>IFERROR(VLOOKUP($C275,'SINAPI JULHO 2018'!$1:$1048576,2,0),IFERROR(VLOOKUP($C275,'5-COMP. PROPRIA'!$B$13:$I$518,4,0),""))</f>
        <v>ESCAVAÇÃO MECANICA DE ESTACA 40 X 40 CM , PROFUNDIDADE DE 1,5 M DE COMPRIMENTO</v>
      </c>
      <c r="F275" s="437" t="str">
        <f>IFERROR(VLOOKUP($C275,'SINAPI JULHO 2018'!$A:$D,3,0),IFERROR(VLOOKUP($C275,'5-COMP. PROPRIA'!$B$13:$I$518,5,0),""))</f>
        <v>M</v>
      </c>
      <c r="G275" s="438">
        <f>QUANT!K788</f>
        <v>36</v>
      </c>
      <c r="H275" s="439">
        <f>IFERROR(VLOOKUP($C275,'SINAPI JULHO 2018'!$A:$D,4,0),IFERROR(VLOOKUP($C275,'5-COMP. PROPRIA'!$B$13:$I$518,8,0),""))</f>
        <v>39.909999999999997</v>
      </c>
      <c r="I275" s="440">
        <f>H275*'4-BDI'!$E$29</f>
        <v>51.180583999999996</v>
      </c>
      <c r="J275" s="63">
        <f t="shared" ref="J275:J279" si="156">TRUNC(G275*H275,2)</f>
        <v>1436.76</v>
      </c>
      <c r="K275" s="190">
        <f t="shared" ref="K275:K279" si="157">TRUNC(G275*I275,2)</f>
        <v>1842.5</v>
      </c>
    </row>
    <row r="276" spans="2:11" ht="45">
      <c r="B276" s="14" t="s">
        <v>12901</v>
      </c>
      <c r="C276" s="435">
        <f>QUANT!C792</f>
        <v>92759</v>
      </c>
      <c r="D276" s="435" t="str">
        <f>QUANT!D792</f>
        <v>SINAPI</v>
      </c>
      <c r="E276" s="436" t="str">
        <f>IFERROR(VLOOKUP($C276,'SINAPI JULHO 2018'!$1:$1048576,2,0),IFERROR(VLOOKUP($C276,'5-COMP. PROPRIA'!$B$13:$I$518,4,0),""))</f>
        <v>ARMAÇÃO DE PILAR OU VIGA DE UMA ESTRUTURA CONVENCIONAL DE CONCRETO ARMADO EM UM EDIFÍCIO DE MÚLTIPLOS PAVIMENTOS UTILIZANDO AÇO CA-60 DE 5,0 MM - MONTAGEM. AF_12/2015</v>
      </c>
      <c r="F276" s="437" t="str">
        <f>IFERROR(VLOOKUP($C276,'SINAPI JULHO 2018'!$A:$D,3,0),IFERROR(VLOOKUP($C276,'5-COMP. PROPRIA'!$B$13:$I$518,5,0),""))</f>
        <v>KG</v>
      </c>
      <c r="G276" s="438">
        <f>QUANT!K792</f>
        <v>37.712970000000006</v>
      </c>
      <c r="H276" s="439">
        <f>IFERROR(VLOOKUP($C276,'SINAPI JULHO 2018'!$A:$D,4,0),IFERROR(VLOOKUP($C276,'5-COMP. PROPRIA'!$B$13:$I$518,8,0),""))</f>
        <v>9.1</v>
      </c>
      <c r="I276" s="440">
        <f>H276*'4-BDI'!$E$29</f>
        <v>11.669839999999999</v>
      </c>
      <c r="J276" s="63">
        <f t="shared" si="156"/>
        <v>343.18</v>
      </c>
      <c r="K276" s="190">
        <f t="shared" si="157"/>
        <v>440.1</v>
      </c>
    </row>
    <row r="277" spans="2:11" ht="45">
      <c r="B277" s="14" t="s">
        <v>12902</v>
      </c>
      <c r="C277" s="435">
        <f>QUANT!C796</f>
        <v>92762</v>
      </c>
      <c r="D277" s="435" t="str">
        <f>QUANT!D796</f>
        <v>SINAPI</v>
      </c>
      <c r="E277" s="436" t="str">
        <f>IFERROR(VLOOKUP($C277,'SINAPI JULHO 2018'!$1:$1048576,2,0),IFERROR(VLOOKUP($C277,'5-COMP. PROPRIA'!$B$13:$I$518,4,0),""))</f>
        <v>ARMAÇÃO DE PILAR OU VIGA DE UMA ESTRUTURA CONVENCIONAL DE CONCRETO ARMADO EM UM EDIFÍCIO DE MÚLTIPLOS PAVIMENTOS UTILIZANDO AÇO CA-50 DE 10,0 MM - MONTAGEM. AF_12/2015</v>
      </c>
      <c r="F277" s="437" t="str">
        <f>IFERROR(VLOOKUP($C277,'SINAPI JULHO 2018'!$A:$D,3,0),IFERROR(VLOOKUP($C277,'5-COMP. PROPRIA'!$B$13:$I$518,5,0),""))</f>
        <v>KG</v>
      </c>
      <c r="G277" s="438">
        <f>QUANT!K796</f>
        <v>106.48368000000004</v>
      </c>
      <c r="H277" s="439">
        <f>IFERROR(VLOOKUP($C277,'SINAPI JULHO 2018'!$A:$D,4,0),IFERROR(VLOOKUP($C277,'5-COMP. PROPRIA'!$B$13:$I$518,8,0),""))</f>
        <v>6.58</v>
      </c>
      <c r="I277" s="440">
        <f>H277*'4-BDI'!$E$29</f>
        <v>8.4381920000000008</v>
      </c>
      <c r="J277" s="63">
        <f t="shared" si="156"/>
        <v>700.66</v>
      </c>
      <c r="K277" s="190">
        <f t="shared" si="157"/>
        <v>898.52</v>
      </c>
    </row>
    <row r="278" spans="2:11" ht="30">
      <c r="B278" s="14" t="s">
        <v>12903</v>
      </c>
      <c r="C278" s="435">
        <f>QUANT!C801</f>
        <v>94965</v>
      </c>
      <c r="D278" s="435" t="str">
        <f>QUANT!D801</f>
        <v>SINAPI</v>
      </c>
      <c r="E278" s="436" t="str">
        <f>IFERROR(VLOOKUP($C278,'SINAPI JULHO 2018'!$1:$1048576,2,0),IFERROR(VLOOKUP($C278,'5-COMP. PROPRIA'!$B$13:$I$518,4,0),""))</f>
        <v>CONCRETO FCK = 25MPA, TRAÇO 1:2,3:2,7 (CIMENTO/ AREIA MÉDIA/ BRITA 1)  - PREPARO MECÂNICO COM BETONEIRA 400 L. AF_07/2016</v>
      </c>
      <c r="F278" s="437" t="str">
        <f>IFERROR(VLOOKUP($C278,'SINAPI JULHO 2018'!$A:$D,3,0),IFERROR(VLOOKUP($C278,'5-COMP. PROPRIA'!$B$13:$I$518,5,0),""))</f>
        <v>M3</v>
      </c>
      <c r="G278" s="438">
        <f>QUANT!K801</f>
        <v>5.7600000000000016</v>
      </c>
      <c r="H278" s="439">
        <f>IFERROR(VLOOKUP($C278,'SINAPI JULHO 2018'!$A:$D,4,0),IFERROR(VLOOKUP($C278,'5-COMP. PROPRIA'!$B$13:$I$518,8,0),""))</f>
        <v>323.45</v>
      </c>
      <c r="I278" s="440">
        <f>H278*'4-BDI'!$E$29</f>
        <v>414.79228000000001</v>
      </c>
      <c r="J278" s="63">
        <f t="shared" si="156"/>
        <v>1863.07</v>
      </c>
      <c r="K278" s="190">
        <f t="shared" si="157"/>
        <v>2389.1999999999998</v>
      </c>
    </row>
    <row r="279" spans="2:11" ht="15">
      <c r="B279" s="14" t="s">
        <v>12904</v>
      </c>
      <c r="C279" s="435" t="str">
        <f>QUANT!C805</f>
        <v>74157/4</v>
      </c>
      <c r="D279" s="435" t="str">
        <f>QUANT!D805</f>
        <v>SINAPI</v>
      </c>
      <c r="E279" s="436" t="str">
        <f>IFERROR(VLOOKUP($C279,'SINAPI JULHO 2018'!$1:$1048576,2,0),IFERROR(VLOOKUP($C279,'5-COMP. PROPRIA'!$B$13:$I$518,4,0),""))</f>
        <v>LANCAMENTO/APLICACAO MANUAL DE CONCRETO EM FUNDACOES</v>
      </c>
      <c r="F279" s="437" t="str">
        <f>IFERROR(VLOOKUP($C279,'SINAPI JULHO 2018'!$A:$D,3,0),IFERROR(VLOOKUP($C279,'5-COMP. PROPRIA'!$B$13:$I$518,5,0),""))</f>
        <v>M3</v>
      </c>
      <c r="G279" s="438">
        <f>QUANT!K805</f>
        <v>5.7600000000000016</v>
      </c>
      <c r="H279" s="439">
        <f>IFERROR(VLOOKUP($C279,'SINAPI JULHO 2018'!$A:$D,4,0),IFERROR(VLOOKUP($C279,'5-COMP. PROPRIA'!$B$13:$I$518,8,0),""))</f>
        <v>93.76</v>
      </c>
      <c r="I279" s="440">
        <f>H279*'4-BDI'!$E$29</f>
        <v>120.237824</v>
      </c>
      <c r="J279" s="63">
        <f t="shared" si="156"/>
        <v>540.04999999999995</v>
      </c>
      <c r="K279" s="190">
        <f t="shared" si="157"/>
        <v>692.56</v>
      </c>
    </row>
    <row r="280" spans="2:11" ht="15">
      <c r="B280" s="314" t="s">
        <v>12905</v>
      </c>
      <c r="C280" s="96"/>
      <c r="D280" s="96"/>
      <c r="E280" s="96" t="str">
        <f>QUANT!E807</f>
        <v>BALDRAMES</v>
      </c>
      <c r="F280" s="178"/>
      <c r="G280" s="146"/>
      <c r="H280" s="145"/>
      <c r="I280" s="219"/>
      <c r="J280" s="65"/>
      <c r="K280" s="191"/>
    </row>
    <row r="281" spans="2:11" ht="30">
      <c r="B281" s="14" t="s">
        <v>12906</v>
      </c>
      <c r="C281" s="435">
        <f>QUANT!C809</f>
        <v>96527</v>
      </c>
      <c r="D281" s="435" t="str">
        <f>QUANT!D809</f>
        <v>SINAPI</v>
      </c>
      <c r="E281" s="436" t="str">
        <f>IFERROR(VLOOKUP($C281,'SINAPI JULHO 2018'!$1:$1048576,2,0),IFERROR(VLOOKUP($C281,'5-COMP. PROPRIA'!$B$13:$I$518,4,0),""))</f>
        <v>ESCAVAÇÃO MANUAL DE VALA PARA VIGA BALDRAME, COM PREVISÃO DE FÔRMA. AF_06/2017</v>
      </c>
      <c r="F281" s="437" t="str">
        <f>IFERROR(VLOOKUP($C281,'SINAPI JULHO 2018'!$A:$D,3,0),IFERROR(VLOOKUP($C281,'5-COMP. PROPRIA'!$B$13:$I$518,5,0),""))</f>
        <v>M3</v>
      </c>
      <c r="G281" s="438">
        <f>QUANT!K809</f>
        <v>19.565000000000005</v>
      </c>
      <c r="H281" s="439">
        <f>IFERROR(VLOOKUP($C281,'SINAPI JULHO 2018'!$A:$D,4,0),IFERROR(VLOOKUP($C281,'5-COMP. PROPRIA'!$B$13:$I$518,8,0),""))</f>
        <v>84.88</v>
      </c>
      <c r="I281" s="440">
        <f>H281*'4-BDI'!$E$29</f>
        <v>108.850112</v>
      </c>
      <c r="J281" s="63">
        <f t="shared" ref="J281:J291" si="158">TRUNC(G281*H281,2)</f>
        <v>1660.67</v>
      </c>
      <c r="K281" s="190">
        <f t="shared" ref="K281:K291" si="159">TRUNC(G281*I281,2)</f>
        <v>2129.65</v>
      </c>
    </row>
    <row r="282" spans="2:11" ht="30">
      <c r="B282" s="14" t="s">
        <v>12907</v>
      </c>
      <c r="C282" s="435">
        <f>QUANT!C813</f>
        <v>96617</v>
      </c>
      <c r="D282" s="435" t="str">
        <f>QUANT!D813</f>
        <v>SINAPI</v>
      </c>
      <c r="E282" s="436" t="str">
        <f>IFERROR(VLOOKUP($C282,'SINAPI JULHO 2018'!$1:$1048576,2,0),IFERROR(VLOOKUP($C282,'5-COMP. PROPRIA'!$B$13:$I$518,4,0),""))</f>
        <v>LASTRO DE CONCRETO MAGRO, APLICADO EM BLOCOS DE COROAMENTO OU SAPATAS, ESPESSURA DE 3 CM. AF_08/2017</v>
      </c>
      <c r="F282" s="437" t="str">
        <f>IFERROR(VLOOKUP($C282,'SINAPI JULHO 2018'!$A:$D,3,0),IFERROR(VLOOKUP($C282,'5-COMP. PROPRIA'!$B$13:$I$518,5,0),""))</f>
        <v>M2</v>
      </c>
      <c r="G282" s="438">
        <f>QUANT!K813</f>
        <v>14</v>
      </c>
      <c r="H282" s="439">
        <f>IFERROR(VLOOKUP($C282,'SINAPI JULHO 2018'!$A:$D,4,0),IFERROR(VLOOKUP($C282,'5-COMP. PROPRIA'!$B$13:$I$518,8,0),""))</f>
        <v>12.49</v>
      </c>
      <c r="I282" s="440">
        <f>H282*'4-BDI'!$E$29</f>
        <v>16.017175999999999</v>
      </c>
      <c r="J282" s="63">
        <f t="shared" si="158"/>
        <v>174.86</v>
      </c>
      <c r="K282" s="190">
        <f t="shared" si="159"/>
        <v>224.24</v>
      </c>
    </row>
    <row r="283" spans="2:11" ht="30">
      <c r="B283" s="14" t="s">
        <v>12908</v>
      </c>
      <c r="C283" s="435">
        <f>QUANT!C817</f>
        <v>94965</v>
      </c>
      <c r="D283" s="435" t="str">
        <f>QUANT!D817</f>
        <v>SINAPI</v>
      </c>
      <c r="E283" s="436" t="str">
        <f>IFERROR(VLOOKUP($C283,'SINAPI JULHO 2018'!$1:$1048576,2,0),IFERROR(VLOOKUP($C283,'5-COMP. PROPRIA'!$B$13:$I$518,4,0),""))</f>
        <v>CONCRETO FCK = 25MPA, TRAÇO 1:2,3:2,7 (CIMENTO/ AREIA MÉDIA/ BRITA 1)  - PREPARO MECÂNICO COM BETONEIRA 400 L. AF_07/2016</v>
      </c>
      <c r="F283" s="437" t="str">
        <f>IFERROR(VLOOKUP($C283,'SINAPI JULHO 2018'!$A:$D,3,0),IFERROR(VLOOKUP($C283,'5-COMP. PROPRIA'!$B$13:$I$518,5,0),""))</f>
        <v>M3</v>
      </c>
      <c r="G283" s="438">
        <f>QUANT!K817</f>
        <v>5.6000000000000005</v>
      </c>
      <c r="H283" s="439">
        <f>IFERROR(VLOOKUP($C283,'SINAPI JULHO 2018'!$A:$D,4,0),IFERROR(VLOOKUP($C283,'5-COMP. PROPRIA'!$B$13:$I$518,8,0),""))</f>
        <v>323.45</v>
      </c>
      <c r="I283" s="440">
        <f>H283*'4-BDI'!$E$29</f>
        <v>414.79228000000001</v>
      </c>
      <c r="J283" s="63">
        <f t="shared" si="158"/>
        <v>1811.32</v>
      </c>
      <c r="K283" s="190">
        <f t="shared" si="159"/>
        <v>2322.83</v>
      </c>
    </row>
    <row r="284" spans="2:11" ht="15">
      <c r="B284" s="14" t="s">
        <v>12909</v>
      </c>
      <c r="C284" s="435" t="str">
        <f>QUANT!C821</f>
        <v>74157/4</v>
      </c>
      <c r="D284" s="435" t="str">
        <f>QUANT!D821</f>
        <v>SINAPI</v>
      </c>
      <c r="E284" s="436" t="str">
        <f>IFERROR(VLOOKUP($C284,'SINAPI JULHO 2018'!$1:$1048576,2,0),IFERROR(VLOOKUP($C284,'5-COMP. PROPRIA'!$B$13:$I$518,4,0),""))</f>
        <v>LANCAMENTO/APLICACAO MANUAL DE CONCRETO EM FUNDACOES</v>
      </c>
      <c r="F284" s="437" t="str">
        <f>IFERROR(VLOOKUP($C284,'SINAPI JULHO 2018'!$A:$D,3,0),IFERROR(VLOOKUP($C284,'5-COMP. PROPRIA'!$B$13:$I$518,5,0),""))</f>
        <v>M3</v>
      </c>
      <c r="G284" s="438">
        <f>QUANT!K821</f>
        <v>5.6000000000000005</v>
      </c>
      <c r="H284" s="439">
        <f>IFERROR(VLOOKUP($C284,'SINAPI JULHO 2018'!$A:$D,4,0),IFERROR(VLOOKUP($C284,'5-COMP. PROPRIA'!$B$13:$I$518,8,0),""))</f>
        <v>93.76</v>
      </c>
      <c r="I284" s="440">
        <f>H284*'4-BDI'!$E$29</f>
        <v>120.237824</v>
      </c>
      <c r="J284" s="63">
        <f t="shared" si="158"/>
        <v>525.04999999999995</v>
      </c>
      <c r="K284" s="190">
        <f t="shared" si="159"/>
        <v>673.33</v>
      </c>
    </row>
    <row r="285" spans="2:11" ht="30">
      <c r="B285" s="14" t="s">
        <v>12910</v>
      </c>
      <c r="C285" s="435">
        <f>QUANT!C823</f>
        <v>96543</v>
      </c>
      <c r="D285" s="435" t="str">
        <f>QUANT!D823</f>
        <v>SINAPI</v>
      </c>
      <c r="E285" s="436" t="str">
        <f>IFERROR(VLOOKUP($C285,'SINAPI JULHO 2018'!$1:$1048576,2,0),IFERROR(VLOOKUP($C285,'5-COMP. PROPRIA'!$B$13:$I$518,4,0),""))</f>
        <v>ARMAÇÃO DE BLOCO, VIGA BALDRAME E SAPATA UTILIZANDO AÇO CA-60 DE 5 MM - MONTAGEM. AF_06/2017</v>
      </c>
      <c r="F285" s="437" t="str">
        <f>IFERROR(VLOOKUP($C285,'SINAPI JULHO 2018'!$A:$D,3,0),IFERROR(VLOOKUP($C285,'5-COMP. PROPRIA'!$B$13:$I$518,5,0),""))</f>
        <v>KG</v>
      </c>
      <c r="G285" s="438">
        <f>QUANT!K823</f>
        <v>95.258114583333366</v>
      </c>
      <c r="H285" s="439">
        <f>IFERROR(VLOOKUP($C285,'SINAPI JULHO 2018'!$A:$D,4,0),IFERROR(VLOOKUP($C285,'5-COMP. PROPRIA'!$B$13:$I$518,8,0),""))</f>
        <v>11.01</v>
      </c>
      <c r="I285" s="440">
        <f>H285*'4-BDI'!$E$29</f>
        <v>14.119223999999999</v>
      </c>
      <c r="J285" s="63">
        <f t="shared" si="158"/>
        <v>1048.79</v>
      </c>
      <c r="K285" s="190">
        <f t="shared" si="159"/>
        <v>1344.97</v>
      </c>
    </row>
    <row r="286" spans="2:11" ht="45">
      <c r="B286" s="14" t="s">
        <v>12911</v>
      </c>
      <c r="C286" s="435">
        <f>QUANT!C828</f>
        <v>92762</v>
      </c>
      <c r="D286" s="435" t="str">
        <f>QUANT!D828</f>
        <v>SINAPI</v>
      </c>
      <c r="E286" s="436" t="str">
        <f>IFERROR(VLOOKUP($C286,'SINAPI JULHO 2018'!$1:$1048576,2,0),IFERROR(VLOOKUP($C286,'5-COMP. PROPRIA'!$B$13:$I$518,4,0),""))</f>
        <v>ARMAÇÃO DE PILAR OU VIGA DE UMA ESTRUTURA CONVENCIONAL DE CONCRETO ARMADO EM UM EDIFÍCIO DE MÚLTIPLOS PAVIMENTOS UTILIZANDO AÇO CA-50 DE 10,0 MM - MONTAGEM. AF_12/2015</v>
      </c>
      <c r="F286" s="437" t="str">
        <f>IFERROR(VLOOKUP($C286,'SINAPI JULHO 2018'!$A:$D,3,0),IFERROR(VLOOKUP($C286,'5-COMP. PROPRIA'!$B$13:$I$518,5,0),""))</f>
        <v>KG</v>
      </c>
      <c r="G286" s="438">
        <f>QUANT!K828</f>
        <v>172.54300000000003</v>
      </c>
      <c r="H286" s="439">
        <f>IFERROR(VLOOKUP($C286,'SINAPI JULHO 2018'!$A:$D,4,0),IFERROR(VLOOKUP($C286,'5-COMP. PROPRIA'!$B$13:$I$518,8,0),""))</f>
        <v>6.58</v>
      </c>
      <c r="I286" s="440">
        <f>H286*'4-BDI'!$E$29</f>
        <v>8.4381920000000008</v>
      </c>
      <c r="J286" s="63">
        <f t="shared" si="158"/>
        <v>1135.33</v>
      </c>
      <c r="K286" s="190">
        <f t="shared" si="159"/>
        <v>1455.95</v>
      </c>
    </row>
    <row r="287" spans="2:11" ht="30">
      <c r="B287" s="14" t="s">
        <v>12912</v>
      </c>
      <c r="C287" s="435">
        <f>QUANT!C833</f>
        <v>96536</v>
      </c>
      <c r="D287" s="435" t="str">
        <f>QUANT!D833</f>
        <v>SINAPI</v>
      </c>
      <c r="E287" s="436" t="str">
        <f>IFERROR(VLOOKUP($C287,'SINAPI JULHO 2018'!$1:$1048576,2,0),IFERROR(VLOOKUP($C287,'5-COMP. PROPRIA'!$B$13:$I$518,4,0),""))</f>
        <v>FABRICAÇÃO, MONTAGEM E DESMONTAGEM DE FÔRMA PARA VIGA BALDRAME, EM MADEIRA SERRADA, E=25 MM, 4 UTILIZAÇÕES. AF_06/2017</v>
      </c>
      <c r="F287" s="437" t="str">
        <f>IFERROR(VLOOKUP($C287,'SINAPI JULHO 2018'!$A:$D,3,0),IFERROR(VLOOKUP($C287,'5-COMP. PROPRIA'!$B$13:$I$518,5,0),""))</f>
        <v>M2</v>
      </c>
      <c r="G287" s="438">
        <f>QUANT!K833</f>
        <v>56</v>
      </c>
      <c r="H287" s="439">
        <f>IFERROR(VLOOKUP($C287,'SINAPI JULHO 2018'!$A:$D,4,0),IFERROR(VLOOKUP($C287,'5-COMP. PROPRIA'!$B$13:$I$518,8,0),""))</f>
        <v>37.81</v>
      </c>
      <c r="I287" s="440">
        <f>H287*'4-BDI'!$E$29</f>
        <v>48.487544</v>
      </c>
      <c r="J287" s="63">
        <f t="shared" si="158"/>
        <v>2117.36</v>
      </c>
      <c r="K287" s="190">
        <f t="shared" si="159"/>
        <v>2715.3</v>
      </c>
    </row>
    <row r="288" spans="2:11" ht="15">
      <c r="B288" s="14" t="s">
        <v>12913</v>
      </c>
      <c r="C288" s="435">
        <f>QUANT!C837</f>
        <v>93382</v>
      </c>
      <c r="D288" s="435" t="str">
        <f>QUANT!D837</f>
        <v>SINAPI</v>
      </c>
      <c r="E288" s="436" t="str">
        <f>IFERROR(VLOOKUP($C288,'SINAPI JULHO 2018'!$1:$1048576,2,0),IFERROR(VLOOKUP($C288,'5-COMP. PROPRIA'!$B$13:$I$518,4,0),""))</f>
        <v>REATERRO MANUAL DE VALAS COM COMPACTAÇÃO MECANIZADA. AF_04/2016</v>
      </c>
      <c r="F288" s="437" t="str">
        <f>IFERROR(VLOOKUP($C288,'SINAPI JULHO 2018'!$A:$D,3,0),IFERROR(VLOOKUP($C288,'5-COMP. PROPRIA'!$B$13:$I$518,5,0),""))</f>
        <v>M3</v>
      </c>
      <c r="G288" s="438">
        <f>QUANT!K837</f>
        <v>13.965000000000003</v>
      </c>
      <c r="H288" s="439">
        <f>IFERROR(VLOOKUP($C288,'SINAPI JULHO 2018'!$A:$D,4,0),IFERROR(VLOOKUP($C288,'5-COMP. PROPRIA'!$B$13:$I$518,8,0),""))</f>
        <v>19.27</v>
      </c>
      <c r="I288" s="440">
        <f>H288*'4-BDI'!$E$29</f>
        <v>24.711848</v>
      </c>
      <c r="J288" s="63">
        <f t="shared" si="158"/>
        <v>269.10000000000002</v>
      </c>
      <c r="K288" s="190">
        <f t="shared" si="159"/>
        <v>345.1</v>
      </c>
    </row>
    <row r="289" spans="2:11" ht="30">
      <c r="B289" s="14" t="s">
        <v>12914</v>
      </c>
      <c r="C289" s="435" t="str">
        <f>QUANT!C841</f>
        <v>74106/1</v>
      </c>
      <c r="D289" s="435" t="str">
        <f>QUANT!D841</f>
        <v>SINAPI</v>
      </c>
      <c r="E289" s="436" t="str">
        <f>IFERROR(VLOOKUP($C289,'SINAPI JULHO 2018'!$1:$1048576,2,0),IFERROR(VLOOKUP($C289,'5-COMP. PROPRIA'!$B$13:$I$518,4,0),""))</f>
        <v>IMPERMEABILIZACAO DE ESTRUTURAS ENTERRADAS, COM TINTA ASFALTICA, DUAS DEMAOS.</v>
      </c>
      <c r="F289" s="437" t="str">
        <f>IFERROR(VLOOKUP($C289,'SINAPI JULHO 2018'!$A:$D,3,0),IFERROR(VLOOKUP($C289,'5-COMP. PROPRIA'!$B$13:$I$518,5,0),""))</f>
        <v>M2</v>
      </c>
      <c r="G289" s="438">
        <f>QUANT!K841</f>
        <v>71</v>
      </c>
      <c r="H289" s="439">
        <f>IFERROR(VLOOKUP($C289,'SINAPI JULHO 2018'!$A:$D,4,0),IFERROR(VLOOKUP($C289,'5-COMP. PROPRIA'!$B$13:$I$518,8,0),""))</f>
        <v>9.5399999999999991</v>
      </c>
      <c r="I289" s="440">
        <f>H289*'4-BDI'!$E$29</f>
        <v>12.234095999999999</v>
      </c>
      <c r="J289" s="63">
        <f t="shared" si="158"/>
        <v>677.34</v>
      </c>
      <c r="K289" s="190">
        <f t="shared" si="159"/>
        <v>868.62</v>
      </c>
    </row>
    <row r="290" spans="2:11" ht="15">
      <c r="B290" s="14" t="s">
        <v>12915</v>
      </c>
      <c r="C290" s="435">
        <f>QUANT!C844</f>
        <v>72897</v>
      </c>
      <c r="D290" s="435" t="str">
        <f>QUANT!D844</f>
        <v>SINAPI</v>
      </c>
      <c r="E290" s="436" t="str">
        <f>IFERROR(VLOOKUP($C290,'SINAPI JULHO 2018'!$1:$1048576,2,0),IFERROR(VLOOKUP($C290,'5-COMP. PROPRIA'!$B$13:$I$518,4,0),""))</f>
        <v>CARGA MANUAL DE ENTULHO EM CAMINHAO BASCULANTE 6 M3</v>
      </c>
      <c r="F290" s="437" t="str">
        <f>IFERROR(VLOOKUP($C290,'SINAPI JULHO 2018'!$A:$D,3,0),IFERROR(VLOOKUP($C290,'5-COMP. PROPRIA'!$B$13:$I$518,5,0),""))</f>
        <v>M3</v>
      </c>
      <c r="G290" s="438">
        <f>QUANT!K844</f>
        <v>7.2800000000000011</v>
      </c>
      <c r="H290" s="439">
        <f>IFERROR(VLOOKUP($C290,'SINAPI JULHO 2018'!$A:$D,4,0),IFERROR(VLOOKUP($C290,'5-COMP. PROPRIA'!$B$13:$I$518,8,0),""))</f>
        <v>17.34</v>
      </c>
      <c r="I290" s="440">
        <f>H290*'4-BDI'!$E$29</f>
        <v>22.236816000000001</v>
      </c>
      <c r="J290" s="63">
        <f t="shared" si="158"/>
        <v>126.23</v>
      </c>
      <c r="K290" s="190">
        <f t="shared" si="159"/>
        <v>161.88</v>
      </c>
    </row>
    <row r="291" spans="2:11" ht="30">
      <c r="B291" s="14" t="s">
        <v>12916</v>
      </c>
      <c r="C291" s="435">
        <f>QUANT!C848</f>
        <v>97914</v>
      </c>
      <c r="D291" s="435" t="str">
        <f>QUANT!D848</f>
        <v>SINAPI</v>
      </c>
      <c r="E291" s="436" t="str">
        <f>IFERROR(VLOOKUP($C291,'SINAPI JULHO 2018'!$1:$1048576,2,0),IFERROR(VLOOKUP($C291,'5-COMP. PROPRIA'!$B$13:$I$518,4,0),""))</f>
        <v>TRANSPORTE COM CAMINHÃO BASCULANTE DE 6 M3, EM VIA URBANA PAVIMENTADA, DMT ATÉ 30 KM (UNIDADE: M3XKM). AF_01/2018</v>
      </c>
      <c r="F291" s="437" t="str">
        <f>IFERROR(VLOOKUP($C291,'SINAPI JULHO 2018'!$A:$D,3,0),IFERROR(VLOOKUP($C291,'5-COMP. PROPRIA'!$B$13:$I$518,5,0),""))</f>
        <v>M3XKM</v>
      </c>
      <c r="G291" s="438">
        <f>QUANT!K848</f>
        <v>54.600000000000009</v>
      </c>
      <c r="H291" s="439">
        <f>IFERROR(VLOOKUP($C291,'SINAPI JULHO 2018'!$A:$D,4,0),IFERROR(VLOOKUP($C291,'5-COMP. PROPRIA'!$B$13:$I$518,8,0),""))</f>
        <v>1.52</v>
      </c>
      <c r="I291" s="440">
        <f>H291*'4-BDI'!$E$29</f>
        <v>1.9492480000000001</v>
      </c>
      <c r="J291" s="63">
        <f t="shared" si="158"/>
        <v>82.99</v>
      </c>
      <c r="K291" s="190">
        <f t="shared" si="159"/>
        <v>106.42</v>
      </c>
    </row>
    <row r="292" spans="2:11" ht="15">
      <c r="B292" s="314" t="s">
        <v>12917</v>
      </c>
      <c r="C292" s="96"/>
      <c r="D292" s="96"/>
      <c r="E292" s="96" t="str">
        <f>QUANT!E854</f>
        <v>GRAUTEMENTO VERTICAL</v>
      </c>
      <c r="F292" s="178"/>
      <c r="G292" s="146"/>
      <c r="H292" s="145"/>
      <c r="I292" s="219"/>
      <c r="J292" s="65"/>
      <c r="K292" s="191"/>
    </row>
    <row r="293" spans="2:11" ht="15">
      <c r="B293" s="14" t="s">
        <v>12918</v>
      </c>
      <c r="C293" s="435">
        <f>QUANT!C856</f>
        <v>89993</v>
      </c>
      <c r="D293" s="435" t="str">
        <f>QUANT!D856</f>
        <v>SINAPI</v>
      </c>
      <c r="E293" s="436" t="str">
        <f>IFERROR(VLOOKUP($C293,'SINAPI JULHO 2018'!$1:$1048576,2,0),IFERROR(VLOOKUP($C293,'5-COMP. PROPRIA'!$B$13:$I$518,4,0),""))</f>
        <v>GRAUTEAMENTO VERTICAL EM ALVENARIA ESTRUTURAL. AF_01/2015</v>
      </c>
      <c r="F293" s="437" t="str">
        <f>IFERROR(VLOOKUP($C293,'SINAPI JULHO 2018'!$A:$D,3,0),IFERROR(VLOOKUP($C293,'5-COMP. PROPRIA'!$B$13:$I$518,5,0),""))</f>
        <v>M3</v>
      </c>
      <c r="G293" s="438">
        <f>QUANT!K856</f>
        <v>16.128000000000004</v>
      </c>
      <c r="H293" s="439">
        <f>IFERROR(VLOOKUP($C293,'SINAPI JULHO 2018'!$A:$D,4,0),IFERROR(VLOOKUP($C293,'5-COMP. PROPRIA'!$B$13:$I$518,8,0),""))</f>
        <v>590.5</v>
      </c>
      <c r="I293" s="440">
        <f>H293*'4-BDI'!$E$29</f>
        <v>757.25720000000001</v>
      </c>
      <c r="J293" s="63">
        <f t="shared" ref="J293:J294" si="160">TRUNC(G293*H293,2)</f>
        <v>9523.58</v>
      </c>
      <c r="K293" s="190">
        <f t="shared" ref="K293:K294" si="161">TRUNC(G293*I293,2)</f>
        <v>12213.04</v>
      </c>
    </row>
    <row r="294" spans="2:11" ht="30">
      <c r="B294" s="14" t="s">
        <v>12919</v>
      </c>
      <c r="C294" s="435">
        <f>QUANT!C860</f>
        <v>89996</v>
      </c>
      <c r="D294" s="435" t="str">
        <f>QUANT!D860</f>
        <v>SINAPI</v>
      </c>
      <c r="E294" s="436" t="str">
        <f>IFERROR(VLOOKUP($C294,'SINAPI JULHO 2018'!$1:$1048576,2,0),IFERROR(VLOOKUP($C294,'5-COMP. PROPRIA'!$B$13:$I$518,4,0),""))</f>
        <v>ARMAÇÃO VERTICAL DE ALVENARIA ESTRUTURAL; DIÂMETRO DE 10,0 MM. AF_01/2015</v>
      </c>
      <c r="F294" s="437" t="str">
        <f>IFERROR(VLOOKUP($C294,'SINAPI JULHO 2018'!$A:$D,3,0),IFERROR(VLOOKUP($C294,'5-COMP. PROPRIA'!$B$13:$I$518,5,0),""))</f>
        <v>KG</v>
      </c>
      <c r="G294" s="438">
        <f>QUANT!K860</f>
        <v>272.1249600000001</v>
      </c>
      <c r="H294" s="439">
        <f>IFERROR(VLOOKUP($C294,'SINAPI JULHO 2018'!$A:$D,4,0),IFERROR(VLOOKUP($C294,'5-COMP. PROPRIA'!$B$13:$I$518,8,0),""))</f>
        <v>6.27</v>
      </c>
      <c r="I294" s="440">
        <f>H294*'4-BDI'!$E$29</f>
        <v>8.0406479999999991</v>
      </c>
      <c r="J294" s="63">
        <f t="shared" si="160"/>
        <v>1706.22</v>
      </c>
      <c r="K294" s="190">
        <f t="shared" si="161"/>
        <v>2188.06</v>
      </c>
    </row>
    <row r="295" spans="2:11" ht="15">
      <c r="B295" s="314" t="s">
        <v>12920</v>
      </c>
      <c r="C295" s="96"/>
      <c r="D295" s="96"/>
      <c r="E295" s="96" t="str">
        <f>QUANT!E865</f>
        <v>GRAUTEMENTO DE CINTA INTERMEDIARIA</v>
      </c>
      <c r="F295" s="178"/>
      <c r="G295" s="146"/>
      <c r="H295" s="145"/>
      <c r="I295" s="219"/>
      <c r="J295" s="65"/>
      <c r="K295" s="191"/>
    </row>
    <row r="296" spans="2:11" ht="30">
      <c r="B296" s="14" t="s">
        <v>12921</v>
      </c>
      <c r="C296" s="435">
        <f>QUANT!C867</f>
        <v>89994</v>
      </c>
      <c r="D296" s="435" t="str">
        <f>QUANT!D867</f>
        <v>SINAPI</v>
      </c>
      <c r="E296" s="436" t="str">
        <f>IFERROR(VLOOKUP($C296,'SINAPI JULHO 2018'!$1:$1048576,2,0),IFERROR(VLOOKUP($C296,'5-COMP. PROPRIA'!$B$13:$I$518,4,0),""))</f>
        <v>GRAUTEAMENTO DE CINTA INTERMEDIÁRIA OU DE CONTRAVERGA EM ALVENARIA ESTRUTURAL. AF_01/2015</v>
      </c>
      <c r="F296" s="437" t="str">
        <f>IFERROR(VLOOKUP($C296,'SINAPI JULHO 2018'!$A:$D,3,0),IFERROR(VLOOKUP($C296,'5-COMP. PROPRIA'!$B$13:$I$518,5,0),""))</f>
        <v>M3</v>
      </c>
      <c r="G296" s="438">
        <f>QUANT!K867</f>
        <v>2.8000000000000003</v>
      </c>
      <c r="H296" s="439">
        <f>IFERROR(VLOOKUP($C296,'SINAPI JULHO 2018'!$A:$D,4,0),IFERROR(VLOOKUP($C296,'5-COMP. PROPRIA'!$B$13:$I$518,8,0),""))</f>
        <v>497.12</v>
      </c>
      <c r="I296" s="440">
        <f>H296*'4-BDI'!$E$29</f>
        <v>637.50668800000005</v>
      </c>
      <c r="J296" s="63">
        <f t="shared" ref="J296:J298" si="162">TRUNC(G296*H296,2)</f>
        <v>1391.93</v>
      </c>
      <c r="K296" s="190">
        <f t="shared" ref="K296:K298" si="163">TRUNC(G296*I296,2)</f>
        <v>1785.01</v>
      </c>
    </row>
    <row r="297" spans="2:11" ht="30">
      <c r="B297" s="14" t="s">
        <v>12922</v>
      </c>
      <c r="C297" s="435">
        <f>QUANT!C871</f>
        <v>89998</v>
      </c>
      <c r="D297" s="435" t="str">
        <f>QUANT!D871</f>
        <v>SINAPI</v>
      </c>
      <c r="E297" s="436" t="str">
        <f>IFERROR(VLOOKUP($C297,'SINAPI JULHO 2018'!$1:$1048576,2,0),IFERROR(VLOOKUP($C297,'5-COMP. PROPRIA'!$B$13:$I$518,4,0),""))</f>
        <v>ARMAÇÃO DE CINTA DE ALVENARIA ESTRUTURAL; DIÂMETRO DE 10,0 MM. AF_01/2015</v>
      </c>
      <c r="F297" s="437" t="str">
        <f>IFERROR(VLOOKUP($C297,'SINAPI JULHO 2018'!$A:$D,3,0),IFERROR(VLOOKUP($C297,'5-COMP. PROPRIA'!$B$13:$I$518,5,0),""))</f>
        <v>KG</v>
      </c>
      <c r="G297" s="438">
        <f>QUANT!K871</f>
        <v>86.271500000000017</v>
      </c>
      <c r="H297" s="439">
        <f>IFERROR(VLOOKUP($C297,'SINAPI JULHO 2018'!$A:$D,4,0),IFERROR(VLOOKUP($C297,'5-COMP. PROPRIA'!$B$13:$I$518,8,0),""))</f>
        <v>5.89</v>
      </c>
      <c r="I297" s="440">
        <f>H297*'4-BDI'!$E$29</f>
        <v>7.5533359999999998</v>
      </c>
      <c r="J297" s="63">
        <f t="shared" si="162"/>
        <v>508.13</v>
      </c>
      <c r="K297" s="190">
        <f t="shared" si="163"/>
        <v>651.63</v>
      </c>
    </row>
    <row r="298" spans="2:11" ht="30">
      <c r="B298" s="14" t="s">
        <v>12923</v>
      </c>
      <c r="C298" s="435" t="str">
        <f>QUANT!C876</f>
        <v>CP-FUN-02</v>
      </c>
      <c r="D298" s="435" t="str">
        <f>QUANT!D876</f>
        <v>PRÓRPIA</v>
      </c>
      <c r="E298" s="436" t="str">
        <f>IFERROR(VLOOKUP($C298,'SINAPI JULHO 2018'!$1:$1048576,2,0),IFERROR(VLOOKUP($C298,'5-COMP. PROPRIA'!$B$13:$I$518,4,0),""))</f>
        <v>CINTA DE AMARRAÇÃO DE ALVENARIA MOLDADA IN LOCO COM UTILIZAÇÃO DE BLOCOS CANALETA</v>
      </c>
      <c r="F298" s="437" t="str">
        <f>IFERROR(VLOOKUP($C298,'SINAPI JULHO 2018'!$A:$D,3,0),IFERROR(VLOOKUP($C298,'5-COMP. PROPRIA'!$B$13:$I$518,5,0),""))</f>
        <v>M</v>
      </c>
      <c r="G298" s="438">
        <f>QUANT!K876</f>
        <v>70</v>
      </c>
      <c r="H298" s="439">
        <f>IFERROR(VLOOKUP($C298,'SINAPI JULHO 2018'!$A:$D,4,0),IFERROR(VLOOKUP($C298,'5-COMP. PROPRIA'!$B$13:$I$518,8,0),""))</f>
        <v>20.91</v>
      </c>
      <c r="I298" s="440">
        <f>H298*'4-BDI'!$E$29</f>
        <v>26.814983999999999</v>
      </c>
      <c r="J298" s="63">
        <f t="shared" si="162"/>
        <v>1463.7</v>
      </c>
      <c r="K298" s="190">
        <f t="shared" si="163"/>
        <v>1877.04</v>
      </c>
    </row>
    <row r="299" spans="2:11" ht="15">
      <c r="B299" s="314" t="s">
        <v>12924</v>
      </c>
      <c r="C299" s="96"/>
      <c r="D299" s="96"/>
      <c r="E299" s="96" t="str">
        <f>QUANT!E878</f>
        <v>GRAUTEMENTO DE CINTA SUPERIOR</v>
      </c>
      <c r="F299" s="178"/>
      <c r="G299" s="146"/>
      <c r="H299" s="145"/>
      <c r="I299" s="219"/>
      <c r="J299" s="65"/>
      <c r="K299" s="191"/>
    </row>
    <row r="300" spans="2:11" ht="30">
      <c r="B300" s="14" t="s">
        <v>12925</v>
      </c>
      <c r="C300" s="435">
        <f>QUANT!C880</f>
        <v>89995</v>
      </c>
      <c r="D300" s="435" t="str">
        <f>QUANT!D880</f>
        <v>SINAPI</v>
      </c>
      <c r="E300" s="436" t="str">
        <f>IFERROR(VLOOKUP($C300,'SINAPI JULHO 2018'!$1:$1048576,2,0),IFERROR(VLOOKUP($C300,'5-COMP. PROPRIA'!$B$13:$I$518,4,0),""))</f>
        <v>GRAUTEAMENTO DE CINTA SUPERIOR OU DE VERGA EM ALVENARIA ESTRUTURAL. AF_01/2015</v>
      </c>
      <c r="F300" s="437" t="str">
        <f>IFERROR(VLOOKUP($C300,'SINAPI JULHO 2018'!$A:$D,3,0),IFERROR(VLOOKUP($C300,'5-COMP. PROPRIA'!$B$13:$I$518,5,0),""))</f>
        <v>M3</v>
      </c>
      <c r="G300" s="438">
        <f>QUANT!K880</f>
        <v>2.8000000000000003</v>
      </c>
      <c r="H300" s="439">
        <f>IFERROR(VLOOKUP($C300,'SINAPI JULHO 2018'!$A:$D,4,0),IFERROR(VLOOKUP($C300,'5-COMP. PROPRIA'!$B$13:$I$518,8,0),""))</f>
        <v>566.62</v>
      </c>
      <c r="I300" s="440">
        <f>H300*'4-BDI'!$E$29</f>
        <v>726.63348799999994</v>
      </c>
      <c r="J300" s="63">
        <f t="shared" ref="J300:J302" si="164">TRUNC(G300*H300,2)</f>
        <v>1586.53</v>
      </c>
      <c r="K300" s="190">
        <f t="shared" ref="K300:K302" si="165">TRUNC(G300*I300,2)</f>
        <v>2034.57</v>
      </c>
    </row>
    <row r="301" spans="2:11" ht="30">
      <c r="B301" s="14" t="s">
        <v>12926</v>
      </c>
      <c r="C301" s="435">
        <f>QUANT!C884</f>
        <v>89998</v>
      </c>
      <c r="D301" s="435" t="str">
        <f>QUANT!D884</f>
        <v>SINAPI</v>
      </c>
      <c r="E301" s="436" t="str">
        <f>IFERROR(VLOOKUP($C301,'SINAPI JULHO 2018'!$1:$1048576,2,0),IFERROR(VLOOKUP($C301,'5-COMP. PROPRIA'!$B$13:$I$518,4,0),""))</f>
        <v>ARMAÇÃO DE CINTA DE ALVENARIA ESTRUTURAL; DIÂMETRO DE 10,0 MM. AF_01/2015</v>
      </c>
      <c r="F301" s="437" t="str">
        <f>IFERROR(VLOOKUP($C301,'SINAPI JULHO 2018'!$A:$D,3,0),IFERROR(VLOOKUP($C301,'5-COMP. PROPRIA'!$B$13:$I$518,5,0),""))</f>
        <v>KG</v>
      </c>
      <c r="G301" s="438">
        <f>QUANT!K884</f>
        <v>86.271500000000017</v>
      </c>
      <c r="H301" s="439">
        <f>IFERROR(VLOOKUP($C301,'SINAPI JULHO 2018'!$A:$D,4,0),IFERROR(VLOOKUP($C301,'5-COMP. PROPRIA'!$B$13:$I$518,8,0),""))</f>
        <v>5.89</v>
      </c>
      <c r="I301" s="440">
        <f>H301*'4-BDI'!$E$29</f>
        <v>7.5533359999999998</v>
      </c>
      <c r="J301" s="63">
        <f t="shared" si="164"/>
        <v>508.13</v>
      </c>
      <c r="K301" s="190">
        <f t="shared" si="165"/>
        <v>651.63</v>
      </c>
    </row>
    <row r="302" spans="2:11" ht="30">
      <c r="B302" s="14" t="s">
        <v>12927</v>
      </c>
      <c r="C302" s="435" t="str">
        <f>QUANT!C889</f>
        <v>CP-FUN-02</v>
      </c>
      <c r="D302" s="435" t="str">
        <f>QUANT!D889</f>
        <v>PRÓRPIA</v>
      </c>
      <c r="E302" s="436" t="str">
        <f>IFERROR(VLOOKUP($C302,'SINAPI JULHO 2018'!$1:$1048576,2,0),IFERROR(VLOOKUP($C302,'5-COMP. PROPRIA'!$B$13:$I$518,4,0),""))</f>
        <v>CINTA DE AMARRAÇÃO DE ALVENARIA MOLDADA IN LOCO COM UTILIZAÇÃO DE BLOCOS CANALETA</v>
      </c>
      <c r="F302" s="437" t="str">
        <f>IFERROR(VLOOKUP($C302,'SINAPI JULHO 2018'!$A:$D,3,0),IFERROR(VLOOKUP($C302,'5-COMP. PROPRIA'!$B$13:$I$518,5,0),""))</f>
        <v>M</v>
      </c>
      <c r="G302" s="438">
        <f>QUANT!K889</f>
        <v>70</v>
      </c>
      <c r="H302" s="439">
        <f>IFERROR(VLOOKUP($C302,'SINAPI JULHO 2018'!$A:$D,4,0),IFERROR(VLOOKUP($C302,'5-COMP. PROPRIA'!$B$13:$I$518,8,0),""))</f>
        <v>20.91</v>
      </c>
      <c r="I302" s="440">
        <f>H302*'4-BDI'!$E$29</f>
        <v>26.814983999999999</v>
      </c>
      <c r="J302" s="63">
        <f t="shared" si="164"/>
        <v>1463.7</v>
      </c>
      <c r="K302" s="190">
        <f t="shared" si="165"/>
        <v>1877.04</v>
      </c>
    </row>
    <row r="303" spans="2:11" ht="15">
      <c r="B303" s="314" t="s">
        <v>12928</v>
      </c>
      <c r="C303" s="96"/>
      <c r="D303" s="96"/>
      <c r="E303" s="96" t="str">
        <f>QUANT!E891</f>
        <v>VEDAÇÃO EM ALVENARIA DE BLOCO DE CONCRETO</v>
      </c>
      <c r="F303" s="178"/>
      <c r="G303" s="146"/>
      <c r="H303" s="145"/>
      <c r="I303" s="219"/>
      <c r="J303" s="65"/>
      <c r="K303" s="191"/>
    </row>
    <row r="304" spans="2:11" ht="60">
      <c r="B304" s="14" t="s">
        <v>12929</v>
      </c>
      <c r="C304" s="435">
        <f>QUANT!C893</f>
        <v>87457</v>
      </c>
      <c r="D304" s="435" t="str">
        <f>QUANT!D893</f>
        <v>SINAPI</v>
      </c>
      <c r="E304" s="436" t="str">
        <f>IFERROR(VLOOKUP($C304,'SINAPI JULHO 2018'!$1:$1048576,2,0),IFERROR(VLOOKUP($C304,'5-COMP. PROPRIA'!$B$13:$I$518,4,0),""))</f>
        <v>ALVENARIA DE VEDAÇÃO DE BLOCOS VAZADOS DE CONCRETO DE 19X19X39CM (ESPESSURA 19CM) DE PAREDES COM ÁREA LÍQUIDA MAIOR OU IGUAL A 6M² SEM VÃOS E ARGAMASSA DE ASSENTAMENTO COM PREPARO EM BETONEIRA. AF_06/2014</v>
      </c>
      <c r="F304" s="437" t="str">
        <f>IFERROR(VLOOKUP($C304,'SINAPI JULHO 2018'!$A:$D,3,0),IFERROR(VLOOKUP($C304,'5-COMP. PROPRIA'!$B$13:$I$518,5,0),""))</f>
        <v>M2</v>
      </c>
      <c r="G304" s="438">
        <f>QUANT!K893</f>
        <v>266</v>
      </c>
      <c r="H304" s="439">
        <f>IFERROR(VLOOKUP($C304,'SINAPI JULHO 2018'!$A:$D,4,0),IFERROR(VLOOKUP($C304,'5-COMP. PROPRIA'!$B$13:$I$518,8,0),""))</f>
        <v>69.02</v>
      </c>
      <c r="I304" s="440">
        <f>H304*'4-BDI'!$E$29</f>
        <v>88.511247999999995</v>
      </c>
      <c r="J304" s="63">
        <f t="shared" ref="J304:J307" si="166">TRUNC(G304*H304,2)</f>
        <v>18359.32</v>
      </c>
      <c r="K304" s="190">
        <f t="shared" ref="K304:K307" si="167">TRUNC(G304*I304,2)</f>
        <v>23543.99</v>
      </c>
    </row>
    <row r="305" spans="2:11" ht="60">
      <c r="B305" s="14" t="s">
        <v>12930</v>
      </c>
      <c r="C305" s="435">
        <f>QUANT!C897</f>
        <v>87457</v>
      </c>
      <c r="D305" s="435" t="str">
        <f>QUANT!D897</f>
        <v>SINAPI</v>
      </c>
      <c r="E305" s="436" t="str">
        <f>IFERROR(VLOOKUP($C305,'SINAPI JULHO 2018'!$1:$1048576,2,0),IFERROR(VLOOKUP($C305,'5-COMP. PROPRIA'!$B$13:$I$518,4,0),""))</f>
        <v>ALVENARIA DE VEDAÇÃO DE BLOCOS VAZADOS DE CONCRETO DE 19X19X39CM (ESPESSURA 19CM) DE PAREDES COM ÁREA LÍQUIDA MAIOR OU IGUAL A 6M² SEM VÃOS E ARGAMASSA DE ASSENTAMENTO COM PREPARO EM BETONEIRA. AF_06/2014</v>
      </c>
      <c r="F305" s="437" t="str">
        <f>IFERROR(VLOOKUP($C305,'SINAPI JULHO 2018'!$A:$D,3,0),IFERROR(VLOOKUP($C305,'5-COMP. PROPRIA'!$B$13:$I$518,5,0),""))</f>
        <v>M2</v>
      </c>
      <c r="G305" s="438">
        <f>QUANT!K897</f>
        <v>40.320000000000007</v>
      </c>
      <c r="H305" s="439">
        <f>IFERROR(VLOOKUP($C305,'SINAPI JULHO 2018'!$A:$D,4,0),IFERROR(VLOOKUP($C305,'5-COMP. PROPRIA'!$B$13:$I$518,8,0),""))</f>
        <v>69.02</v>
      </c>
      <c r="I305" s="440">
        <f>H305*'4-BDI'!$E$29</f>
        <v>88.511247999999995</v>
      </c>
      <c r="J305" s="63">
        <f t="shared" si="166"/>
        <v>2782.88</v>
      </c>
      <c r="K305" s="190">
        <f t="shared" si="167"/>
        <v>3568.77</v>
      </c>
    </row>
    <row r="306" spans="2:11" ht="15">
      <c r="B306" s="14" t="s">
        <v>12931</v>
      </c>
      <c r="C306" s="435" t="str">
        <f>QUANT!C901</f>
        <v>CP-LIX-01</v>
      </c>
      <c r="D306" s="435" t="str">
        <f>QUANT!D901</f>
        <v>PRÓRPIA</v>
      </c>
      <c r="E306" s="436" t="str">
        <f>IFERROR(VLOOKUP($C306,'SINAPI JULHO 2018'!$1:$1048576,2,0),IFERROR(VLOOKUP($C306,'5-COMP. PROPRIA'!$B$13:$I$518,4,0),""))</f>
        <v>LIXAMENTO MANUAL DE CONCRETO APARENTE</v>
      </c>
      <c r="F306" s="437" t="str">
        <f>IFERROR(VLOOKUP($C306,'SINAPI JULHO 2018'!$A:$D,3,0),IFERROR(VLOOKUP($C306,'5-COMP. PROPRIA'!$B$13:$I$518,5,0),""))</f>
        <v>M2</v>
      </c>
      <c r="G306" s="438">
        <f>QUANT!K901</f>
        <v>588</v>
      </c>
      <c r="H306" s="439">
        <f>IFERROR(VLOOKUP($C306,'SINAPI JULHO 2018'!$A:$D,4,0),IFERROR(VLOOKUP($C306,'5-COMP. PROPRIA'!$B$13:$I$518,8,0),""))</f>
        <v>3.7700000000000005</v>
      </c>
      <c r="I306" s="440">
        <f>H306*'4-BDI'!$E$29</f>
        <v>4.8346480000000005</v>
      </c>
      <c r="J306" s="63">
        <f t="shared" si="166"/>
        <v>2216.7600000000002</v>
      </c>
      <c r="K306" s="190">
        <f t="shared" si="167"/>
        <v>2842.77</v>
      </c>
    </row>
    <row r="307" spans="2:11" ht="30">
      <c r="B307" s="14" t="s">
        <v>12932</v>
      </c>
      <c r="C307" s="435">
        <f>QUANT!C903</f>
        <v>88485</v>
      </c>
      <c r="D307" s="435" t="str">
        <f>QUANT!D903</f>
        <v>SINAPI</v>
      </c>
      <c r="E307" s="436" t="str">
        <f>IFERROR(VLOOKUP($C307,'SINAPI JULHO 2018'!$1:$1048576,2,0),IFERROR(VLOOKUP($C307,'5-COMP. PROPRIA'!$B$13:$I$518,4,0),""))</f>
        <v>APLICAÇÃO DE FUNDO SELADOR ACRÍLICO EM PAREDES, UMA DEMÃO. AF_06/2014</v>
      </c>
      <c r="F307" s="437" t="str">
        <f>IFERROR(VLOOKUP($C307,'SINAPI JULHO 2018'!$A:$D,3,0),IFERROR(VLOOKUP($C307,'5-COMP. PROPRIA'!$B$13:$I$518,5,0),""))</f>
        <v>M2</v>
      </c>
      <c r="G307" s="438">
        <f>QUANT!K903</f>
        <v>588</v>
      </c>
      <c r="H307" s="439">
        <f>IFERROR(VLOOKUP($C307,'SINAPI JULHO 2018'!$A:$D,4,0),IFERROR(VLOOKUP($C307,'5-COMP. PROPRIA'!$B$13:$I$518,8,0),""))</f>
        <v>1.6</v>
      </c>
      <c r="I307" s="440">
        <f>H307*'4-BDI'!$E$29</f>
        <v>2.0518399999999999</v>
      </c>
      <c r="J307" s="63">
        <f t="shared" si="166"/>
        <v>940.8</v>
      </c>
      <c r="K307" s="190">
        <f t="shared" si="167"/>
        <v>1206.48</v>
      </c>
    </row>
    <row r="308" spans="2:11" ht="30">
      <c r="B308" s="14" t="s">
        <v>12933</v>
      </c>
      <c r="C308" s="435">
        <f>QUANT!C905</f>
        <v>88489</v>
      </c>
      <c r="D308" s="435" t="str">
        <f>QUANT!D905</f>
        <v>SINAPI</v>
      </c>
      <c r="E308" s="436" t="str">
        <f>IFERROR(VLOOKUP($C308,'SINAPI JULHO 2018'!$1:$1048576,2,0),IFERROR(VLOOKUP($C308,'5-COMP. PROPRIA'!$B$13:$I$518,4,0),""))</f>
        <v>APLICAÇÃO MANUAL DE PINTURA COM TINTA LÁTEX ACRÍLICA EM PAREDES, DUAS DEMÃOS. AF_06/2014</v>
      </c>
      <c r="F308" s="437" t="str">
        <f>IFERROR(VLOOKUP($C308,'SINAPI JULHO 2018'!$A:$D,3,0),IFERROR(VLOOKUP($C308,'5-COMP. PROPRIA'!$B$13:$I$518,5,0),""))</f>
        <v>M2</v>
      </c>
      <c r="G308" s="438">
        <f>QUANT!K905</f>
        <v>448</v>
      </c>
      <c r="H308" s="439">
        <f>IFERROR(VLOOKUP($C308,'SINAPI JULHO 2018'!$A:$D,4,0),IFERROR(VLOOKUP($C308,'5-COMP. PROPRIA'!$B$13:$I$518,8,0),""))</f>
        <v>9.69</v>
      </c>
      <c r="I308" s="440">
        <f>H308*'4-BDI'!$E$29</f>
        <v>12.426456</v>
      </c>
      <c r="J308" s="63">
        <f t="shared" ref="J308:J309" si="168">TRUNC(G308*H308,2)</f>
        <v>4341.12</v>
      </c>
      <c r="K308" s="190">
        <f t="shared" ref="K308:K309" si="169">TRUNC(G308*I308,2)</f>
        <v>5567.05</v>
      </c>
    </row>
    <row r="309" spans="2:11" ht="15">
      <c r="B309" s="14" t="s">
        <v>12934</v>
      </c>
      <c r="C309" s="435" t="str">
        <f>QUANT!C907</f>
        <v>CP-PIN-02</v>
      </c>
      <c r="D309" s="435" t="str">
        <f>QUANT!D907</f>
        <v>PRÓRPIA</v>
      </c>
      <c r="E309" s="436" t="str">
        <f>IFERROR(VLOOKUP($C309,'SINAPI JULHO 2018'!$1:$1048576,2,0),IFERROR(VLOOKUP($C309,'5-COMP. PROPRIA'!$B$13:$I$518,4,0),""))</f>
        <v xml:space="preserve">PINTURA COM TINTA ESMALTE SINTÉTICO </v>
      </c>
      <c r="F309" s="437" t="str">
        <f>IFERROR(VLOOKUP($C309,'SINAPI JULHO 2018'!$A:$D,3,0),IFERROR(VLOOKUP($C309,'5-COMP. PROPRIA'!$B$13:$I$518,5,0),""))</f>
        <v>M2</v>
      </c>
      <c r="G309" s="438">
        <f>QUANT!K907</f>
        <v>168</v>
      </c>
      <c r="H309" s="439">
        <f>IFERROR(VLOOKUP($C309,'SINAPI JULHO 2018'!$A:$D,4,0),IFERROR(VLOOKUP($C309,'5-COMP. PROPRIA'!$B$13:$I$518,8,0),""))</f>
        <v>10.93</v>
      </c>
      <c r="I309" s="440">
        <f>H309*'4-BDI'!$E$29</f>
        <v>14.016632</v>
      </c>
      <c r="J309" s="63">
        <f t="shared" si="168"/>
        <v>1836.24</v>
      </c>
      <c r="K309" s="190">
        <f t="shared" si="169"/>
        <v>2354.79</v>
      </c>
    </row>
    <row r="310" spans="2:11" ht="30">
      <c r="B310" s="14" t="s">
        <v>12935</v>
      </c>
      <c r="C310" s="435" t="str">
        <f>QUANT!C909</f>
        <v>CP-JUN-01</v>
      </c>
      <c r="D310" s="435" t="str">
        <f>QUANT!D909</f>
        <v>PRÓRPIA</v>
      </c>
      <c r="E310" s="436" t="str">
        <f>IFERROR(VLOOKUP($C310,'SINAPI JULHO 2018'!$1:$1048576,2,0),IFERROR(VLOOKUP($C310,'5-COMP. PROPRIA'!$B$13:$I$518,4,0),""))</f>
        <v xml:space="preserve">JUNTA DE DILATAÇÃO COM SELANTE ELASTICO MONOCOMPONENTE A BASE DE POLIURETANO </v>
      </c>
      <c r="F310" s="437" t="str">
        <f>IFERROR(VLOOKUP($C310,'SINAPI JULHO 2018'!$A:$D,3,0),IFERROR(VLOOKUP($C310,'5-COMP. PROPRIA'!$B$13:$I$518,5,0),""))</f>
        <v>UNI</v>
      </c>
      <c r="G310" s="438">
        <f>QUANT!K909</f>
        <v>7</v>
      </c>
      <c r="H310" s="439">
        <f>IFERROR(VLOOKUP($C310,'SINAPI JULHO 2018'!$A:$D,4,0),IFERROR(VLOOKUP($C310,'5-COMP. PROPRIA'!$B$13:$I$518,8,0),""))</f>
        <v>207.84</v>
      </c>
      <c r="I310" s="440">
        <f>H310*'4-BDI'!$E$29</f>
        <v>266.53401600000001</v>
      </c>
      <c r="J310" s="63">
        <f t="shared" ref="J310" si="170">TRUNC(G310*H310,2)</f>
        <v>1454.88</v>
      </c>
      <c r="K310" s="190">
        <f t="shared" ref="K310" si="171">TRUNC(G310*I310,2)</f>
        <v>1865.73</v>
      </c>
    </row>
    <row r="311" spans="2:11" ht="15">
      <c r="B311" s="314" t="s">
        <v>12936</v>
      </c>
      <c r="C311" s="96"/>
      <c r="D311" s="96"/>
      <c r="E311" s="96" t="str">
        <f>QUANT!E911</f>
        <v>ALAMBRADO</v>
      </c>
      <c r="F311" s="178"/>
      <c r="G311" s="146"/>
      <c r="H311" s="145"/>
      <c r="I311" s="219"/>
      <c r="J311" s="65"/>
      <c r="K311" s="191"/>
    </row>
    <row r="312" spans="2:11" ht="45">
      <c r="B312" s="14" t="s">
        <v>12937</v>
      </c>
      <c r="C312" s="435" t="str">
        <f>QUANT!C913</f>
        <v>CP-ALA-02</v>
      </c>
      <c r="D312" s="435" t="str">
        <f>QUANT!D913</f>
        <v>PRÓRPIA</v>
      </c>
      <c r="E312" s="436" t="str">
        <f>IFERROR(VLOOKUP($C312,'SINAPI JULHO 2018'!$1:$1048576,2,0),IFERROR(VLOOKUP($C312,'5-COMP. PROPRIA'!$B$13:$I$518,4,0),""))</f>
        <v>ALAMBRADO EM TUBOS DE ACO GALVANIZADO, COM COSTURA, DIN 2440, DIAMETRO 2", ALTURA 2,5 M, FIXADOS A CADA 3 M, COM TELA DE ARAME GALVANIZADO REVESTIDO COM PVC, FIO 12 BWG E MALHA 7,5X7,5CM</v>
      </c>
      <c r="F312" s="437" t="str">
        <f>IFERROR(VLOOKUP($C312,'SINAPI JULHO 2018'!$A:$D,3,0),IFERROR(VLOOKUP($C312,'5-COMP. PROPRIA'!$B$13:$I$518,5,0),""))</f>
        <v>M2</v>
      </c>
      <c r="G312" s="438">
        <f>QUANT!K913</f>
        <v>77.5</v>
      </c>
      <c r="H312" s="439">
        <f>IFERROR(VLOOKUP($C312,'SINAPI JULHO 2018'!$A:$D,4,0),IFERROR(VLOOKUP($C312,'5-COMP. PROPRIA'!$B$13:$I$518,8,0),""))</f>
        <v>274.85999999999996</v>
      </c>
      <c r="I312" s="440">
        <f>H312*'4-BDI'!$E$29</f>
        <v>352.48046399999993</v>
      </c>
      <c r="J312" s="63">
        <f t="shared" ref="J312:J314" si="172">TRUNC(G312*H312,2)</f>
        <v>21301.65</v>
      </c>
      <c r="K312" s="190">
        <f t="shared" ref="K312:K314" si="173">TRUNC(G312*I312,2)</f>
        <v>27317.23</v>
      </c>
    </row>
    <row r="313" spans="2:11" ht="15">
      <c r="B313" s="14" t="s">
        <v>12938</v>
      </c>
      <c r="C313" s="435" t="str">
        <f>QUANT!C915</f>
        <v>CP-LIX-02</v>
      </c>
      <c r="D313" s="435" t="str">
        <f>QUANT!D915</f>
        <v>PRÓRPIA</v>
      </c>
      <c r="E313" s="436" t="str">
        <f>IFERROR(VLOOKUP($C313,'SINAPI JULHO 2018'!$1:$1048576,2,0),IFERROR(VLOOKUP($C313,'5-COMP. PROPRIA'!$B$13:$I$518,4,0),""))</f>
        <v xml:space="preserve">LIXAMENTO DE SUPERFICIE METÁLICA </v>
      </c>
      <c r="F313" s="437" t="str">
        <f>IFERROR(VLOOKUP($C313,'SINAPI JULHO 2018'!$A:$D,3,0),IFERROR(VLOOKUP($C313,'5-COMP. PROPRIA'!$B$13:$I$518,5,0),""))</f>
        <v>M2</v>
      </c>
      <c r="G313" s="438">
        <f>QUANT!K915</f>
        <v>193.75</v>
      </c>
      <c r="H313" s="439">
        <f>IFERROR(VLOOKUP($C313,'SINAPI JULHO 2018'!$A:$D,4,0),IFERROR(VLOOKUP($C313,'5-COMP. PROPRIA'!$B$13:$I$518,8,0),""))</f>
        <v>4.66</v>
      </c>
      <c r="I313" s="440">
        <f>H313*'4-BDI'!$E$29</f>
        <v>5.9759840000000004</v>
      </c>
      <c r="J313" s="63">
        <f t="shared" ref="J313" si="174">TRUNC(G313*H313,2)</f>
        <v>902.87</v>
      </c>
      <c r="K313" s="190">
        <f t="shared" ref="K313" si="175">TRUNC(G313*I313,2)</f>
        <v>1157.8399999999999</v>
      </c>
    </row>
    <row r="314" spans="2:11" ht="15">
      <c r="B314" s="14" t="s">
        <v>12939</v>
      </c>
      <c r="C314" s="435" t="str">
        <f>QUANT!C917</f>
        <v>73924/1</v>
      </c>
      <c r="D314" s="435" t="str">
        <f>QUANT!D917</f>
        <v>SINAPI</v>
      </c>
      <c r="E314" s="436" t="str">
        <f>IFERROR(VLOOKUP($C314,'SINAPI JULHO 2018'!$1:$1048576,2,0),IFERROR(VLOOKUP($C314,'5-COMP. PROPRIA'!$B$13:$I$518,4,0),""))</f>
        <v>PINTURA ESMALTE ALTO BRILHO, DUAS DEMAOS, SOBRE SUPERFICIE METALICA</v>
      </c>
      <c r="F314" s="437" t="str">
        <f>IFERROR(VLOOKUP($C314,'SINAPI JULHO 2018'!$A:$D,3,0),IFERROR(VLOOKUP($C314,'5-COMP. PROPRIA'!$B$13:$I$518,5,0),""))</f>
        <v>M2</v>
      </c>
      <c r="G314" s="438">
        <f>QUANT!K917</f>
        <v>193.75</v>
      </c>
      <c r="H314" s="439">
        <f>IFERROR(VLOOKUP($C314,'SINAPI JULHO 2018'!$A:$D,4,0),IFERROR(VLOOKUP($C314,'5-COMP. PROPRIA'!$B$13:$I$518,8,0),""))</f>
        <v>21.24</v>
      </c>
      <c r="I314" s="440">
        <f>H314*'4-BDI'!$E$29</f>
        <v>27.238175999999999</v>
      </c>
      <c r="J314" s="63">
        <f t="shared" si="172"/>
        <v>4115.25</v>
      </c>
      <c r="K314" s="190">
        <f t="shared" si="173"/>
        <v>5277.39</v>
      </c>
    </row>
    <row r="315" spans="2:11" ht="15">
      <c r="B315" s="526" t="s">
        <v>12756</v>
      </c>
      <c r="C315" s="527"/>
      <c r="D315" s="527"/>
      <c r="E315" s="527"/>
      <c r="F315" s="527"/>
      <c r="G315" s="527"/>
      <c r="H315" s="527"/>
      <c r="I315" s="294"/>
      <c r="J315" s="192">
        <f>TRUNC(SUM(J312:J314),2)</f>
        <v>26319.77</v>
      </c>
      <c r="K315" s="192">
        <f>TRUNC(SUM(K274:K314),2)</f>
        <v>116591.23</v>
      </c>
    </row>
    <row r="316" spans="2:11" ht="15">
      <c r="B316" s="362" t="s">
        <v>12940</v>
      </c>
      <c r="C316" s="363"/>
      <c r="D316" s="363"/>
      <c r="E316" s="363" t="str">
        <f>QUANT!E919</f>
        <v>MURO LATERAL</v>
      </c>
      <c r="F316" s="364"/>
      <c r="G316" s="365"/>
      <c r="H316" s="366"/>
      <c r="I316" s="367"/>
      <c r="J316" s="368"/>
      <c r="K316" s="369"/>
    </row>
    <row r="317" spans="2:11" ht="15">
      <c r="B317" s="305"/>
      <c r="C317" s="328"/>
      <c r="D317" s="328"/>
      <c r="E317" s="328" t="str">
        <f>QUANT!E921</f>
        <v>PARTE DE BLOCO DE CONCRETO</v>
      </c>
      <c r="F317" s="329"/>
      <c r="G317" s="330"/>
      <c r="H317" s="331"/>
      <c r="I317" s="332"/>
      <c r="J317" s="333"/>
      <c r="K317" s="334"/>
    </row>
    <row r="318" spans="2:11" ht="15">
      <c r="B318" s="314" t="s">
        <v>12941</v>
      </c>
      <c r="C318" s="96"/>
      <c r="D318" s="96"/>
      <c r="E318" s="96" t="str">
        <f>QUANT!E924</f>
        <v>ESTACAS</v>
      </c>
      <c r="F318" s="178"/>
      <c r="G318" s="146"/>
      <c r="H318" s="145"/>
      <c r="I318" s="219"/>
      <c r="J318" s="65"/>
      <c r="K318" s="191"/>
    </row>
    <row r="319" spans="2:11" ht="30">
      <c r="B319" s="14" t="s">
        <v>12942</v>
      </c>
      <c r="C319" s="435" t="str">
        <f>QUANT!C926</f>
        <v>CP-FUN-01</v>
      </c>
      <c r="D319" s="435" t="str">
        <f>QUANT!D926</f>
        <v>PRÓRPIA</v>
      </c>
      <c r="E319" s="436" t="str">
        <f>IFERROR(VLOOKUP($C319,'SINAPI JULHO 2018'!$1:$1048576,2,0),IFERROR(VLOOKUP($C319,'5-COMP. PROPRIA'!$B$13:$I$518,4,0),""))</f>
        <v>ESCAVAÇÃO MECANICA DE ESTACA 40 X 40 CM , PROFUNDIDADE DE 1,5 M DE COMPRIMENTO</v>
      </c>
      <c r="F319" s="437" t="str">
        <f>IFERROR(VLOOKUP($C319,'SINAPI JULHO 2018'!$A:$D,3,0),IFERROR(VLOOKUP($C319,'5-COMP. PROPRIA'!$B$13:$I$518,5,0),""))</f>
        <v>M</v>
      </c>
      <c r="G319" s="438">
        <f>QUANT!K926</f>
        <v>42</v>
      </c>
      <c r="H319" s="439">
        <f>IFERROR(VLOOKUP($C319,'SINAPI JULHO 2018'!$A:$D,4,0),IFERROR(VLOOKUP($C319,'5-COMP. PROPRIA'!$B$13:$I$518,8,0),""))</f>
        <v>39.909999999999997</v>
      </c>
      <c r="I319" s="440">
        <f>H319*'4-BDI'!$E$29</f>
        <v>51.180583999999996</v>
      </c>
      <c r="J319" s="63">
        <f t="shared" ref="J319:J323" si="176">TRUNC(G319*H319,2)</f>
        <v>1676.22</v>
      </c>
      <c r="K319" s="190">
        <f t="shared" ref="K319:K323" si="177">TRUNC(G319*I319,2)</f>
        <v>2149.58</v>
      </c>
    </row>
    <row r="320" spans="2:11" ht="45">
      <c r="B320" s="14" t="s">
        <v>12943</v>
      </c>
      <c r="C320" s="435">
        <f>QUANT!C930</f>
        <v>92759</v>
      </c>
      <c r="D320" s="435" t="str">
        <f>QUANT!D930</f>
        <v>SINAPI</v>
      </c>
      <c r="E320" s="436" t="str">
        <f>IFERROR(VLOOKUP($C320,'SINAPI JULHO 2018'!$1:$1048576,2,0),IFERROR(VLOOKUP($C320,'5-COMP. PROPRIA'!$B$13:$I$518,4,0),""))</f>
        <v>ARMAÇÃO DE PILAR OU VIGA DE UMA ESTRUTURA CONVENCIONAL DE CONCRETO ARMADO EM UM EDIFÍCIO DE MÚLTIPLOS PAVIMENTOS UTILIZANDO AÇO CA-60 DE 5,0 MM - MONTAGEM. AF_12/2015</v>
      </c>
      <c r="F320" s="437" t="str">
        <f>IFERROR(VLOOKUP($C320,'SINAPI JULHO 2018'!$A:$D,3,0),IFERROR(VLOOKUP($C320,'5-COMP. PROPRIA'!$B$13:$I$518,5,0),""))</f>
        <v>KG</v>
      </c>
      <c r="G320" s="438">
        <f>QUANT!K930</f>
        <v>43.998465000000017</v>
      </c>
      <c r="H320" s="439">
        <f>IFERROR(VLOOKUP($C320,'SINAPI JULHO 2018'!$A:$D,4,0),IFERROR(VLOOKUP($C320,'5-COMP. PROPRIA'!$B$13:$I$518,8,0),""))</f>
        <v>9.1</v>
      </c>
      <c r="I320" s="440">
        <f>H320*'4-BDI'!$E$29</f>
        <v>11.669839999999999</v>
      </c>
      <c r="J320" s="63">
        <f t="shared" si="176"/>
        <v>400.38</v>
      </c>
      <c r="K320" s="190">
        <f t="shared" si="177"/>
        <v>513.45000000000005</v>
      </c>
    </row>
    <row r="321" spans="2:11" ht="45">
      <c r="B321" s="14" t="s">
        <v>12944</v>
      </c>
      <c r="C321" s="435">
        <f>QUANT!C934</f>
        <v>92762</v>
      </c>
      <c r="D321" s="435" t="str">
        <f>QUANT!D934</f>
        <v>SINAPI</v>
      </c>
      <c r="E321" s="436" t="str">
        <f>IFERROR(VLOOKUP($C321,'SINAPI JULHO 2018'!$1:$1048576,2,0),IFERROR(VLOOKUP($C321,'5-COMP. PROPRIA'!$B$13:$I$518,4,0),""))</f>
        <v>ARMAÇÃO DE PILAR OU VIGA DE UMA ESTRUTURA CONVENCIONAL DE CONCRETO ARMADO EM UM EDIFÍCIO DE MÚLTIPLOS PAVIMENTOS UTILIZANDO AÇO CA-50 DE 10,0 MM - MONTAGEM. AF_12/2015</v>
      </c>
      <c r="F321" s="437" t="str">
        <f>IFERROR(VLOOKUP($C321,'SINAPI JULHO 2018'!$A:$D,3,0),IFERROR(VLOOKUP($C321,'5-COMP. PROPRIA'!$B$13:$I$518,5,0),""))</f>
        <v>KG</v>
      </c>
      <c r="G321" s="438">
        <f>QUANT!K934</f>
        <v>124.23096000000004</v>
      </c>
      <c r="H321" s="439">
        <f>IFERROR(VLOOKUP($C321,'SINAPI JULHO 2018'!$A:$D,4,0),IFERROR(VLOOKUP($C321,'5-COMP. PROPRIA'!$B$13:$I$518,8,0),""))</f>
        <v>6.58</v>
      </c>
      <c r="I321" s="440">
        <f>H321*'4-BDI'!$E$29</f>
        <v>8.4381920000000008</v>
      </c>
      <c r="J321" s="63">
        <f t="shared" si="176"/>
        <v>817.43</v>
      </c>
      <c r="K321" s="190">
        <f t="shared" si="177"/>
        <v>1048.28</v>
      </c>
    </row>
    <row r="322" spans="2:11" ht="30">
      <c r="B322" s="14" t="s">
        <v>12945</v>
      </c>
      <c r="C322" s="435">
        <f>QUANT!C939</f>
        <v>94965</v>
      </c>
      <c r="D322" s="435" t="str">
        <f>QUANT!D939</f>
        <v>SINAPI</v>
      </c>
      <c r="E322" s="436" t="str">
        <f>IFERROR(VLOOKUP($C322,'SINAPI JULHO 2018'!$1:$1048576,2,0),IFERROR(VLOOKUP($C322,'5-COMP. PROPRIA'!$B$13:$I$518,4,0),""))</f>
        <v>CONCRETO FCK = 25MPA, TRAÇO 1:2,3:2,7 (CIMENTO/ AREIA MÉDIA/ BRITA 1)  - PREPARO MECÂNICO COM BETONEIRA 400 L. AF_07/2016</v>
      </c>
      <c r="F322" s="437" t="str">
        <f>IFERROR(VLOOKUP($C322,'SINAPI JULHO 2018'!$A:$D,3,0),IFERROR(VLOOKUP($C322,'5-COMP. PROPRIA'!$B$13:$I$518,5,0),""))</f>
        <v>M3</v>
      </c>
      <c r="G322" s="438">
        <f>QUANT!K939</f>
        <v>6.7200000000000015</v>
      </c>
      <c r="H322" s="439">
        <f>IFERROR(VLOOKUP($C322,'SINAPI JULHO 2018'!$A:$D,4,0),IFERROR(VLOOKUP($C322,'5-COMP. PROPRIA'!$B$13:$I$518,8,0),""))</f>
        <v>323.45</v>
      </c>
      <c r="I322" s="440">
        <f>H322*'4-BDI'!$E$29</f>
        <v>414.79228000000001</v>
      </c>
      <c r="J322" s="63">
        <f t="shared" si="176"/>
        <v>2173.58</v>
      </c>
      <c r="K322" s="190">
        <f t="shared" si="177"/>
        <v>2787.4</v>
      </c>
    </row>
    <row r="323" spans="2:11" ht="15">
      <c r="B323" s="14" t="s">
        <v>12946</v>
      </c>
      <c r="C323" s="435" t="str">
        <f>QUANT!C943</f>
        <v>74157/4</v>
      </c>
      <c r="D323" s="435" t="str">
        <f>QUANT!D943</f>
        <v>SINAPI</v>
      </c>
      <c r="E323" s="436" t="str">
        <f>IFERROR(VLOOKUP($C323,'SINAPI JULHO 2018'!$1:$1048576,2,0),IFERROR(VLOOKUP($C323,'5-COMP. PROPRIA'!$B$13:$I$518,4,0),""))</f>
        <v>LANCAMENTO/APLICACAO MANUAL DE CONCRETO EM FUNDACOES</v>
      </c>
      <c r="F323" s="437" t="str">
        <f>IFERROR(VLOOKUP($C323,'SINAPI JULHO 2018'!$A:$D,3,0),IFERROR(VLOOKUP($C323,'5-COMP. PROPRIA'!$B$13:$I$518,5,0),""))</f>
        <v>M3</v>
      </c>
      <c r="G323" s="438">
        <f>QUANT!K943</f>
        <v>6.7200000000000015</v>
      </c>
      <c r="H323" s="439">
        <f>IFERROR(VLOOKUP($C323,'SINAPI JULHO 2018'!$A:$D,4,0),IFERROR(VLOOKUP($C323,'5-COMP. PROPRIA'!$B$13:$I$518,8,0),""))</f>
        <v>93.76</v>
      </c>
      <c r="I323" s="440">
        <f>H323*'4-BDI'!$E$29</f>
        <v>120.237824</v>
      </c>
      <c r="J323" s="63">
        <f t="shared" si="176"/>
        <v>630.05999999999995</v>
      </c>
      <c r="K323" s="190">
        <f t="shared" si="177"/>
        <v>807.99</v>
      </c>
    </row>
    <row r="324" spans="2:11" ht="15">
      <c r="B324" s="314" t="s">
        <v>12947</v>
      </c>
      <c r="C324" s="96"/>
      <c r="D324" s="96"/>
      <c r="E324" s="96" t="str">
        <f>QUANT!E945</f>
        <v>BALDRAMES</v>
      </c>
      <c r="F324" s="178"/>
      <c r="G324" s="146"/>
      <c r="H324" s="145"/>
      <c r="I324" s="219"/>
      <c r="J324" s="65"/>
      <c r="K324" s="191"/>
    </row>
    <row r="325" spans="2:11" ht="30">
      <c r="B325" s="14" t="s">
        <v>12948</v>
      </c>
      <c r="C325" s="435">
        <f>QUANT!C947</f>
        <v>96527</v>
      </c>
      <c r="D325" s="435" t="str">
        <f>QUANT!D947</f>
        <v>SINAPI</v>
      </c>
      <c r="E325" s="436" t="str">
        <f>IFERROR(VLOOKUP($C325,'SINAPI JULHO 2018'!$1:$1048576,2,0),IFERROR(VLOOKUP($C325,'5-COMP. PROPRIA'!$B$13:$I$518,4,0),""))</f>
        <v>ESCAVAÇÃO MANUAL DE VALA PARA VIGA BALDRAME, COM PREVISÃO DE FÔRMA. AF_06/2017</v>
      </c>
      <c r="F325" s="437" t="str">
        <f>IFERROR(VLOOKUP($C325,'SINAPI JULHO 2018'!$A:$D,3,0),IFERROR(VLOOKUP($C325,'5-COMP. PROPRIA'!$B$13:$I$518,5,0),""))</f>
        <v>M3</v>
      </c>
      <c r="G325" s="438">
        <f>QUANT!K947</f>
        <v>23.519925000000004</v>
      </c>
      <c r="H325" s="439">
        <f>IFERROR(VLOOKUP($C325,'SINAPI JULHO 2018'!$A:$D,4,0),IFERROR(VLOOKUP($C325,'5-COMP. PROPRIA'!$B$13:$I$518,8,0),""))</f>
        <v>84.88</v>
      </c>
      <c r="I325" s="440">
        <f>H325*'4-BDI'!$E$29</f>
        <v>108.850112</v>
      </c>
      <c r="J325" s="63">
        <f t="shared" ref="J325:J335" si="178">TRUNC(G325*H325,2)</f>
        <v>1996.37</v>
      </c>
      <c r="K325" s="190">
        <f t="shared" ref="K325:K335" si="179">TRUNC(G325*I325,2)</f>
        <v>2560.14</v>
      </c>
    </row>
    <row r="326" spans="2:11" ht="30">
      <c r="B326" s="14" t="s">
        <v>12949</v>
      </c>
      <c r="C326" s="435">
        <f>QUANT!C951</f>
        <v>96617</v>
      </c>
      <c r="D326" s="435" t="str">
        <f>QUANT!D951</f>
        <v>SINAPI</v>
      </c>
      <c r="E326" s="436" t="str">
        <f>IFERROR(VLOOKUP($C326,'SINAPI JULHO 2018'!$1:$1048576,2,0),IFERROR(VLOOKUP($C326,'5-COMP. PROPRIA'!$B$13:$I$518,4,0),""))</f>
        <v>LASTRO DE CONCRETO MAGRO, APLICADO EM BLOCOS DE COROAMENTO OU SAPATAS, ESPESSURA DE 3 CM. AF_08/2017</v>
      </c>
      <c r="F326" s="437" t="str">
        <f>IFERROR(VLOOKUP($C326,'SINAPI JULHO 2018'!$A:$D,3,0),IFERROR(VLOOKUP($C326,'5-COMP. PROPRIA'!$B$13:$I$518,5,0),""))</f>
        <v>M2</v>
      </c>
      <c r="G326" s="438">
        <f>QUANT!K951</f>
        <v>16.830000000000002</v>
      </c>
      <c r="H326" s="439">
        <f>IFERROR(VLOOKUP($C326,'SINAPI JULHO 2018'!$A:$D,4,0),IFERROR(VLOOKUP($C326,'5-COMP. PROPRIA'!$B$13:$I$518,8,0),""))</f>
        <v>12.49</v>
      </c>
      <c r="I326" s="440">
        <f>H326*'4-BDI'!$E$29</f>
        <v>16.017175999999999</v>
      </c>
      <c r="J326" s="63">
        <f t="shared" si="178"/>
        <v>210.2</v>
      </c>
      <c r="K326" s="190">
        <f t="shared" si="179"/>
        <v>269.56</v>
      </c>
    </row>
    <row r="327" spans="2:11" ht="30">
      <c r="B327" s="14" t="s">
        <v>12950</v>
      </c>
      <c r="C327" s="435">
        <f>QUANT!C955</f>
        <v>94965</v>
      </c>
      <c r="D327" s="435" t="str">
        <f>QUANT!D955</f>
        <v>SINAPI</v>
      </c>
      <c r="E327" s="436" t="str">
        <f>IFERROR(VLOOKUP($C327,'SINAPI JULHO 2018'!$1:$1048576,2,0),IFERROR(VLOOKUP($C327,'5-COMP. PROPRIA'!$B$13:$I$518,4,0),""))</f>
        <v>CONCRETO FCK = 25MPA, TRAÇO 1:2,3:2,7 (CIMENTO/ AREIA MÉDIA/ BRITA 1)  - PREPARO MECÂNICO COM BETONEIRA 400 L. AF_07/2016</v>
      </c>
      <c r="F327" s="437" t="str">
        <f>IFERROR(VLOOKUP($C327,'SINAPI JULHO 2018'!$A:$D,3,0),IFERROR(VLOOKUP($C327,'5-COMP. PROPRIA'!$B$13:$I$518,5,0),""))</f>
        <v>M3</v>
      </c>
      <c r="G327" s="438">
        <f>QUANT!K955</f>
        <v>6.7320000000000011</v>
      </c>
      <c r="H327" s="439">
        <f>IFERROR(VLOOKUP($C327,'SINAPI JULHO 2018'!$A:$D,4,0),IFERROR(VLOOKUP($C327,'5-COMP. PROPRIA'!$B$13:$I$518,8,0),""))</f>
        <v>323.45</v>
      </c>
      <c r="I327" s="440">
        <f>H327*'4-BDI'!$E$29</f>
        <v>414.79228000000001</v>
      </c>
      <c r="J327" s="63">
        <f t="shared" si="178"/>
        <v>2177.46</v>
      </c>
      <c r="K327" s="190">
        <f t="shared" si="179"/>
        <v>2792.38</v>
      </c>
    </row>
    <row r="328" spans="2:11" ht="15">
      <c r="B328" s="14" t="s">
        <v>12951</v>
      </c>
      <c r="C328" s="435" t="str">
        <f>QUANT!C959</f>
        <v>74157/4</v>
      </c>
      <c r="D328" s="435" t="str">
        <f>QUANT!D959</f>
        <v>SINAPI</v>
      </c>
      <c r="E328" s="436" t="str">
        <f>IFERROR(VLOOKUP($C328,'SINAPI JULHO 2018'!$1:$1048576,2,0),IFERROR(VLOOKUP($C328,'5-COMP. PROPRIA'!$B$13:$I$518,4,0),""))</f>
        <v>LANCAMENTO/APLICACAO MANUAL DE CONCRETO EM FUNDACOES</v>
      </c>
      <c r="F328" s="437" t="str">
        <f>IFERROR(VLOOKUP($C328,'SINAPI JULHO 2018'!$A:$D,3,0),IFERROR(VLOOKUP($C328,'5-COMP. PROPRIA'!$B$13:$I$518,5,0),""))</f>
        <v>M3</v>
      </c>
      <c r="G328" s="438">
        <f>QUANT!K959</f>
        <v>6.7320000000000011</v>
      </c>
      <c r="H328" s="439">
        <f>IFERROR(VLOOKUP($C328,'SINAPI JULHO 2018'!$A:$D,4,0),IFERROR(VLOOKUP($C328,'5-COMP. PROPRIA'!$B$13:$I$518,8,0),""))</f>
        <v>93.76</v>
      </c>
      <c r="I328" s="440">
        <f>H328*'4-BDI'!$E$29</f>
        <v>120.237824</v>
      </c>
      <c r="J328" s="63">
        <f t="shared" si="178"/>
        <v>631.19000000000005</v>
      </c>
      <c r="K328" s="190">
        <f t="shared" si="179"/>
        <v>809.44</v>
      </c>
    </row>
    <row r="329" spans="2:11" ht="30">
      <c r="B329" s="14" t="s">
        <v>12952</v>
      </c>
      <c r="C329" s="435">
        <f>QUANT!C961</f>
        <v>96543</v>
      </c>
      <c r="D329" s="435" t="str">
        <f>QUANT!D961</f>
        <v>SINAPI</v>
      </c>
      <c r="E329" s="436" t="str">
        <f>IFERROR(VLOOKUP($C329,'SINAPI JULHO 2018'!$1:$1048576,2,0),IFERROR(VLOOKUP($C329,'5-COMP. PROPRIA'!$B$13:$I$518,4,0),""))</f>
        <v>ARMAÇÃO DE BLOCO, VIGA BALDRAME E SAPATA UTILIZANDO AÇO CA-60 DE 5 MM - MONTAGEM. AF_06/2017</v>
      </c>
      <c r="F329" s="437" t="str">
        <f>IFERROR(VLOOKUP($C329,'SINAPI JULHO 2018'!$A:$D,3,0),IFERROR(VLOOKUP($C329,'5-COMP. PROPRIA'!$B$13:$I$518,5,0),""))</f>
        <v>KG</v>
      </c>
      <c r="G329" s="438">
        <f>QUANT!K961</f>
        <v>114.51386203125006</v>
      </c>
      <c r="H329" s="439">
        <f>IFERROR(VLOOKUP($C329,'SINAPI JULHO 2018'!$A:$D,4,0),IFERROR(VLOOKUP($C329,'5-COMP. PROPRIA'!$B$13:$I$518,8,0),""))</f>
        <v>11.01</v>
      </c>
      <c r="I329" s="440">
        <f>H329*'4-BDI'!$E$29</f>
        <v>14.119223999999999</v>
      </c>
      <c r="J329" s="63">
        <f t="shared" si="178"/>
        <v>1260.79</v>
      </c>
      <c r="K329" s="190">
        <f t="shared" si="179"/>
        <v>1616.84</v>
      </c>
    </row>
    <row r="330" spans="2:11" ht="45">
      <c r="B330" s="14" t="s">
        <v>12953</v>
      </c>
      <c r="C330" s="435">
        <f>QUANT!C966</f>
        <v>92762</v>
      </c>
      <c r="D330" s="435" t="str">
        <f>QUANT!D966</f>
        <v>SINAPI</v>
      </c>
      <c r="E330" s="436" t="str">
        <f>IFERROR(VLOOKUP($C330,'SINAPI JULHO 2018'!$1:$1048576,2,0),IFERROR(VLOOKUP($C330,'5-COMP. PROPRIA'!$B$13:$I$518,4,0),""))</f>
        <v>ARMAÇÃO DE PILAR OU VIGA DE UMA ESTRUTURA CONVENCIONAL DE CONCRETO ARMADO EM UM EDIFÍCIO DE MÚLTIPLOS PAVIMENTOS UTILIZANDO AÇO CA-50 DE 10,0 MM - MONTAGEM. AF_12/2015</v>
      </c>
      <c r="F330" s="437" t="str">
        <f>IFERROR(VLOOKUP($C330,'SINAPI JULHO 2018'!$A:$D,3,0),IFERROR(VLOOKUP($C330,'5-COMP. PROPRIA'!$B$13:$I$518,5,0),""))</f>
        <v>KG</v>
      </c>
      <c r="G330" s="438">
        <f>QUANT!K966</f>
        <v>207.42133500000006</v>
      </c>
      <c r="H330" s="439">
        <f>IFERROR(VLOOKUP($C330,'SINAPI JULHO 2018'!$A:$D,4,0),IFERROR(VLOOKUP($C330,'5-COMP. PROPRIA'!$B$13:$I$518,8,0),""))</f>
        <v>6.58</v>
      </c>
      <c r="I330" s="440">
        <f>H330*'4-BDI'!$E$29</f>
        <v>8.4381920000000008</v>
      </c>
      <c r="J330" s="63">
        <f t="shared" si="178"/>
        <v>1364.83</v>
      </c>
      <c r="K330" s="190">
        <f t="shared" si="179"/>
        <v>1750.26</v>
      </c>
    </row>
    <row r="331" spans="2:11" ht="30">
      <c r="B331" s="14" t="s">
        <v>12954</v>
      </c>
      <c r="C331" s="435">
        <f>QUANT!C971</f>
        <v>96536</v>
      </c>
      <c r="D331" s="435" t="str">
        <f>QUANT!D971</f>
        <v>SINAPI</v>
      </c>
      <c r="E331" s="436" t="str">
        <f>IFERROR(VLOOKUP($C331,'SINAPI JULHO 2018'!$1:$1048576,2,0),IFERROR(VLOOKUP($C331,'5-COMP. PROPRIA'!$B$13:$I$518,4,0),""))</f>
        <v>FABRICAÇÃO, MONTAGEM E DESMONTAGEM DE FÔRMA PARA VIGA BALDRAME, EM MADEIRA SERRADA, E=25 MM, 4 UTILIZAÇÕES. AF_06/2017</v>
      </c>
      <c r="F331" s="437" t="str">
        <f>IFERROR(VLOOKUP($C331,'SINAPI JULHO 2018'!$A:$D,3,0),IFERROR(VLOOKUP($C331,'5-COMP. PROPRIA'!$B$13:$I$518,5,0),""))</f>
        <v>M2</v>
      </c>
      <c r="G331" s="438">
        <f>QUANT!K971</f>
        <v>67.320000000000007</v>
      </c>
      <c r="H331" s="439">
        <f>IFERROR(VLOOKUP($C331,'SINAPI JULHO 2018'!$A:$D,4,0),IFERROR(VLOOKUP($C331,'5-COMP. PROPRIA'!$B$13:$I$518,8,0),""))</f>
        <v>37.81</v>
      </c>
      <c r="I331" s="440">
        <f>H331*'4-BDI'!$E$29</f>
        <v>48.487544</v>
      </c>
      <c r="J331" s="63">
        <f t="shared" si="178"/>
        <v>2545.36</v>
      </c>
      <c r="K331" s="190">
        <f t="shared" si="179"/>
        <v>3264.18</v>
      </c>
    </row>
    <row r="332" spans="2:11" ht="15">
      <c r="B332" s="14" t="s">
        <v>12955</v>
      </c>
      <c r="C332" s="435">
        <f>QUANT!C975</f>
        <v>93382</v>
      </c>
      <c r="D332" s="435" t="str">
        <f>QUANT!D975</f>
        <v>SINAPI</v>
      </c>
      <c r="E332" s="436" t="str">
        <f>IFERROR(VLOOKUP($C332,'SINAPI JULHO 2018'!$1:$1048576,2,0),IFERROR(VLOOKUP($C332,'5-COMP. PROPRIA'!$B$13:$I$518,4,0),""))</f>
        <v>REATERRO MANUAL DE VALAS COM COMPACTAÇÃO MECANIZADA. AF_04/2016</v>
      </c>
      <c r="F332" s="437" t="str">
        <f>IFERROR(VLOOKUP($C332,'SINAPI JULHO 2018'!$A:$D,3,0),IFERROR(VLOOKUP($C332,'5-COMP. PROPRIA'!$B$13:$I$518,5,0),""))</f>
        <v>M3</v>
      </c>
      <c r="G332" s="438">
        <f>QUANT!K975</f>
        <v>16.787925000000001</v>
      </c>
      <c r="H332" s="439">
        <f>IFERROR(VLOOKUP($C332,'SINAPI JULHO 2018'!$A:$D,4,0),IFERROR(VLOOKUP($C332,'5-COMP. PROPRIA'!$B$13:$I$518,8,0),""))</f>
        <v>19.27</v>
      </c>
      <c r="I332" s="440">
        <f>H332*'4-BDI'!$E$29</f>
        <v>24.711848</v>
      </c>
      <c r="J332" s="63">
        <f t="shared" si="178"/>
        <v>323.5</v>
      </c>
      <c r="K332" s="190">
        <f t="shared" si="179"/>
        <v>414.86</v>
      </c>
    </row>
    <row r="333" spans="2:11" ht="30">
      <c r="B333" s="14" t="s">
        <v>12956</v>
      </c>
      <c r="C333" s="435" t="str">
        <f>QUANT!C979</f>
        <v>74106/1</v>
      </c>
      <c r="D333" s="435" t="str">
        <f>QUANT!D979</f>
        <v>SINAPI</v>
      </c>
      <c r="E333" s="436" t="str">
        <f>IFERROR(VLOOKUP($C333,'SINAPI JULHO 2018'!$1:$1048576,2,0),IFERROR(VLOOKUP($C333,'5-COMP. PROPRIA'!$B$13:$I$518,4,0),""))</f>
        <v>IMPERMEABILIZACAO DE ESTRUTURAS ENTERRADAS, COM TINTA ASFALTICA, DUAS DEMAOS.</v>
      </c>
      <c r="F333" s="437" t="str">
        <f>IFERROR(VLOOKUP($C333,'SINAPI JULHO 2018'!$A:$D,3,0),IFERROR(VLOOKUP($C333,'5-COMP. PROPRIA'!$B$13:$I$518,5,0),""))</f>
        <v>M2</v>
      </c>
      <c r="G333" s="438">
        <f>QUANT!K979</f>
        <v>84.15</v>
      </c>
      <c r="H333" s="439">
        <f>IFERROR(VLOOKUP($C333,'SINAPI JULHO 2018'!$A:$D,4,0),IFERROR(VLOOKUP($C333,'5-COMP. PROPRIA'!$B$13:$I$518,8,0),""))</f>
        <v>9.5399999999999991</v>
      </c>
      <c r="I333" s="440">
        <f>H333*'4-BDI'!$E$29</f>
        <v>12.234095999999999</v>
      </c>
      <c r="J333" s="63">
        <f t="shared" si="178"/>
        <v>802.79</v>
      </c>
      <c r="K333" s="190">
        <f t="shared" si="179"/>
        <v>1029.49</v>
      </c>
    </row>
    <row r="334" spans="2:11" ht="15">
      <c r="B334" s="14" t="s">
        <v>12957</v>
      </c>
      <c r="C334" s="435">
        <f>QUANT!C981</f>
        <v>72897</v>
      </c>
      <c r="D334" s="435" t="str">
        <f>QUANT!D981</f>
        <v>SINAPI</v>
      </c>
      <c r="E334" s="436" t="str">
        <f>IFERROR(VLOOKUP($C334,'SINAPI JULHO 2018'!$1:$1048576,2,0),IFERROR(VLOOKUP($C334,'5-COMP. PROPRIA'!$B$13:$I$518,4,0),""))</f>
        <v>CARGA MANUAL DE ENTULHO EM CAMINHAO BASCULANTE 6 M3</v>
      </c>
      <c r="F334" s="437" t="str">
        <f>IFERROR(VLOOKUP($C334,'SINAPI JULHO 2018'!$A:$D,3,0),IFERROR(VLOOKUP($C334,'5-COMP. PROPRIA'!$B$13:$I$518,5,0),""))</f>
        <v>M3</v>
      </c>
      <c r="G334" s="438">
        <f>QUANT!K981</f>
        <v>8.7516000000000016</v>
      </c>
      <c r="H334" s="439">
        <f>IFERROR(VLOOKUP($C334,'SINAPI JULHO 2018'!$A:$D,4,0),IFERROR(VLOOKUP($C334,'5-COMP. PROPRIA'!$B$13:$I$518,8,0),""))</f>
        <v>17.34</v>
      </c>
      <c r="I334" s="440">
        <f>H334*'4-BDI'!$E$29</f>
        <v>22.236816000000001</v>
      </c>
      <c r="J334" s="63">
        <f t="shared" si="178"/>
        <v>151.75</v>
      </c>
      <c r="K334" s="190">
        <f t="shared" si="179"/>
        <v>194.6</v>
      </c>
    </row>
    <row r="335" spans="2:11" ht="30">
      <c r="B335" s="14" t="s">
        <v>12958</v>
      </c>
      <c r="C335" s="435">
        <f>QUANT!C985</f>
        <v>97914</v>
      </c>
      <c r="D335" s="435" t="str">
        <f>QUANT!D985</f>
        <v>SINAPI</v>
      </c>
      <c r="E335" s="436" t="str">
        <f>IFERROR(VLOOKUP($C335,'SINAPI JULHO 2018'!$1:$1048576,2,0),IFERROR(VLOOKUP($C335,'5-COMP. PROPRIA'!$B$13:$I$518,4,0),""))</f>
        <v>TRANSPORTE COM CAMINHÃO BASCULANTE DE 6 M3, EM VIA URBANA PAVIMENTADA, DMT ATÉ 30 KM (UNIDADE: M3XKM). AF_01/2018</v>
      </c>
      <c r="F335" s="437" t="str">
        <f>IFERROR(VLOOKUP($C335,'SINAPI JULHO 2018'!$A:$D,3,0),IFERROR(VLOOKUP($C335,'5-COMP. PROPRIA'!$B$13:$I$518,5,0),""))</f>
        <v>M3XKM</v>
      </c>
      <c r="G335" s="438">
        <f>QUANT!K985</f>
        <v>65.637000000000015</v>
      </c>
      <c r="H335" s="439">
        <f>IFERROR(VLOOKUP($C335,'SINAPI JULHO 2018'!$A:$D,4,0),IFERROR(VLOOKUP($C335,'5-COMP. PROPRIA'!$B$13:$I$518,8,0),""))</f>
        <v>1.52</v>
      </c>
      <c r="I335" s="440">
        <f>H335*'4-BDI'!$E$29</f>
        <v>1.9492480000000001</v>
      </c>
      <c r="J335" s="63">
        <f t="shared" si="178"/>
        <v>99.76</v>
      </c>
      <c r="K335" s="190">
        <f t="shared" si="179"/>
        <v>127.94</v>
      </c>
    </row>
    <row r="336" spans="2:11" ht="15">
      <c r="B336" s="314" t="s">
        <v>12959</v>
      </c>
      <c r="C336" s="96"/>
      <c r="D336" s="96"/>
      <c r="E336" s="96" t="str">
        <f>QUANT!E991</f>
        <v>GRAUTEMENTO VERTICAL</v>
      </c>
      <c r="F336" s="178"/>
      <c r="G336" s="146"/>
      <c r="H336" s="145"/>
      <c r="I336" s="219"/>
      <c r="J336" s="65"/>
      <c r="K336" s="191"/>
    </row>
    <row r="337" spans="2:11" ht="15">
      <c r="B337" s="14" t="s">
        <v>12960</v>
      </c>
      <c r="C337" s="435">
        <f>QUANT!C993</f>
        <v>89993</v>
      </c>
      <c r="D337" s="435" t="str">
        <f>QUANT!D993</f>
        <v>SINAPI</v>
      </c>
      <c r="E337" s="436" t="str">
        <f>IFERROR(VLOOKUP($C337,'SINAPI JULHO 2018'!$1:$1048576,2,0),IFERROR(VLOOKUP($C337,'5-COMP. PROPRIA'!$B$13:$I$518,4,0),""))</f>
        <v>GRAUTEAMENTO VERTICAL EM ALVENARIA ESTRUTURAL. AF_01/2015</v>
      </c>
      <c r="F337" s="437" t="str">
        <f>IFERROR(VLOOKUP($C337,'SINAPI JULHO 2018'!$A:$D,3,0),IFERROR(VLOOKUP($C337,'5-COMP. PROPRIA'!$B$13:$I$518,5,0),""))</f>
        <v>M3</v>
      </c>
      <c r="G337" s="438">
        <f>QUANT!K993</f>
        <v>18.816000000000003</v>
      </c>
      <c r="H337" s="439">
        <f>IFERROR(VLOOKUP($C337,'SINAPI JULHO 2018'!$A:$D,4,0),IFERROR(VLOOKUP($C337,'5-COMP. PROPRIA'!$B$13:$I$518,8,0),""))</f>
        <v>590.5</v>
      </c>
      <c r="I337" s="440">
        <f>H337*'4-BDI'!$E$29</f>
        <v>757.25720000000001</v>
      </c>
      <c r="J337" s="63">
        <f t="shared" ref="J337" si="180">TRUNC(G337*H337,2)</f>
        <v>11110.84</v>
      </c>
      <c r="K337" s="190">
        <f t="shared" ref="K337" si="181">TRUNC(G337*I337,2)</f>
        <v>14248.55</v>
      </c>
    </row>
    <row r="338" spans="2:11" ht="30">
      <c r="B338" s="14" t="s">
        <v>12961</v>
      </c>
      <c r="C338" s="435">
        <f>QUANT!C997</f>
        <v>89996</v>
      </c>
      <c r="D338" s="435" t="str">
        <f>QUANT!D997</f>
        <v>SINAPI</v>
      </c>
      <c r="E338" s="436" t="str">
        <f>IFERROR(VLOOKUP($C338,'SINAPI JULHO 2018'!$1:$1048576,2,0),IFERROR(VLOOKUP($C338,'5-COMP. PROPRIA'!$B$13:$I$518,4,0),""))</f>
        <v>ARMAÇÃO VERTICAL DE ALVENARIA ESTRUTURAL; DIÂMETRO DE 10,0 MM. AF_01/2015</v>
      </c>
      <c r="F338" s="437" t="str">
        <f>IFERROR(VLOOKUP($C338,'SINAPI JULHO 2018'!$A:$D,3,0),IFERROR(VLOOKUP($C338,'5-COMP. PROPRIA'!$B$13:$I$518,5,0),""))</f>
        <v>KG</v>
      </c>
      <c r="G338" s="438">
        <f>QUANT!K997</f>
        <v>317.47912000000008</v>
      </c>
      <c r="H338" s="439">
        <f>IFERROR(VLOOKUP($C338,'SINAPI JULHO 2018'!$A:$D,4,0),IFERROR(VLOOKUP($C338,'5-COMP. PROPRIA'!$B$13:$I$518,8,0),""))</f>
        <v>6.27</v>
      </c>
      <c r="I338" s="440">
        <f>H338*'4-BDI'!$E$29</f>
        <v>8.0406479999999991</v>
      </c>
      <c r="J338" s="63">
        <f t="shared" ref="J338" si="182">TRUNC(G338*H338,2)</f>
        <v>1990.59</v>
      </c>
      <c r="K338" s="190">
        <f t="shared" ref="K338" si="183">TRUNC(G338*I338,2)</f>
        <v>2552.73</v>
      </c>
    </row>
    <row r="339" spans="2:11" ht="15">
      <c r="B339" s="314" t="s">
        <v>12962</v>
      </c>
      <c r="C339" s="96"/>
      <c r="D339" s="96"/>
      <c r="E339" s="96" t="str">
        <f>QUANT!E1002</f>
        <v>GRAUTEMENTO DE CINTA INTERMEDIARIA</v>
      </c>
      <c r="F339" s="178"/>
      <c r="G339" s="146"/>
      <c r="H339" s="145"/>
      <c r="I339" s="219"/>
      <c r="J339" s="65"/>
      <c r="K339" s="191"/>
    </row>
    <row r="340" spans="2:11" ht="30">
      <c r="B340" s="14" t="s">
        <v>12963</v>
      </c>
      <c r="C340" s="435">
        <f>QUANT!C1004</f>
        <v>89994</v>
      </c>
      <c r="D340" s="435" t="str">
        <f>QUANT!D1004</f>
        <v>SINAPI</v>
      </c>
      <c r="E340" s="436" t="str">
        <f>IFERROR(VLOOKUP($C340,'SINAPI JULHO 2018'!$1:$1048576,2,0),IFERROR(VLOOKUP($C340,'5-COMP. PROPRIA'!$B$13:$I$518,4,0),""))</f>
        <v>GRAUTEAMENTO DE CINTA INTERMEDIÁRIA OU DE CONTRAVERGA EM ALVENARIA ESTRUTURAL. AF_01/2015</v>
      </c>
      <c r="F340" s="437" t="str">
        <f>IFERROR(VLOOKUP($C340,'SINAPI JULHO 2018'!$A:$D,3,0),IFERROR(VLOOKUP($C340,'5-COMP. PROPRIA'!$B$13:$I$518,5,0),""))</f>
        <v>M3</v>
      </c>
      <c r="G340" s="438">
        <f>QUANT!K1004</f>
        <v>3.3660000000000005</v>
      </c>
      <c r="H340" s="439">
        <f>IFERROR(VLOOKUP($C340,'SINAPI JULHO 2018'!$A:$D,4,0),IFERROR(VLOOKUP($C340,'5-COMP. PROPRIA'!$B$13:$I$518,8,0),""))</f>
        <v>497.12</v>
      </c>
      <c r="I340" s="440">
        <f>H340*'4-BDI'!$E$29</f>
        <v>637.50668800000005</v>
      </c>
      <c r="J340" s="63">
        <f t="shared" ref="J340:J342" si="184">TRUNC(G340*H340,2)</f>
        <v>1673.3</v>
      </c>
      <c r="K340" s="190">
        <f t="shared" ref="K340:K342" si="185">TRUNC(G340*I340,2)</f>
        <v>2145.84</v>
      </c>
    </row>
    <row r="341" spans="2:11" ht="30">
      <c r="B341" s="14" t="s">
        <v>12964</v>
      </c>
      <c r="C341" s="435">
        <f>QUANT!C1008</f>
        <v>89998</v>
      </c>
      <c r="D341" s="435" t="str">
        <f>QUANT!D1008</f>
        <v>SINAPI</v>
      </c>
      <c r="E341" s="436" t="str">
        <f>IFERROR(VLOOKUP($C341,'SINAPI JULHO 2018'!$1:$1048576,2,0),IFERROR(VLOOKUP($C341,'5-COMP. PROPRIA'!$B$13:$I$518,4,0),""))</f>
        <v>ARMAÇÃO DE CINTA DE ALVENARIA ESTRUTURAL; DIÂMETRO DE 10,0 MM. AF_01/2015</v>
      </c>
      <c r="F341" s="437" t="str">
        <f>IFERROR(VLOOKUP($C341,'SINAPI JULHO 2018'!$A:$D,3,0),IFERROR(VLOOKUP($C341,'5-COMP. PROPRIA'!$B$13:$I$518,5,0),""))</f>
        <v>KG</v>
      </c>
      <c r="G341" s="438">
        <f>QUANT!K1008</f>
        <v>103.71066750000003</v>
      </c>
      <c r="H341" s="439">
        <f>IFERROR(VLOOKUP($C341,'SINAPI JULHO 2018'!$A:$D,4,0),IFERROR(VLOOKUP($C341,'5-COMP. PROPRIA'!$B$13:$I$518,8,0),""))</f>
        <v>5.89</v>
      </c>
      <c r="I341" s="440">
        <f>H341*'4-BDI'!$E$29</f>
        <v>7.5533359999999998</v>
      </c>
      <c r="J341" s="63">
        <f t="shared" si="184"/>
        <v>610.85</v>
      </c>
      <c r="K341" s="190">
        <f t="shared" si="185"/>
        <v>783.36</v>
      </c>
    </row>
    <row r="342" spans="2:11" ht="30">
      <c r="B342" s="14" t="s">
        <v>12965</v>
      </c>
      <c r="C342" s="435" t="str">
        <f>QUANT!C1013</f>
        <v>CP-FUN-02</v>
      </c>
      <c r="D342" s="435" t="str">
        <f>QUANT!D1013</f>
        <v>PRÓRPIA</v>
      </c>
      <c r="E342" s="436" t="str">
        <f>IFERROR(VLOOKUP($C342,'SINAPI JULHO 2018'!$1:$1048576,2,0),IFERROR(VLOOKUP($C342,'5-COMP. PROPRIA'!$B$13:$I$518,4,0),""))</f>
        <v>CINTA DE AMARRAÇÃO DE ALVENARIA MOLDADA IN LOCO COM UTILIZAÇÃO DE BLOCOS CANALETA</v>
      </c>
      <c r="F342" s="437" t="str">
        <f>IFERROR(VLOOKUP($C342,'SINAPI JULHO 2018'!$A:$D,3,0),IFERROR(VLOOKUP($C342,'5-COMP. PROPRIA'!$B$13:$I$518,5,0),""))</f>
        <v>M</v>
      </c>
      <c r="G342" s="438">
        <f>QUANT!K1013</f>
        <v>84.15</v>
      </c>
      <c r="H342" s="439">
        <f>IFERROR(VLOOKUP($C342,'SINAPI JULHO 2018'!$A:$D,4,0),IFERROR(VLOOKUP($C342,'5-COMP. PROPRIA'!$B$13:$I$518,8,0),""))</f>
        <v>20.91</v>
      </c>
      <c r="I342" s="440">
        <f>H342*'4-BDI'!$E$29</f>
        <v>26.814983999999999</v>
      </c>
      <c r="J342" s="63">
        <f t="shared" si="184"/>
        <v>1759.57</v>
      </c>
      <c r="K342" s="190">
        <f t="shared" si="185"/>
        <v>2256.48</v>
      </c>
    </row>
    <row r="343" spans="2:11" ht="15">
      <c r="B343" s="314" t="s">
        <v>12966</v>
      </c>
      <c r="C343" s="96"/>
      <c r="D343" s="96"/>
      <c r="E343" s="96" t="str">
        <f>QUANT!E1015</f>
        <v>GRAUTEMENTO DE CINTA SUPERIOR</v>
      </c>
      <c r="F343" s="178"/>
      <c r="G343" s="146"/>
      <c r="H343" s="145"/>
      <c r="I343" s="219"/>
      <c r="J343" s="65"/>
      <c r="K343" s="191"/>
    </row>
    <row r="344" spans="2:11" ht="30">
      <c r="B344" s="14" t="s">
        <v>12967</v>
      </c>
      <c r="C344" s="435">
        <f>QUANT!C1017</f>
        <v>89995</v>
      </c>
      <c r="D344" s="435" t="str">
        <f>QUANT!D1017</f>
        <v>SINAPI</v>
      </c>
      <c r="E344" s="436" t="str">
        <f>IFERROR(VLOOKUP($C344,'SINAPI JULHO 2018'!$1:$1048576,2,0),IFERROR(VLOOKUP($C344,'5-COMP. PROPRIA'!$B$13:$I$518,4,0),""))</f>
        <v>GRAUTEAMENTO DE CINTA SUPERIOR OU DE VERGA EM ALVENARIA ESTRUTURAL. AF_01/2015</v>
      </c>
      <c r="F344" s="437" t="str">
        <f>IFERROR(VLOOKUP($C344,'SINAPI JULHO 2018'!$A:$D,3,0),IFERROR(VLOOKUP($C344,'5-COMP. PROPRIA'!$B$13:$I$518,5,0),""))</f>
        <v>M3</v>
      </c>
      <c r="G344" s="438">
        <f>QUANT!K1017</f>
        <v>3.3660000000000005</v>
      </c>
      <c r="H344" s="439">
        <f>IFERROR(VLOOKUP($C344,'SINAPI JULHO 2018'!$A:$D,4,0),IFERROR(VLOOKUP($C344,'5-COMP. PROPRIA'!$B$13:$I$518,8,0),""))</f>
        <v>566.62</v>
      </c>
      <c r="I344" s="440">
        <f>H344*'4-BDI'!$E$29</f>
        <v>726.63348799999994</v>
      </c>
      <c r="J344" s="63">
        <f t="shared" ref="J344:J346" si="186">TRUNC(G344*H344,2)</f>
        <v>1907.24</v>
      </c>
      <c r="K344" s="190">
        <f t="shared" ref="K344:K346" si="187">TRUNC(G344*I344,2)</f>
        <v>2445.84</v>
      </c>
    </row>
    <row r="345" spans="2:11" ht="30">
      <c r="B345" s="14" t="s">
        <v>12968</v>
      </c>
      <c r="C345" s="435">
        <f>QUANT!C1021</f>
        <v>89998</v>
      </c>
      <c r="D345" s="435" t="str">
        <f>QUANT!D1021</f>
        <v>SINAPI</v>
      </c>
      <c r="E345" s="436" t="str">
        <f>IFERROR(VLOOKUP($C345,'SINAPI JULHO 2018'!$1:$1048576,2,0),IFERROR(VLOOKUP($C345,'5-COMP. PROPRIA'!$B$13:$I$518,4,0),""))</f>
        <v>ARMAÇÃO DE CINTA DE ALVENARIA ESTRUTURAL; DIÂMETRO DE 10,0 MM. AF_01/2015</v>
      </c>
      <c r="F345" s="437" t="str">
        <f>IFERROR(VLOOKUP($C345,'SINAPI JULHO 2018'!$A:$D,3,0),IFERROR(VLOOKUP($C345,'5-COMP. PROPRIA'!$B$13:$I$518,5,0),""))</f>
        <v>KG</v>
      </c>
      <c r="G345" s="438">
        <f>QUANT!K1021</f>
        <v>103.71066750000003</v>
      </c>
      <c r="H345" s="439">
        <f>IFERROR(VLOOKUP($C345,'SINAPI JULHO 2018'!$A:$D,4,0),IFERROR(VLOOKUP($C345,'5-COMP. PROPRIA'!$B$13:$I$518,8,0),""))</f>
        <v>5.89</v>
      </c>
      <c r="I345" s="440">
        <f>H345*'4-BDI'!$E$29</f>
        <v>7.5533359999999998</v>
      </c>
      <c r="J345" s="63">
        <f t="shared" si="186"/>
        <v>610.85</v>
      </c>
      <c r="K345" s="190">
        <f t="shared" si="187"/>
        <v>783.36</v>
      </c>
    </row>
    <row r="346" spans="2:11" ht="30">
      <c r="B346" s="14" t="s">
        <v>12969</v>
      </c>
      <c r="C346" s="435" t="str">
        <f>QUANT!C1026</f>
        <v>CP-FUN-02</v>
      </c>
      <c r="D346" s="435" t="str">
        <f>QUANT!D1026</f>
        <v>PRÓRPIA</v>
      </c>
      <c r="E346" s="436" t="str">
        <f>IFERROR(VLOOKUP($C346,'SINAPI JULHO 2018'!$1:$1048576,2,0),IFERROR(VLOOKUP($C346,'5-COMP. PROPRIA'!$B$13:$I$518,4,0),""))</f>
        <v>CINTA DE AMARRAÇÃO DE ALVENARIA MOLDADA IN LOCO COM UTILIZAÇÃO DE BLOCOS CANALETA</v>
      </c>
      <c r="F346" s="437" t="str">
        <f>IFERROR(VLOOKUP($C346,'SINAPI JULHO 2018'!$A:$D,3,0),IFERROR(VLOOKUP($C346,'5-COMP. PROPRIA'!$B$13:$I$518,5,0),""))</f>
        <v>M</v>
      </c>
      <c r="G346" s="438">
        <f>QUANT!K1026</f>
        <v>84.15</v>
      </c>
      <c r="H346" s="439">
        <f>IFERROR(VLOOKUP($C346,'SINAPI JULHO 2018'!$A:$D,4,0),IFERROR(VLOOKUP($C346,'5-COMP. PROPRIA'!$B$13:$I$518,8,0),""))</f>
        <v>20.91</v>
      </c>
      <c r="I346" s="440">
        <f>H346*'4-BDI'!$E$29</f>
        <v>26.814983999999999</v>
      </c>
      <c r="J346" s="63">
        <f t="shared" si="186"/>
        <v>1759.57</v>
      </c>
      <c r="K346" s="190">
        <f t="shared" si="187"/>
        <v>2256.48</v>
      </c>
    </row>
    <row r="347" spans="2:11" ht="15">
      <c r="B347" s="314" t="s">
        <v>12970</v>
      </c>
      <c r="C347" s="96"/>
      <c r="D347" s="96"/>
      <c r="E347" s="96" t="str">
        <f>QUANT!E1028</f>
        <v>VEDAÇÃO EM ALVENARIA DE BLOCO DE CONCRETO</v>
      </c>
      <c r="F347" s="178"/>
      <c r="G347" s="146"/>
      <c r="H347" s="145"/>
      <c r="I347" s="219"/>
      <c r="J347" s="65"/>
      <c r="K347" s="191"/>
    </row>
    <row r="348" spans="2:11" ht="60">
      <c r="B348" s="14" t="s">
        <v>12971</v>
      </c>
      <c r="C348" s="435">
        <f>QUANT!C1030</f>
        <v>87457</v>
      </c>
      <c r="D348" s="435" t="str">
        <f>QUANT!D1030</f>
        <v>SINAPI</v>
      </c>
      <c r="E348" s="436" t="str">
        <f>IFERROR(VLOOKUP($C348,'SINAPI JULHO 2018'!$1:$1048576,2,0),IFERROR(VLOOKUP($C348,'5-COMP. PROPRIA'!$B$13:$I$518,4,0),""))</f>
        <v>ALVENARIA DE VEDAÇÃO DE BLOCOS VAZADOS DE CONCRETO DE 19X19X39CM (ESPESSURA 19CM) DE PAREDES COM ÁREA LÍQUIDA MAIOR OU IGUAL A 6M² SEM VÃOS E ARGAMASSA DE ASSENTAMENTO COM PREPARO EM BETONEIRA. AF_06/2014</v>
      </c>
      <c r="F348" s="437" t="str">
        <f>IFERROR(VLOOKUP($C348,'SINAPI JULHO 2018'!$A:$D,3,0),IFERROR(VLOOKUP($C348,'5-COMP. PROPRIA'!$B$13:$I$518,5,0),""))</f>
        <v>M2</v>
      </c>
      <c r="G348" s="438">
        <f>QUANT!K1030</f>
        <v>319.77</v>
      </c>
      <c r="H348" s="439">
        <f>IFERROR(VLOOKUP($C348,'SINAPI JULHO 2018'!$A:$D,4,0),IFERROR(VLOOKUP($C348,'5-COMP. PROPRIA'!$B$13:$I$518,8,0),""))</f>
        <v>69.02</v>
      </c>
      <c r="I348" s="440">
        <f>H348*'4-BDI'!$E$29</f>
        <v>88.511247999999995</v>
      </c>
      <c r="J348" s="63">
        <f t="shared" ref="J348" si="188">TRUNC(G348*H348,2)</f>
        <v>22070.52</v>
      </c>
      <c r="K348" s="190">
        <f t="shared" ref="K348" si="189">TRUNC(G348*I348,2)</f>
        <v>28303.24</v>
      </c>
    </row>
    <row r="349" spans="2:11" ht="60">
      <c r="B349" s="14" t="s">
        <v>12972</v>
      </c>
      <c r="C349" s="435">
        <f>QUANT!C1034</f>
        <v>87457</v>
      </c>
      <c r="D349" s="435" t="str">
        <f>QUANT!D1034</f>
        <v>SINAPI</v>
      </c>
      <c r="E349" s="436" t="str">
        <f>IFERROR(VLOOKUP($C349,'SINAPI JULHO 2018'!$1:$1048576,2,0),IFERROR(VLOOKUP($C349,'5-COMP. PROPRIA'!$B$13:$I$518,4,0),""))</f>
        <v>ALVENARIA DE VEDAÇÃO DE BLOCOS VAZADOS DE CONCRETO DE 19X19X39CM (ESPESSURA 19CM) DE PAREDES COM ÁREA LÍQUIDA MAIOR OU IGUAL A 6M² SEM VÃOS E ARGAMASSA DE ASSENTAMENTO COM PREPARO EM BETONEIRA. AF_06/2014</v>
      </c>
      <c r="F349" s="437" t="str">
        <f>IFERROR(VLOOKUP($C349,'SINAPI JULHO 2018'!$A:$D,3,0),IFERROR(VLOOKUP($C349,'5-COMP. PROPRIA'!$B$13:$I$518,5,0),""))</f>
        <v>M2</v>
      </c>
      <c r="G349" s="438">
        <f>QUANT!K1034</f>
        <v>47.040000000000006</v>
      </c>
      <c r="H349" s="439">
        <f>IFERROR(VLOOKUP($C349,'SINAPI JULHO 2018'!$A:$D,4,0),IFERROR(VLOOKUP($C349,'5-COMP. PROPRIA'!$B$13:$I$518,8,0),""))</f>
        <v>69.02</v>
      </c>
      <c r="I349" s="440">
        <f>H349*'4-BDI'!$E$29</f>
        <v>88.511247999999995</v>
      </c>
      <c r="J349" s="63">
        <f t="shared" ref="J349:J354" si="190">TRUNC(G349*H349,2)</f>
        <v>3246.7</v>
      </c>
      <c r="K349" s="190">
        <f t="shared" ref="K349:K354" si="191">TRUNC(G349*I349,2)</f>
        <v>4163.5600000000004</v>
      </c>
    </row>
    <row r="350" spans="2:11" ht="15">
      <c r="B350" s="14" t="s">
        <v>12973</v>
      </c>
      <c r="C350" s="435" t="str">
        <f>QUANT!C1038</f>
        <v>CP-LIX-01</v>
      </c>
      <c r="D350" s="435" t="str">
        <f>QUANT!D1038</f>
        <v>PRÓRPIA</v>
      </c>
      <c r="E350" s="436" t="str">
        <f>IFERROR(VLOOKUP($C350,'SINAPI JULHO 2018'!$1:$1048576,2,0),IFERROR(VLOOKUP($C350,'5-COMP. PROPRIA'!$B$13:$I$518,4,0),""))</f>
        <v>LIXAMENTO MANUAL DE CONCRETO APARENTE</v>
      </c>
      <c r="F350" s="437" t="str">
        <f>IFERROR(VLOOKUP($C350,'SINAPI JULHO 2018'!$A:$D,3,0),IFERROR(VLOOKUP($C350,'5-COMP. PROPRIA'!$B$13:$I$518,5,0),""))</f>
        <v>M2</v>
      </c>
      <c r="G350" s="438">
        <f>QUANT!K1038</f>
        <v>800.94</v>
      </c>
      <c r="H350" s="439">
        <f>IFERROR(VLOOKUP($C350,'SINAPI JULHO 2018'!$A:$D,4,0),IFERROR(VLOOKUP($C350,'5-COMP. PROPRIA'!$B$13:$I$518,8,0),""))</f>
        <v>3.7700000000000005</v>
      </c>
      <c r="I350" s="440">
        <f>H350*'4-BDI'!$E$29</f>
        <v>4.8346480000000005</v>
      </c>
      <c r="J350" s="63">
        <f t="shared" si="190"/>
        <v>3019.54</v>
      </c>
      <c r="K350" s="190">
        <f t="shared" si="191"/>
        <v>3872.26</v>
      </c>
    </row>
    <row r="351" spans="2:11" ht="30">
      <c r="B351" s="14" t="s">
        <v>12974</v>
      </c>
      <c r="C351" s="435">
        <f>QUANT!C1040</f>
        <v>88485</v>
      </c>
      <c r="D351" s="435" t="str">
        <f>QUANT!D1040</f>
        <v>SINAPI</v>
      </c>
      <c r="E351" s="436" t="str">
        <f>IFERROR(VLOOKUP($C351,'SINAPI JULHO 2018'!$1:$1048576,2,0),IFERROR(VLOOKUP($C351,'5-COMP. PROPRIA'!$B$13:$I$518,4,0),""))</f>
        <v>APLICAÇÃO DE FUNDO SELADOR ACRÍLICO EM PAREDES, UMA DEMÃO. AF_06/2014</v>
      </c>
      <c r="F351" s="437" t="str">
        <f>IFERROR(VLOOKUP($C351,'SINAPI JULHO 2018'!$A:$D,3,0),IFERROR(VLOOKUP($C351,'5-COMP. PROPRIA'!$B$13:$I$518,5,0),""))</f>
        <v>M2</v>
      </c>
      <c r="G351" s="438">
        <f>QUANT!K1040</f>
        <v>800.94</v>
      </c>
      <c r="H351" s="439">
        <f>IFERROR(VLOOKUP($C351,'SINAPI JULHO 2018'!$A:$D,4,0),IFERROR(VLOOKUP($C351,'5-COMP. PROPRIA'!$B$13:$I$518,8,0),""))</f>
        <v>1.6</v>
      </c>
      <c r="I351" s="440">
        <f>H351*'4-BDI'!$E$29</f>
        <v>2.0518399999999999</v>
      </c>
      <c r="J351" s="63">
        <f t="shared" si="190"/>
        <v>1281.5</v>
      </c>
      <c r="K351" s="190">
        <f t="shared" si="191"/>
        <v>1643.4</v>
      </c>
    </row>
    <row r="352" spans="2:11" ht="30">
      <c r="B352" s="14" t="s">
        <v>12975</v>
      </c>
      <c r="C352" s="435">
        <f>QUANT!C1042</f>
        <v>88489</v>
      </c>
      <c r="D352" s="435" t="str">
        <f>QUANT!D1042</f>
        <v>SINAPI</v>
      </c>
      <c r="E352" s="436" t="str">
        <f>IFERROR(VLOOKUP($C352,'SINAPI JULHO 2018'!$1:$1048576,2,0),IFERROR(VLOOKUP($C352,'5-COMP. PROPRIA'!$B$13:$I$518,4,0),""))</f>
        <v>APLICAÇÃO MANUAL DE PINTURA COM TINTA LÁTEX ACRÍLICA EM PAREDES, DUAS DEMÃOS. AF_06/2014</v>
      </c>
      <c r="F352" s="437" t="str">
        <f>IFERROR(VLOOKUP($C352,'SINAPI JULHO 2018'!$A:$D,3,0),IFERROR(VLOOKUP($C352,'5-COMP. PROPRIA'!$B$13:$I$518,5,0),""))</f>
        <v>M2</v>
      </c>
      <c r="G352" s="438">
        <f>QUANT!K1042</f>
        <v>610.24000000000012</v>
      </c>
      <c r="H352" s="439">
        <f>IFERROR(VLOOKUP($C352,'SINAPI JULHO 2018'!$A:$D,4,0),IFERROR(VLOOKUP($C352,'5-COMP. PROPRIA'!$B$13:$I$518,8,0),""))</f>
        <v>9.69</v>
      </c>
      <c r="I352" s="440">
        <f>H352*'4-BDI'!$E$29</f>
        <v>12.426456</v>
      </c>
      <c r="J352" s="63">
        <f t="shared" si="190"/>
        <v>5913.22</v>
      </c>
      <c r="K352" s="190">
        <f t="shared" si="191"/>
        <v>7583.12</v>
      </c>
    </row>
    <row r="353" spans="2:11" ht="15">
      <c r="B353" s="14" t="s">
        <v>12976</v>
      </c>
      <c r="C353" s="435" t="str">
        <f>QUANT!C1044</f>
        <v>CP-PIN-02</v>
      </c>
      <c r="D353" s="435" t="str">
        <f>QUANT!D1044</f>
        <v>SINAPI</v>
      </c>
      <c r="E353" s="436" t="str">
        <f>IFERROR(VLOOKUP($C353,'SINAPI JULHO 2018'!$1:$1048576,2,0),IFERROR(VLOOKUP($C353,'5-COMP. PROPRIA'!$B$13:$I$518,4,0),""))</f>
        <v xml:space="preserve">PINTURA COM TINTA ESMALTE SINTÉTICO </v>
      </c>
      <c r="F353" s="437" t="str">
        <f>IFERROR(VLOOKUP($C353,'SINAPI JULHO 2018'!$A:$D,3,0),IFERROR(VLOOKUP($C353,'5-COMP. PROPRIA'!$B$13:$I$518,5,0),""))</f>
        <v>M2</v>
      </c>
      <c r="G353" s="438">
        <f>QUANT!K1044</f>
        <v>228.84</v>
      </c>
      <c r="H353" s="439">
        <f>IFERROR(VLOOKUP($C353,'SINAPI JULHO 2018'!$A:$D,4,0),IFERROR(VLOOKUP($C353,'5-COMP. PROPRIA'!$B$13:$I$518,8,0),""))</f>
        <v>10.93</v>
      </c>
      <c r="I353" s="440">
        <f>H353*'4-BDI'!$E$29</f>
        <v>14.016632</v>
      </c>
      <c r="J353" s="63">
        <f t="shared" si="190"/>
        <v>2501.2199999999998</v>
      </c>
      <c r="K353" s="190">
        <f t="shared" si="191"/>
        <v>3207.56</v>
      </c>
    </row>
    <row r="354" spans="2:11" ht="15">
      <c r="B354" s="14" t="s">
        <v>12977</v>
      </c>
      <c r="C354" s="435" t="str">
        <f>QUANT!C1046</f>
        <v>CP-PIN-01</v>
      </c>
      <c r="D354" s="435" t="str">
        <f>QUANT!D1046</f>
        <v>SINAPI</v>
      </c>
      <c r="E354" s="436" t="str">
        <f>IFERROR(VLOOKUP($C354,'SINAPI JULHO 2018'!$1:$1048576,2,0),IFERROR(VLOOKUP($C354,'5-COMP. PROPRIA'!$B$13:$I$518,4,0),""))</f>
        <v xml:space="preserve">PINTURA DE LOGOMARCA  E NOMENCLATURA </v>
      </c>
      <c r="F354" s="437" t="str">
        <f>IFERROR(VLOOKUP($C354,'SINAPI JULHO 2018'!$A:$D,3,0),IFERROR(VLOOKUP($C354,'5-COMP. PROPRIA'!$B$13:$I$518,5,0),""))</f>
        <v>M2</v>
      </c>
      <c r="G354" s="438">
        <f>QUANT!K1046</f>
        <v>20</v>
      </c>
      <c r="H354" s="439">
        <f>IFERROR(VLOOKUP($C354,'SINAPI JULHO 2018'!$A:$D,4,0),IFERROR(VLOOKUP($C354,'5-COMP. PROPRIA'!$B$13:$I$518,8,0),""))</f>
        <v>50.529999999999994</v>
      </c>
      <c r="I354" s="440">
        <f>H354*'4-BDI'!$E$29</f>
        <v>64.799671999999987</v>
      </c>
      <c r="J354" s="63">
        <f t="shared" si="190"/>
        <v>1010.6</v>
      </c>
      <c r="K354" s="190">
        <f t="shared" si="191"/>
        <v>1295.99</v>
      </c>
    </row>
    <row r="355" spans="2:11" ht="15">
      <c r="B355" s="305"/>
      <c r="C355" s="328"/>
      <c r="D355" s="328"/>
      <c r="E355" s="328" t="str">
        <f>QUANT!E1050</f>
        <v>PARTE DE ALVENARIA CONVENCIONAL</v>
      </c>
      <c r="F355" s="329"/>
      <c r="G355" s="330"/>
      <c r="H355" s="331"/>
      <c r="I355" s="332"/>
      <c r="J355" s="333"/>
      <c r="K355" s="334"/>
    </row>
    <row r="356" spans="2:11" ht="15">
      <c r="B356" s="314" t="s">
        <v>12978</v>
      </c>
      <c r="C356" s="96"/>
      <c r="D356" s="96"/>
      <c r="E356" s="96" t="str">
        <f>QUANT!E1052</f>
        <v>ESTACAS</v>
      </c>
      <c r="F356" s="178"/>
      <c r="G356" s="146"/>
      <c r="H356" s="145"/>
      <c r="I356" s="219"/>
      <c r="J356" s="65"/>
      <c r="K356" s="191"/>
    </row>
    <row r="357" spans="2:11" ht="30">
      <c r="B357" s="14" t="s">
        <v>12979</v>
      </c>
      <c r="C357" s="435" t="str">
        <f>QUANT!C1054</f>
        <v>CP-FUN-01</v>
      </c>
      <c r="D357" s="435" t="str">
        <f>QUANT!D1054</f>
        <v>PRÓRPIA</v>
      </c>
      <c r="E357" s="436" t="str">
        <f>IFERROR(VLOOKUP($C357,'SINAPI JULHO 2018'!$1:$1048576,2,0),IFERROR(VLOOKUP($C357,'5-COMP. PROPRIA'!$B$13:$I$518,4,0),""))</f>
        <v>ESCAVAÇÃO MECANICA DE ESTACA 40 X 40 CM , PROFUNDIDADE DE 1,5 M DE COMPRIMENTO</v>
      </c>
      <c r="F357" s="437" t="str">
        <f>IFERROR(VLOOKUP($C357,'SINAPI JULHO 2018'!$A:$D,3,0),IFERROR(VLOOKUP($C357,'5-COMP. PROPRIA'!$B$13:$I$518,5,0),""))</f>
        <v>M</v>
      </c>
      <c r="G357" s="438">
        <f>QUANT!K1054</f>
        <v>9</v>
      </c>
      <c r="H357" s="439">
        <f>IFERROR(VLOOKUP($C357,'SINAPI JULHO 2018'!$A:$D,4,0),IFERROR(VLOOKUP($C357,'5-COMP. PROPRIA'!$B$13:$I$518,8,0),""))</f>
        <v>39.909999999999997</v>
      </c>
      <c r="I357" s="440">
        <f>H357*'4-BDI'!$E$29</f>
        <v>51.180583999999996</v>
      </c>
      <c r="J357" s="63">
        <f t="shared" ref="J357" si="192">TRUNC(G357*H357,2)</f>
        <v>359.19</v>
      </c>
      <c r="K357" s="190">
        <f t="shared" ref="K357" si="193">TRUNC(G357*I357,2)</f>
        <v>460.62</v>
      </c>
    </row>
    <row r="358" spans="2:11" ht="45">
      <c r="B358" s="14" t="s">
        <v>12980</v>
      </c>
      <c r="C358" s="435">
        <f>QUANT!C1058</f>
        <v>92759</v>
      </c>
      <c r="D358" s="435" t="str">
        <f>QUANT!D1058</f>
        <v>SINAPI</v>
      </c>
      <c r="E358" s="436" t="str">
        <f>IFERROR(VLOOKUP($C358,'SINAPI JULHO 2018'!$1:$1048576,2,0),IFERROR(VLOOKUP($C358,'5-COMP. PROPRIA'!$B$13:$I$518,4,0),""))</f>
        <v>ARMAÇÃO DE PILAR OU VIGA DE UMA ESTRUTURA CONVENCIONAL DE CONCRETO ARMADO EM UM EDIFÍCIO DE MÚLTIPLOS PAVIMENTOS UTILIZANDO AÇO CA-60 DE 5,0 MM - MONTAGEM. AF_12/2015</v>
      </c>
      <c r="F358" s="437" t="str">
        <f>IFERROR(VLOOKUP($C358,'SINAPI JULHO 2018'!$A:$D,3,0),IFERROR(VLOOKUP($C358,'5-COMP. PROPRIA'!$B$13:$I$518,5,0),""))</f>
        <v>KG</v>
      </c>
      <c r="G358" s="438">
        <f>QUANT!K1058</f>
        <v>9.4282425000000014</v>
      </c>
      <c r="H358" s="439">
        <f>IFERROR(VLOOKUP($C358,'SINAPI JULHO 2018'!$A:$D,4,0),IFERROR(VLOOKUP($C358,'5-COMP. PROPRIA'!$B$13:$I$518,8,0),""))</f>
        <v>9.1</v>
      </c>
      <c r="I358" s="440">
        <f>H358*'4-BDI'!$E$29</f>
        <v>11.669839999999999</v>
      </c>
      <c r="J358" s="63">
        <f t="shared" ref="J358:J361" si="194">TRUNC(G358*H358,2)</f>
        <v>85.79</v>
      </c>
      <c r="K358" s="190">
        <f t="shared" ref="K358:K361" si="195">TRUNC(G358*I358,2)</f>
        <v>110.02</v>
      </c>
    </row>
    <row r="359" spans="2:11" ht="45">
      <c r="B359" s="14" t="s">
        <v>12981</v>
      </c>
      <c r="C359" s="435">
        <f>QUANT!C1062</f>
        <v>92762</v>
      </c>
      <c r="D359" s="435" t="str">
        <f>QUANT!D1062</f>
        <v>SINAPI</v>
      </c>
      <c r="E359" s="436" t="str">
        <f>IFERROR(VLOOKUP($C359,'SINAPI JULHO 2018'!$1:$1048576,2,0),IFERROR(VLOOKUP($C359,'5-COMP. PROPRIA'!$B$13:$I$518,4,0),""))</f>
        <v>ARMAÇÃO DE PILAR OU VIGA DE UMA ESTRUTURA CONVENCIONAL DE CONCRETO ARMADO EM UM EDIFÍCIO DE MÚLTIPLOS PAVIMENTOS UTILIZANDO AÇO CA-50 DE 10,0 MM - MONTAGEM. AF_12/2015</v>
      </c>
      <c r="F359" s="437" t="str">
        <f>IFERROR(VLOOKUP($C359,'SINAPI JULHO 2018'!$A:$D,3,0),IFERROR(VLOOKUP($C359,'5-COMP. PROPRIA'!$B$13:$I$518,5,0),""))</f>
        <v>KG</v>
      </c>
      <c r="G359" s="438">
        <f>QUANT!K1062</f>
        <v>26.620920000000009</v>
      </c>
      <c r="H359" s="439">
        <f>IFERROR(VLOOKUP($C359,'SINAPI JULHO 2018'!$A:$D,4,0),IFERROR(VLOOKUP($C359,'5-COMP. PROPRIA'!$B$13:$I$518,8,0),""))</f>
        <v>6.58</v>
      </c>
      <c r="I359" s="440">
        <f>H359*'4-BDI'!$E$29</f>
        <v>8.4381920000000008</v>
      </c>
      <c r="J359" s="63">
        <f t="shared" si="194"/>
        <v>175.16</v>
      </c>
      <c r="K359" s="190">
        <f t="shared" si="195"/>
        <v>224.63</v>
      </c>
    </row>
    <row r="360" spans="2:11" ht="30">
      <c r="B360" s="14" t="s">
        <v>12982</v>
      </c>
      <c r="C360" s="435">
        <f>QUANT!C1067</f>
        <v>94965</v>
      </c>
      <c r="D360" s="435" t="str">
        <f>QUANT!D1067</f>
        <v>SINAPI</v>
      </c>
      <c r="E360" s="436" t="str">
        <f>IFERROR(VLOOKUP($C360,'SINAPI JULHO 2018'!$1:$1048576,2,0),IFERROR(VLOOKUP($C360,'5-COMP. PROPRIA'!$B$13:$I$518,4,0),""))</f>
        <v>CONCRETO FCK = 25MPA, TRAÇO 1:2,3:2,7 (CIMENTO/ AREIA MÉDIA/ BRITA 1)  - PREPARO MECÂNICO COM BETONEIRA 400 L. AF_07/2016</v>
      </c>
      <c r="F360" s="437" t="str">
        <f>IFERROR(VLOOKUP($C360,'SINAPI JULHO 2018'!$A:$D,3,0),IFERROR(VLOOKUP($C360,'5-COMP. PROPRIA'!$B$13:$I$518,5,0),""))</f>
        <v>M3</v>
      </c>
      <c r="G360" s="438">
        <f>QUANT!K1067</f>
        <v>1.4400000000000004</v>
      </c>
      <c r="H360" s="439">
        <f>IFERROR(VLOOKUP($C360,'SINAPI JULHO 2018'!$A:$D,4,0),IFERROR(VLOOKUP($C360,'5-COMP. PROPRIA'!$B$13:$I$518,8,0),""))</f>
        <v>323.45</v>
      </c>
      <c r="I360" s="440">
        <f>H360*'4-BDI'!$E$29</f>
        <v>414.79228000000001</v>
      </c>
      <c r="J360" s="63">
        <f t="shared" si="194"/>
        <v>465.76</v>
      </c>
      <c r="K360" s="190">
        <f t="shared" si="195"/>
        <v>597.29999999999995</v>
      </c>
    </row>
    <row r="361" spans="2:11" ht="15">
      <c r="B361" s="14" t="s">
        <v>12983</v>
      </c>
      <c r="C361" s="435" t="str">
        <f>QUANT!C1071</f>
        <v>74157/4</v>
      </c>
      <c r="D361" s="435" t="str">
        <f>QUANT!D1071</f>
        <v>SINAPI</v>
      </c>
      <c r="E361" s="436" t="str">
        <f>IFERROR(VLOOKUP($C361,'SINAPI JULHO 2018'!$1:$1048576,2,0),IFERROR(VLOOKUP($C361,'5-COMP. PROPRIA'!$B$13:$I$518,4,0),""))</f>
        <v>LANCAMENTO/APLICACAO MANUAL DE CONCRETO EM FUNDACOES</v>
      </c>
      <c r="F361" s="437" t="str">
        <f>IFERROR(VLOOKUP($C361,'SINAPI JULHO 2018'!$A:$D,3,0),IFERROR(VLOOKUP($C361,'5-COMP. PROPRIA'!$B$13:$I$518,5,0),""))</f>
        <v>M3</v>
      </c>
      <c r="G361" s="438">
        <f>QUANT!K1071</f>
        <v>1.4400000000000004</v>
      </c>
      <c r="H361" s="439">
        <f>IFERROR(VLOOKUP($C361,'SINAPI JULHO 2018'!$A:$D,4,0),IFERROR(VLOOKUP($C361,'5-COMP. PROPRIA'!$B$13:$I$518,8,0),""))</f>
        <v>93.76</v>
      </c>
      <c r="I361" s="440">
        <f>H361*'4-BDI'!$E$29</f>
        <v>120.237824</v>
      </c>
      <c r="J361" s="63">
        <f t="shared" si="194"/>
        <v>135.01</v>
      </c>
      <c r="K361" s="190">
        <f t="shared" si="195"/>
        <v>173.14</v>
      </c>
    </row>
    <row r="362" spans="2:11" ht="15">
      <c r="B362" s="314" t="s">
        <v>12984</v>
      </c>
      <c r="C362" s="96"/>
      <c r="D362" s="96"/>
      <c r="E362" s="96" t="str">
        <f>QUANT!E1073</f>
        <v>BALDRAMES</v>
      </c>
      <c r="F362" s="178"/>
      <c r="G362" s="146"/>
      <c r="H362" s="145"/>
      <c r="I362" s="219"/>
      <c r="J362" s="65"/>
      <c r="K362" s="191"/>
    </row>
    <row r="363" spans="2:11" ht="30">
      <c r="B363" s="14" t="s">
        <v>12985</v>
      </c>
      <c r="C363" s="435">
        <f>QUANT!C1075</f>
        <v>96527</v>
      </c>
      <c r="D363" s="435" t="str">
        <f>QUANT!D1075</f>
        <v>SINAPI</v>
      </c>
      <c r="E363" s="436" t="str">
        <f>IFERROR(VLOOKUP($C363,'SINAPI JULHO 2018'!$1:$1048576,2,0),IFERROR(VLOOKUP($C363,'5-COMP. PROPRIA'!$B$13:$I$518,4,0),""))</f>
        <v>ESCAVAÇÃO MANUAL DE VALA PARA VIGA BALDRAME, COM PREVISÃO DE FÔRMA. AF_06/2017</v>
      </c>
      <c r="F363" s="437" t="str">
        <f>IFERROR(VLOOKUP($C363,'SINAPI JULHO 2018'!$A:$D,3,0),IFERROR(VLOOKUP($C363,'5-COMP. PROPRIA'!$B$13:$I$518,5,0),""))</f>
        <v>M3</v>
      </c>
      <c r="G363" s="438">
        <f>QUANT!K1075</f>
        <v>4.4300750000000004</v>
      </c>
      <c r="H363" s="439">
        <f>IFERROR(VLOOKUP($C363,'SINAPI JULHO 2018'!$A:$D,4,0),IFERROR(VLOOKUP($C363,'5-COMP. PROPRIA'!$B$13:$I$518,8,0),""))</f>
        <v>84.88</v>
      </c>
      <c r="I363" s="440">
        <f>H363*'4-BDI'!$E$29</f>
        <v>108.850112</v>
      </c>
      <c r="J363" s="63">
        <f t="shared" ref="J363" si="196">TRUNC(G363*H363,2)</f>
        <v>376.02</v>
      </c>
      <c r="K363" s="190">
        <f t="shared" ref="K363" si="197">TRUNC(G363*I363,2)</f>
        <v>482.21</v>
      </c>
    </row>
    <row r="364" spans="2:11" ht="30">
      <c r="B364" s="14" t="s">
        <v>12986</v>
      </c>
      <c r="C364" s="435">
        <f>QUANT!C1079</f>
        <v>96617</v>
      </c>
      <c r="D364" s="435" t="str">
        <f>QUANT!D1079</f>
        <v>SINAPI</v>
      </c>
      <c r="E364" s="436" t="str">
        <f>IFERROR(VLOOKUP($C364,'SINAPI JULHO 2018'!$1:$1048576,2,0),IFERROR(VLOOKUP($C364,'5-COMP. PROPRIA'!$B$13:$I$518,4,0),""))</f>
        <v>LASTRO DE CONCRETO MAGRO, APLICADO EM BLOCOS DE COROAMENTO OU SAPATAS, ESPESSURA DE 3 CM. AF_08/2017</v>
      </c>
      <c r="F364" s="437" t="str">
        <f>IFERROR(VLOOKUP($C364,'SINAPI JULHO 2018'!$A:$D,3,0),IFERROR(VLOOKUP($C364,'5-COMP. PROPRIA'!$B$13:$I$518,5,0),""))</f>
        <v>M2</v>
      </c>
      <c r="G364" s="438">
        <f>QUANT!K1079</f>
        <v>3.17</v>
      </c>
      <c r="H364" s="439">
        <f>IFERROR(VLOOKUP($C364,'SINAPI JULHO 2018'!$A:$D,4,0),IFERROR(VLOOKUP($C364,'5-COMP. PROPRIA'!$B$13:$I$518,8,0),""))</f>
        <v>12.49</v>
      </c>
      <c r="I364" s="440">
        <f>H364*'4-BDI'!$E$29</f>
        <v>16.017175999999999</v>
      </c>
      <c r="J364" s="63">
        <f t="shared" ref="J364:J373" si="198">TRUNC(G364*H364,2)</f>
        <v>39.590000000000003</v>
      </c>
      <c r="K364" s="190">
        <f t="shared" ref="K364:K373" si="199">TRUNC(G364*I364,2)</f>
        <v>50.77</v>
      </c>
    </row>
    <row r="365" spans="2:11" ht="30">
      <c r="B365" s="14" t="s">
        <v>12987</v>
      </c>
      <c r="C365" s="435">
        <f>QUANT!C1083</f>
        <v>94965</v>
      </c>
      <c r="D365" s="435" t="str">
        <f>QUANT!D1083</f>
        <v>SINAPI</v>
      </c>
      <c r="E365" s="436" t="str">
        <f>IFERROR(VLOOKUP($C365,'SINAPI JULHO 2018'!$1:$1048576,2,0),IFERROR(VLOOKUP($C365,'5-COMP. PROPRIA'!$B$13:$I$518,4,0),""))</f>
        <v>CONCRETO FCK = 25MPA, TRAÇO 1:2,3:2,7 (CIMENTO/ AREIA MÉDIA/ BRITA 1)  - PREPARO MECÂNICO COM BETONEIRA 400 L. AF_07/2016</v>
      </c>
      <c r="F365" s="437" t="str">
        <f>IFERROR(VLOOKUP($C365,'SINAPI JULHO 2018'!$A:$D,3,0),IFERROR(VLOOKUP($C365,'5-COMP. PROPRIA'!$B$13:$I$518,5,0),""))</f>
        <v>M3</v>
      </c>
      <c r="G365" s="438">
        <f>QUANT!K1083</f>
        <v>1.268</v>
      </c>
      <c r="H365" s="439">
        <f>IFERROR(VLOOKUP($C365,'SINAPI JULHO 2018'!$A:$D,4,0),IFERROR(VLOOKUP($C365,'5-COMP. PROPRIA'!$B$13:$I$518,8,0),""))</f>
        <v>323.45</v>
      </c>
      <c r="I365" s="440">
        <f>H365*'4-BDI'!$E$29</f>
        <v>414.79228000000001</v>
      </c>
      <c r="J365" s="63">
        <f t="shared" si="198"/>
        <v>410.13</v>
      </c>
      <c r="K365" s="190">
        <f t="shared" si="199"/>
        <v>525.95000000000005</v>
      </c>
    </row>
    <row r="366" spans="2:11" ht="15">
      <c r="B366" s="14" t="s">
        <v>12988</v>
      </c>
      <c r="C366" s="435" t="str">
        <f>QUANT!C1087</f>
        <v>74157/4</v>
      </c>
      <c r="D366" s="435" t="str">
        <f>QUANT!D1087</f>
        <v>SINAPI</v>
      </c>
      <c r="E366" s="436" t="str">
        <f>IFERROR(VLOOKUP($C366,'SINAPI JULHO 2018'!$1:$1048576,2,0),IFERROR(VLOOKUP($C366,'5-COMP. PROPRIA'!$B$13:$I$518,4,0),""))</f>
        <v>LANCAMENTO/APLICACAO MANUAL DE CONCRETO EM FUNDACOES</v>
      </c>
      <c r="F366" s="437" t="str">
        <f>IFERROR(VLOOKUP($C366,'SINAPI JULHO 2018'!$A:$D,3,0),IFERROR(VLOOKUP($C366,'5-COMP. PROPRIA'!$B$13:$I$518,5,0),""))</f>
        <v>M3</v>
      </c>
      <c r="G366" s="438">
        <f>QUANT!K1087</f>
        <v>1.268</v>
      </c>
      <c r="H366" s="439">
        <f>IFERROR(VLOOKUP($C366,'SINAPI JULHO 2018'!$A:$D,4,0),IFERROR(VLOOKUP($C366,'5-COMP. PROPRIA'!$B$13:$I$518,8,0),""))</f>
        <v>93.76</v>
      </c>
      <c r="I366" s="440">
        <f>H366*'4-BDI'!$E$29</f>
        <v>120.237824</v>
      </c>
      <c r="J366" s="63">
        <f t="shared" si="198"/>
        <v>118.88</v>
      </c>
      <c r="K366" s="190">
        <f t="shared" si="199"/>
        <v>152.46</v>
      </c>
    </row>
    <row r="367" spans="2:11" ht="30">
      <c r="B367" s="14" t="s">
        <v>12989</v>
      </c>
      <c r="C367" s="435">
        <f>QUANT!C1089</f>
        <v>96543</v>
      </c>
      <c r="D367" s="435" t="str">
        <f>QUANT!D1089</f>
        <v>SINAPI</v>
      </c>
      <c r="E367" s="436" t="str">
        <f>IFERROR(VLOOKUP($C367,'SINAPI JULHO 2018'!$1:$1048576,2,0),IFERROR(VLOOKUP($C367,'5-COMP. PROPRIA'!$B$13:$I$518,4,0),""))</f>
        <v>ARMAÇÃO DE BLOCO, VIGA BALDRAME E SAPATA UTILIZANDO AÇO CA-60 DE 5 MM - MONTAGEM. AF_06/2017</v>
      </c>
      <c r="F367" s="437" t="str">
        <f>IFERROR(VLOOKUP($C367,'SINAPI JULHO 2018'!$A:$D,3,0),IFERROR(VLOOKUP($C367,'5-COMP. PROPRIA'!$B$13:$I$518,5,0),""))</f>
        <v>KG</v>
      </c>
      <c r="G367" s="438">
        <f>QUANT!K1089</f>
        <v>21.56915880208334</v>
      </c>
      <c r="H367" s="439">
        <f>IFERROR(VLOOKUP($C367,'SINAPI JULHO 2018'!$A:$D,4,0),IFERROR(VLOOKUP($C367,'5-COMP. PROPRIA'!$B$13:$I$518,8,0),""))</f>
        <v>11.01</v>
      </c>
      <c r="I367" s="440">
        <f>H367*'4-BDI'!$E$29</f>
        <v>14.119223999999999</v>
      </c>
      <c r="J367" s="63">
        <f t="shared" si="198"/>
        <v>237.47</v>
      </c>
      <c r="K367" s="190">
        <f t="shared" si="199"/>
        <v>304.52999999999997</v>
      </c>
    </row>
    <row r="368" spans="2:11" ht="45">
      <c r="B368" s="14" t="s">
        <v>12990</v>
      </c>
      <c r="C368" s="435">
        <f>QUANT!C1094</f>
        <v>92762</v>
      </c>
      <c r="D368" s="435" t="str">
        <f>QUANT!D1094</f>
        <v>SINAPI</v>
      </c>
      <c r="E368" s="436" t="str">
        <f>IFERROR(VLOOKUP($C368,'SINAPI JULHO 2018'!$1:$1048576,2,0),IFERROR(VLOOKUP($C368,'5-COMP. PROPRIA'!$B$13:$I$518,4,0),""))</f>
        <v>ARMAÇÃO DE PILAR OU VIGA DE UMA ESTRUTURA CONVENCIONAL DE CONCRETO ARMADO EM UM EDIFÍCIO DE MÚLTIPLOS PAVIMENTOS UTILIZANDO AÇO CA-50 DE 10,0 MM - MONTAGEM. AF_12/2015</v>
      </c>
      <c r="F368" s="437" t="str">
        <f>IFERROR(VLOOKUP($C368,'SINAPI JULHO 2018'!$A:$D,3,0),IFERROR(VLOOKUP($C368,'5-COMP. PROPRIA'!$B$13:$I$518,5,0),""))</f>
        <v>KG</v>
      </c>
      <c r="G368" s="438">
        <f>QUANT!K1094</f>
        <v>39.06866500000001</v>
      </c>
      <c r="H368" s="439">
        <f>IFERROR(VLOOKUP($C368,'SINAPI JULHO 2018'!$A:$D,4,0),IFERROR(VLOOKUP($C368,'5-COMP. PROPRIA'!$B$13:$I$518,8,0),""))</f>
        <v>6.58</v>
      </c>
      <c r="I368" s="440">
        <f>H368*'4-BDI'!$E$29</f>
        <v>8.4381920000000008</v>
      </c>
      <c r="J368" s="63">
        <f t="shared" si="198"/>
        <v>257.07</v>
      </c>
      <c r="K368" s="190">
        <f t="shared" si="199"/>
        <v>329.66</v>
      </c>
    </row>
    <row r="369" spans="2:11" ht="30">
      <c r="B369" s="14" t="s">
        <v>12991</v>
      </c>
      <c r="C369" s="435">
        <f>QUANT!C1099</f>
        <v>96536</v>
      </c>
      <c r="D369" s="435" t="str">
        <f>QUANT!D1099</f>
        <v>SINAPI</v>
      </c>
      <c r="E369" s="436" t="str">
        <f>IFERROR(VLOOKUP($C369,'SINAPI JULHO 2018'!$1:$1048576,2,0),IFERROR(VLOOKUP($C369,'5-COMP. PROPRIA'!$B$13:$I$518,4,0),""))</f>
        <v>FABRICAÇÃO, MONTAGEM E DESMONTAGEM DE FÔRMA PARA VIGA BALDRAME, EM MADEIRA SERRADA, E=25 MM, 4 UTILIZAÇÕES. AF_06/2017</v>
      </c>
      <c r="F369" s="437" t="str">
        <f>IFERROR(VLOOKUP($C369,'SINAPI JULHO 2018'!$A:$D,3,0),IFERROR(VLOOKUP($C369,'5-COMP. PROPRIA'!$B$13:$I$518,5,0),""))</f>
        <v>M2</v>
      </c>
      <c r="G369" s="438">
        <f>QUANT!K1099</f>
        <v>12.68</v>
      </c>
      <c r="H369" s="439">
        <f>IFERROR(VLOOKUP($C369,'SINAPI JULHO 2018'!$A:$D,4,0),IFERROR(VLOOKUP($C369,'5-COMP. PROPRIA'!$B$13:$I$518,8,0),""))</f>
        <v>37.81</v>
      </c>
      <c r="I369" s="440">
        <f>H369*'4-BDI'!$E$29</f>
        <v>48.487544</v>
      </c>
      <c r="J369" s="63">
        <f t="shared" si="198"/>
        <v>479.43</v>
      </c>
      <c r="K369" s="190">
        <f t="shared" si="199"/>
        <v>614.82000000000005</v>
      </c>
    </row>
    <row r="370" spans="2:11" ht="15">
      <c r="B370" s="14" t="s">
        <v>12992</v>
      </c>
      <c r="C370" s="435">
        <f>QUANT!C1103</f>
        <v>93382</v>
      </c>
      <c r="D370" s="435" t="str">
        <f>QUANT!D1103</f>
        <v>SINAPI</v>
      </c>
      <c r="E370" s="436" t="str">
        <f>IFERROR(VLOOKUP($C370,'SINAPI JULHO 2018'!$1:$1048576,2,0),IFERROR(VLOOKUP($C370,'5-COMP. PROPRIA'!$B$13:$I$518,4,0),""))</f>
        <v>REATERRO MANUAL DE VALAS COM COMPACTAÇÃO MECANIZADA. AF_04/2016</v>
      </c>
      <c r="F370" s="437" t="str">
        <f>IFERROR(VLOOKUP($C370,'SINAPI JULHO 2018'!$A:$D,3,0),IFERROR(VLOOKUP($C370,'5-COMP. PROPRIA'!$B$13:$I$518,5,0),""))</f>
        <v>M3</v>
      </c>
      <c r="G370" s="438">
        <f>QUANT!K1103</f>
        <v>3.1620750000000006</v>
      </c>
      <c r="H370" s="439">
        <f>IFERROR(VLOOKUP($C370,'SINAPI JULHO 2018'!$A:$D,4,0),IFERROR(VLOOKUP($C370,'5-COMP. PROPRIA'!$B$13:$I$518,8,0),""))</f>
        <v>19.27</v>
      </c>
      <c r="I370" s="440">
        <f>H370*'4-BDI'!$E$29</f>
        <v>24.711848</v>
      </c>
      <c r="J370" s="63">
        <f t="shared" si="198"/>
        <v>60.93</v>
      </c>
      <c r="K370" s="190">
        <f t="shared" si="199"/>
        <v>78.14</v>
      </c>
    </row>
    <row r="371" spans="2:11" ht="30">
      <c r="B371" s="14" t="s">
        <v>12993</v>
      </c>
      <c r="C371" s="435" t="str">
        <f>QUANT!C1107</f>
        <v>74106/1</v>
      </c>
      <c r="D371" s="435" t="str">
        <f>QUANT!D1107</f>
        <v>SINAPI</v>
      </c>
      <c r="E371" s="436" t="str">
        <f>IFERROR(VLOOKUP($C371,'SINAPI JULHO 2018'!$1:$1048576,2,0),IFERROR(VLOOKUP($C371,'5-COMP. PROPRIA'!$B$13:$I$518,4,0),""))</f>
        <v>IMPERMEABILIZACAO DE ESTRUTURAS ENTERRADAS, COM TINTA ASFALTICA, DUAS DEMAOS.</v>
      </c>
      <c r="F371" s="437" t="str">
        <f>IFERROR(VLOOKUP($C371,'SINAPI JULHO 2018'!$A:$D,3,0),IFERROR(VLOOKUP($C371,'5-COMP. PROPRIA'!$B$13:$I$518,5,0),""))</f>
        <v>M2</v>
      </c>
      <c r="G371" s="438">
        <f>QUANT!K1107</f>
        <v>15.85</v>
      </c>
      <c r="H371" s="439">
        <f>IFERROR(VLOOKUP($C371,'SINAPI JULHO 2018'!$A:$D,4,0),IFERROR(VLOOKUP($C371,'5-COMP. PROPRIA'!$B$13:$I$518,8,0),""))</f>
        <v>9.5399999999999991</v>
      </c>
      <c r="I371" s="440">
        <f>H371*'4-BDI'!$E$29</f>
        <v>12.234095999999999</v>
      </c>
      <c r="J371" s="63">
        <f t="shared" si="198"/>
        <v>151.19999999999999</v>
      </c>
      <c r="K371" s="190">
        <f t="shared" si="199"/>
        <v>193.91</v>
      </c>
    </row>
    <row r="372" spans="2:11" ht="15">
      <c r="B372" s="14" t="s">
        <v>12994</v>
      </c>
      <c r="C372" s="435">
        <f>QUANT!C1109</f>
        <v>72897</v>
      </c>
      <c r="D372" s="435" t="str">
        <f>QUANT!D1109</f>
        <v>SINAPI</v>
      </c>
      <c r="E372" s="436" t="str">
        <f>IFERROR(VLOOKUP($C372,'SINAPI JULHO 2018'!$1:$1048576,2,0),IFERROR(VLOOKUP($C372,'5-COMP. PROPRIA'!$B$13:$I$518,4,0),""))</f>
        <v>CARGA MANUAL DE ENTULHO EM CAMINHAO BASCULANTE 6 M3</v>
      </c>
      <c r="F372" s="437" t="str">
        <f>IFERROR(VLOOKUP($C372,'SINAPI JULHO 2018'!$A:$D,3,0),IFERROR(VLOOKUP($C372,'5-COMP. PROPRIA'!$B$13:$I$518,5,0),""))</f>
        <v>M3</v>
      </c>
      <c r="G372" s="438">
        <f>QUANT!K1109</f>
        <v>1.6484000000000001</v>
      </c>
      <c r="H372" s="439">
        <f>IFERROR(VLOOKUP($C372,'SINAPI JULHO 2018'!$A:$D,4,0),IFERROR(VLOOKUP($C372,'5-COMP. PROPRIA'!$B$13:$I$518,8,0),""))</f>
        <v>17.34</v>
      </c>
      <c r="I372" s="440">
        <f>H372*'4-BDI'!$E$29</f>
        <v>22.236816000000001</v>
      </c>
      <c r="J372" s="63">
        <f t="shared" si="198"/>
        <v>28.58</v>
      </c>
      <c r="K372" s="190">
        <f t="shared" si="199"/>
        <v>36.65</v>
      </c>
    </row>
    <row r="373" spans="2:11" ht="30">
      <c r="B373" s="14" t="s">
        <v>12995</v>
      </c>
      <c r="C373" s="435">
        <f>QUANT!C1113</f>
        <v>97914</v>
      </c>
      <c r="D373" s="435" t="str">
        <f>QUANT!D1113</f>
        <v>SINAPI</v>
      </c>
      <c r="E373" s="436" t="str">
        <f>IFERROR(VLOOKUP($C373,'SINAPI JULHO 2018'!$1:$1048576,2,0),IFERROR(VLOOKUP($C373,'5-COMP. PROPRIA'!$B$13:$I$518,4,0),""))</f>
        <v>TRANSPORTE COM CAMINHÃO BASCULANTE DE 6 M3, EM VIA URBANA PAVIMENTADA, DMT ATÉ 30 KM (UNIDADE: M3XKM). AF_01/2018</v>
      </c>
      <c r="F373" s="437" t="str">
        <f>IFERROR(VLOOKUP($C373,'SINAPI JULHO 2018'!$A:$D,3,0),IFERROR(VLOOKUP($C373,'5-COMP. PROPRIA'!$B$13:$I$518,5,0),""))</f>
        <v>M3XKM</v>
      </c>
      <c r="G373" s="438">
        <f>QUANT!K1113</f>
        <v>12.363000000000001</v>
      </c>
      <c r="H373" s="439">
        <f>IFERROR(VLOOKUP($C373,'SINAPI JULHO 2018'!$A:$D,4,0),IFERROR(VLOOKUP($C373,'5-COMP. PROPRIA'!$B$13:$I$518,8,0),""))</f>
        <v>1.52</v>
      </c>
      <c r="I373" s="440">
        <f>H373*'4-BDI'!$E$29</f>
        <v>1.9492480000000001</v>
      </c>
      <c r="J373" s="63">
        <f t="shared" si="198"/>
        <v>18.79</v>
      </c>
      <c r="K373" s="190">
        <f t="shared" si="199"/>
        <v>24.09</v>
      </c>
    </row>
    <row r="374" spans="2:11" ht="15">
      <c r="B374" s="314" t="s">
        <v>12996</v>
      </c>
      <c r="C374" s="96"/>
      <c r="D374" s="96"/>
      <c r="E374" s="96" t="str">
        <f>QUANT!E1117</f>
        <v>PILARES</v>
      </c>
      <c r="F374" s="178"/>
      <c r="G374" s="146"/>
      <c r="H374" s="145"/>
      <c r="I374" s="219"/>
      <c r="J374" s="65"/>
      <c r="K374" s="191"/>
    </row>
    <row r="375" spans="2:11" ht="30">
      <c r="B375" s="14" t="s">
        <v>12997</v>
      </c>
      <c r="C375" s="435">
        <f>QUANT!C1119</f>
        <v>94965</v>
      </c>
      <c r="D375" s="435" t="str">
        <f>QUANT!D1119</f>
        <v>SINAPI</v>
      </c>
      <c r="E375" s="436" t="str">
        <f>IFERROR(VLOOKUP($C375,'SINAPI JULHO 2018'!$1:$1048576,2,0),IFERROR(VLOOKUP($C375,'5-COMP. PROPRIA'!$B$13:$I$518,4,0),""))</f>
        <v>CONCRETO FCK = 25MPA, TRAÇO 1:2,3:2,7 (CIMENTO/ AREIA MÉDIA/ BRITA 1)  - PREPARO MECÂNICO COM BETONEIRA 400 L. AF_07/2016</v>
      </c>
      <c r="F375" s="437" t="str">
        <f>IFERROR(VLOOKUP($C375,'SINAPI JULHO 2018'!$A:$D,3,0),IFERROR(VLOOKUP($C375,'5-COMP. PROPRIA'!$B$13:$I$518,5,0),""))</f>
        <v>M3</v>
      </c>
      <c r="G375" s="438">
        <f>QUANT!K1119</f>
        <v>4.0320000000000009</v>
      </c>
      <c r="H375" s="439">
        <f>IFERROR(VLOOKUP($C375,'SINAPI JULHO 2018'!$A:$D,4,0),IFERROR(VLOOKUP($C375,'5-COMP. PROPRIA'!$B$13:$I$518,8,0),""))</f>
        <v>323.45</v>
      </c>
      <c r="I375" s="440">
        <f>H375*'4-BDI'!$E$29</f>
        <v>414.79228000000001</v>
      </c>
      <c r="J375" s="63">
        <f t="shared" ref="J375" si="200">TRUNC(G375*H375,2)</f>
        <v>1304.1500000000001</v>
      </c>
      <c r="K375" s="190">
        <f t="shared" ref="K375" si="201">TRUNC(G375*I375,2)</f>
        <v>1672.44</v>
      </c>
    </row>
    <row r="376" spans="2:11" ht="30">
      <c r="B376" s="14" t="s">
        <v>12998</v>
      </c>
      <c r="C376" s="435">
        <f>QUANT!C1123</f>
        <v>92873</v>
      </c>
      <c r="D376" s="435" t="str">
        <f>QUANT!D1123</f>
        <v>SINAPI</v>
      </c>
      <c r="E376" s="436" t="str">
        <f>IFERROR(VLOOKUP($C376,'SINAPI JULHO 2018'!$1:$1048576,2,0),IFERROR(VLOOKUP($C376,'5-COMP. PROPRIA'!$B$13:$I$518,4,0),""))</f>
        <v>LANÇAMENTO COM USO DE BALDES, ADENSAMENTO E ACABAMENTO DE CONCRETO EM ESTRUTURAS. AF_12/2015</v>
      </c>
      <c r="F376" s="437" t="str">
        <f>IFERROR(VLOOKUP($C376,'SINAPI JULHO 2018'!$A:$D,3,0),IFERROR(VLOOKUP($C376,'5-COMP. PROPRIA'!$B$13:$I$518,5,0),""))</f>
        <v>M3</v>
      </c>
      <c r="G376" s="438">
        <f>QUANT!K1123</f>
        <v>4.0320000000000009</v>
      </c>
      <c r="H376" s="439">
        <f>IFERROR(VLOOKUP($C376,'SINAPI JULHO 2018'!$A:$D,4,0),IFERROR(VLOOKUP($C376,'5-COMP. PROPRIA'!$B$13:$I$518,8,0),""))</f>
        <v>145.12</v>
      </c>
      <c r="I376" s="440">
        <f>H376*'4-BDI'!$E$29</f>
        <v>186.101888</v>
      </c>
      <c r="J376" s="63">
        <f t="shared" ref="J376:J379" si="202">TRUNC(G376*H376,2)</f>
        <v>585.12</v>
      </c>
      <c r="K376" s="190">
        <f t="shared" ref="K376:K379" si="203">TRUNC(G376*I376,2)</f>
        <v>750.36</v>
      </c>
    </row>
    <row r="377" spans="2:11" ht="45">
      <c r="B377" s="14" t="s">
        <v>12999</v>
      </c>
      <c r="C377" s="435">
        <f>QUANT!C1125</f>
        <v>92775</v>
      </c>
      <c r="D377" s="435" t="str">
        <f>QUANT!D1125</f>
        <v>SINAPI</v>
      </c>
      <c r="E377" s="436" t="str">
        <f>IFERROR(VLOOKUP($C377,'SINAPI JULHO 2018'!$1:$1048576,2,0),IFERROR(VLOOKUP($C377,'5-COMP. PROPRIA'!$B$13:$I$518,4,0),""))</f>
        <v>ARMAÇÃO DE PILAR OU VIGA DE UMA ESTRUTURA CONVENCIONAL DE CONCRETO ARMADO EM UMA EDIFICAÇÃO TÉRREA OU SOBRADO UTILIZANDO AÇO CA-60 DE 5,0 MM - MONTAGEM. AF_12/2015</v>
      </c>
      <c r="F377" s="437" t="str">
        <f>IFERROR(VLOOKUP($C377,'SINAPI JULHO 2018'!$A:$D,3,0),IFERROR(VLOOKUP($C377,'5-COMP. PROPRIA'!$B$13:$I$518,5,0),""))</f>
        <v>KG</v>
      </c>
      <c r="G377" s="438">
        <f>QUANT!K1125</f>
        <v>17.081757000000007</v>
      </c>
      <c r="H377" s="439">
        <f>IFERROR(VLOOKUP($C377,'SINAPI JULHO 2018'!$A:$D,4,0),IFERROR(VLOOKUP($C377,'5-COMP. PROPRIA'!$B$13:$I$518,8,0),""))</f>
        <v>11.07</v>
      </c>
      <c r="I377" s="440">
        <f>H377*'4-BDI'!$E$29</f>
        <v>14.196168</v>
      </c>
      <c r="J377" s="63">
        <f t="shared" si="202"/>
        <v>189.09</v>
      </c>
      <c r="K377" s="190">
        <f t="shared" si="203"/>
        <v>242.49</v>
      </c>
    </row>
    <row r="378" spans="2:11" ht="45">
      <c r="B378" s="14" t="s">
        <v>13000</v>
      </c>
      <c r="C378" s="435">
        <f>QUANT!C1130</f>
        <v>92778</v>
      </c>
      <c r="D378" s="435" t="str">
        <f>QUANT!D1130</f>
        <v>SINAPI</v>
      </c>
      <c r="E378" s="436" t="str">
        <f>IFERROR(VLOOKUP($C378,'SINAPI JULHO 2018'!$1:$1048576,2,0),IFERROR(VLOOKUP($C378,'5-COMP. PROPRIA'!$B$13:$I$518,4,0),""))</f>
        <v>ARMAÇÃO DE PILAR OU VIGA DE UMA ESTRUTURA CONVENCIONAL DE CONCRETO ARMADO EM UMA EDIFICAÇÃO TÉRREA OU SOBRADO UTILIZANDO AÇO CA-50 DE 10,0 MM - MONTAGEM. AF_12/2015</v>
      </c>
      <c r="F378" s="437" t="str">
        <f>IFERROR(VLOOKUP($C378,'SINAPI JULHO 2018'!$A:$D,3,0),IFERROR(VLOOKUP($C378,'5-COMP. PROPRIA'!$B$13:$I$518,5,0),""))</f>
        <v>KG</v>
      </c>
      <c r="G378" s="438">
        <f>QUANT!K1130</f>
        <v>68.031240000000025</v>
      </c>
      <c r="H378" s="439">
        <f>IFERROR(VLOOKUP($C378,'SINAPI JULHO 2018'!$A:$D,4,0),IFERROR(VLOOKUP($C378,'5-COMP. PROPRIA'!$B$13:$I$518,8,0),""))</f>
        <v>7.43</v>
      </c>
      <c r="I378" s="440">
        <f>H378*'4-BDI'!$E$29</f>
        <v>9.5282319999999991</v>
      </c>
      <c r="J378" s="63">
        <f t="shared" si="202"/>
        <v>505.47</v>
      </c>
      <c r="K378" s="190">
        <f t="shared" si="203"/>
        <v>648.21</v>
      </c>
    </row>
    <row r="379" spans="2:11" ht="45">
      <c r="B379" s="14" t="s">
        <v>13001</v>
      </c>
      <c r="C379" s="435">
        <f>QUANT!C1135</f>
        <v>92412</v>
      </c>
      <c r="D379" s="435" t="str">
        <f>QUANT!D1135</f>
        <v>SINAPI</v>
      </c>
      <c r="E379" s="436" t="str">
        <f>IFERROR(VLOOKUP($C379,'SINAPI JULHO 2018'!$1:$1048576,2,0),IFERROR(VLOOKUP($C379,'5-COMP. PROPRIA'!$B$13:$I$518,4,0),""))</f>
        <v>MONTAGEM E DESMONTAGEM DE FÔRMA DE PILARES RETANGULARES E ESTRUTURAS SIMILARES COM ÁREA MÉDIA DAS SEÇÕES MENOR OU IGUAL A 0,25 M², PÉ-DIREITO SIMPLES, EM MADEIRA SERRADA, 4 UTILIZAÇÕES. AF_12/2015</v>
      </c>
      <c r="F379" s="437" t="str">
        <f>IFERROR(VLOOKUP($C379,'SINAPI JULHO 2018'!$A:$D,3,0),IFERROR(VLOOKUP($C379,'5-COMP. PROPRIA'!$B$13:$I$518,5,0),""))</f>
        <v>M2</v>
      </c>
      <c r="G379" s="438">
        <f>QUANT!K1135</f>
        <v>40.320000000000007</v>
      </c>
      <c r="H379" s="439">
        <f>IFERROR(VLOOKUP($C379,'SINAPI JULHO 2018'!$A:$D,4,0),IFERROR(VLOOKUP($C379,'5-COMP. PROPRIA'!$B$13:$I$518,8,0),""))</f>
        <v>61.12</v>
      </c>
      <c r="I379" s="440">
        <f>H379*'4-BDI'!$E$29</f>
        <v>78.380287999999993</v>
      </c>
      <c r="J379" s="63">
        <f t="shared" si="202"/>
        <v>2464.35</v>
      </c>
      <c r="K379" s="190">
        <f t="shared" si="203"/>
        <v>3160.29</v>
      </c>
    </row>
    <row r="380" spans="2:11" ht="15">
      <c r="B380" s="314" t="s">
        <v>13002</v>
      </c>
      <c r="C380" s="96"/>
      <c r="D380" s="96"/>
      <c r="E380" s="96" t="str">
        <f>QUANT!E1139</f>
        <v>VIGAS</v>
      </c>
      <c r="F380" s="178"/>
      <c r="G380" s="146"/>
      <c r="H380" s="145"/>
      <c r="I380" s="219"/>
      <c r="J380" s="65"/>
      <c r="K380" s="191"/>
    </row>
    <row r="381" spans="2:11" ht="30">
      <c r="B381" s="14" t="s">
        <v>13003</v>
      </c>
      <c r="C381" s="435">
        <f>QUANT!C1141</f>
        <v>94965</v>
      </c>
      <c r="D381" s="435" t="str">
        <f>QUANT!D1141</f>
        <v>SINAPI</v>
      </c>
      <c r="E381" s="436" t="str">
        <f>IFERROR(VLOOKUP($C381,'SINAPI JULHO 2018'!$1:$1048576,2,0),IFERROR(VLOOKUP($C381,'5-COMP. PROPRIA'!$B$13:$I$518,4,0),""))</f>
        <v>CONCRETO FCK = 25MPA, TRAÇO 1:2,3:2,7 (CIMENTO/ AREIA MÉDIA/ BRITA 1)  - PREPARO MECÂNICO COM BETONEIRA 400 L. AF_07/2016</v>
      </c>
      <c r="F381" s="437" t="str">
        <f>IFERROR(VLOOKUP($C381,'SINAPI JULHO 2018'!$A:$D,3,0),IFERROR(VLOOKUP($C381,'5-COMP. PROPRIA'!$B$13:$I$518,5,0),""))</f>
        <v>M3</v>
      </c>
      <c r="G381" s="438">
        <f>QUANT!K1141</f>
        <v>1.268</v>
      </c>
      <c r="H381" s="439">
        <f>IFERROR(VLOOKUP($C381,'SINAPI JULHO 2018'!$A:$D,4,0),IFERROR(VLOOKUP($C381,'5-COMP. PROPRIA'!$B$13:$I$518,8,0),""))</f>
        <v>323.45</v>
      </c>
      <c r="I381" s="440">
        <f>H381*'4-BDI'!$E$29</f>
        <v>414.79228000000001</v>
      </c>
      <c r="J381" s="63">
        <f t="shared" ref="J381" si="204">TRUNC(G381*H381,2)</f>
        <v>410.13</v>
      </c>
      <c r="K381" s="190">
        <f t="shared" ref="K381" si="205">TRUNC(G381*I381,2)</f>
        <v>525.95000000000005</v>
      </c>
    </row>
    <row r="382" spans="2:11" ht="15">
      <c r="B382" s="14" t="s">
        <v>13004</v>
      </c>
      <c r="C382" s="435" t="str">
        <f>QUANT!C1146</f>
        <v>74157/4</v>
      </c>
      <c r="D382" s="435" t="str">
        <f>QUANT!D1146</f>
        <v>SINAPI</v>
      </c>
      <c r="E382" s="436" t="str">
        <f>IFERROR(VLOOKUP($C382,'SINAPI JULHO 2018'!$1:$1048576,2,0),IFERROR(VLOOKUP($C382,'5-COMP. PROPRIA'!$B$13:$I$518,4,0),""))</f>
        <v>LANCAMENTO/APLICACAO MANUAL DE CONCRETO EM FUNDACOES</v>
      </c>
      <c r="F382" s="437" t="str">
        <f>IFERROR(VLOOKUP($C382,'SINAPI JULHO 2018'!$A:$D,3,0),IFERROR(VLOOKUP($C382,'5-COMP. PROPRIA'!$B$13:$I$518,5,0),""))</f>
        <v>M3</v>
      </c>
      <c r="G382" s="438">
        <f>QUANT!K1146</f>
        <v>1.268</v>
      </c>
      <c r="H382" s="439">
        <f>IFERROR(VLOOKUP($C382,'SINAPI JULHO 2018'!$A:$D,4,0),IFERROR(VLOOKUP($C382,'5-COMP. PROPRIA'!$B$13:$I$518,8,0),""))</f>
        <v>93.76</v>
      </c>
      <c r="I382" s="440">
        <f>H382*'4-BDI'!$E$29</f>
        <v>120.237824</v>
      </c>
      <c r="J382" s="63">
        <f t="shared" ref="J382:J385" si="206">TRUNC(G382*H382,2)</f>
        <v>118.88</v>
      </c>
      <c r="K382" s="190">
        <f t="shared" ref="K382:K385" si="207">TRUNC(G382*I382,2)</f>
        <v>152.46</v>
      </c>
    </row>
    <row r="383" spans="2:11" ht="45">
      <c r="B383" s="14" t="s">
        <v>13005</v>
      </c>
      <c r="C383" s="435">
        <f>QUANT!C1148</f>
        <v>92775</v>
      </c>
      <c r="D383" s="435" t="str">
        <f>QUANT!D1148</f>
        <v>SINAPI</v>
      </c>
      <c r="E383" s="436" t="str">
        <f>IFERROR(VLOOKUP($C383,'SINAPI JULHO 2018'!$1:$1048576,2,0),IFERROR(VLOOKUP($C383,'5-COMP. PROPRIA'!$B$13:$I$518,4,0),""))</f>
        <v>ARMAÇÃO DE PILAR OU VIGA DE UMA ESTRUTURA CONVENCIONAL DE CONCRETO ARMADO EM UMA EDIFICAÇÃO TÉRREA OU SOBRADO UTILIZANDO AÇO CA-60 DE 5,0 MM - MONTAGEM. AF_12/2015</v>
      </c>
      <c r="F383" s="437" t="str">
        <f>IFERROR(VLOOKUP($C383,'SINAPI JULHO 2018'!$A:$D,3,0),IFERROR(VLOOKUP($C383,'5-COMP. PROPRIA'!$B$13:$I$518,5,0),""))</f>
        <v>KG</v>
      </c>
      <c r="G383" s="438">
        <f>QUANT!K1148</f>
        <v>16.115824312500006</v>
      </c>
      <c r="H383" s="439">
        <f>IFERROR(VLOOKUP($C383,'SINAPI JULHO 2018'!$A:$D,4,0),IFERROR(VLOOKUP($C383,'5-COMP. PROPRIA'!$B$13:$I$518,8,0),""))</f>
        <v>11.07</v>
      </c>
      <c r="I383" s="440">
        <f>H383*'4-BDI'!$E$29</f>
        <v>14.196168</v>
      </c>
      <c r="J383" s="63">
        <f t="shared" si="206"/>
        <v>178.4</v>
      </c>
      <c r="K383" s="190">
        <f t="shared" si="207"/>
        <v>228.78</v>
      </c>
    </row>
    <row r="384" spans="2:11" ht="45">
      <c r="B384" s="14" t="s">
        <v>13006</v>
      </c>
      <c r="C384" s="435">
        <f>QUANT!C1154</f>
        <v>92762</v>
      </c>
      <c r="D384" s="435" t="str">
        <f>QUANT!D1154</f>
        <v>SINAPI</v>
      </c>
      <c r="E384" s="436" t="str">
        <f>IFERROR(VLOOKUP($C384,'SINAPI JULHO 2018'!$1:$1048576,2,0),IFERROR(VLOOKUP($C384,'5-COMP. PROPRIA'!$B$13:$I$518,4,0),""))</f>
        <v>ARMAÇÃO DE PILAR OU VIGA DE UMA ESTRUTURA CONVENCIONAL DE CONCRETO ARMADO EM UM EDIFÍCIO DE MÚLTIPLOS PAVIMENTOS UTILIZANDO AÇO CA-50 DE 10,0 MM - MONTAGEM. AF_12/2015</v>
      </c>
      <c r="F384" s="437" t="str">
        <f>IFERROR(VLOOKUP($C384,'SINAPI JULHO 2018'!$A:$D,3,0),IFERROR(VLOOKUP($C384,'5-COMP. PROPRIA'!$B$13:$I$518,5,0),""))</f>
        <v>KG</v>
      </c>
      <c r="G384" s="438">
        <f>QUANT!K1154</f>
        <v>78.13733000000002</v>
      </c>
      <c r="H384" s="439">
        <f>IFERROR(VLOOKUP($C384,'SINAPI JULHO 2018'!$A:$D,4,0),IFERROR(VLOOKUP($C384,'5-COMP. PROPRIA'!$B$13:$I$518,8,0),""))</f>
        <v>6.58</v>
      </c>
      <c r="I384" s="440">
        <f>H384*'4-BDI'!$E$29</f>
        <v>8.4381920000000008</v>
      </c>
      <c r="J384" s="63">
        <f t="shared" si="206"/>
        <v>514.14</v>
      </c>
      <c r="K384" s="190">
        <f t="shared" si="207"/>
        <v>659.33</v>
      </c>
    </row>
    <row r="385" spans="2:11" ht="45">
      <c r="B385" s="14" t="s">
        <v>13007</v>
      </c>
      <c r="C385" s="435">
        <f>QUANT!C1160</f>
        <v>92412</v>
      </c>
      <c r="D385" s="435" t="str">
        <f>QUANT!D1160</f>
        <v>SINAPI</v>
      </c>
      <c r="E385" s="436" t="str">
        <f>IFERROR(VLOOKUP($C385,'SINAPI JULHO 2018'!$1:$1048576,2,0),IFERROR(VLOOKUP($C385,'5-COMP. PROPRIA'!$B$13:$I$518,4,0),""))</f>
        <v>MONTAGEM E DESMONTAGEM DE FÔRMA DE PILARES RETANGULARES E ESTRUTURAS SIMILARES COM ÁREA MÉDIA DAS SEÇÕES MENOR OU IGUAL A 0,25 M², PÉ-DIREITO SIMPLES, EM MADEIRA SERRADA, 4 UTILIZAÇÕES. AF_12/2015</v>
      </c>
      <c r="F385" s="437" t="str">
        <f>IFERROR(VLOOKUP($C385,'SINAPI JULHO 2018'!$A:$D,3,0),IFERROR(VLOOKUP($C385,'5-COMP. PROPRIA'!$B$13:$I$518,5,0),""))</f>
        <v>M2</v>
      </c>
      <c r="G385" s="438">
        <f>QUANT!K1160</f>
        <v>25.36</v>
      </c>
      <c r="H385" s="439">
        <f>IFERROR(VLOOKUP($C385,'SINAPI JULHO 2018'!$A:$D,4,0),IFERROR(VLOOKUP($C385,'5-COMP. PROPRIA'!$B$13:$I$518,8,0),""))</f>
        <v>61.12</v>
      </c>
      <c r="I385" s="440">
        <f>H385*'4-BDI'!$E$29</f>
        <v>78.380287999999993</v>
      </c>
      <c r="J385" s="63">
        <f t="shared" si="206"/>
        <v>1550</v>
      </c>
      <c r="K385" s="190">
        <f t="shared" si="207"/>
        <v>1987.72</v>
      </c>
    </row>
    <row r="386" spans="2:11" ht="15">
      <c r="B386" s="314" t="s">
        <v>13008</v>
      </c>
      <c r="C386" s="96"/>
      <c r="D386" s="96"/>
      <c r="E386" s="96" t="str">
        <f>QUANT!E1165</f>
        <v>VEDAÇÃO EM ALVENARIA DE BLOCO CERAMICO</v>
      </c>
      <c r="F386" s="178"/>
      <c r="G386" s="146"/>
      <c r="H386" s="145"/>
      <c r="I386" s="219"/>
      <c r="J386" s="65"/>
      <c r="K386" s="191"/>
    </row>
    <row r="387" spans="2:11" ht="60">
      <c r="B387" s="14" t="s">
        <v>13009</v>
      </c>
      <c r="C387" s="435">
        <f>QUANT!C1167</f>
        <v>89977</v>
      </c>
      <c r="D387" s="435" t="str">
        <f>QUANT!D1167</f>
        <v>SINAPI</v>
      </c>
      <c r="E387" s="436" t="str">
        <f>IFERROR(VLOOKUP($C387,'SINAPI JULHO 2018'!$1:$1048576,2,0),IFERROR(VLOOKUP($C387,'5-COMP. PROPRIA'!$B$13:$I$518,4,0),""))</f>
        <v>(COMPOSIÇÃO REPRESENTATIVA) DO SERVIÇO DE ALVENARIA DE VEDAÇÃO DE BLOCOS VAZADOS DE CERÂMICA DE 14X9X19CM (ESPESSURA 14CM, BLOCO DEITADO), PARA EDIFICAÇÃO HABITACIONAL UNIFAMILIAR (CASA) E EDIFICAÇÃO PÚBLICA PADRÃO. AF_12/2014</v>
      </c>
      <c r="F387" s="437" t="str">
        <f>IFERROR(VLOOKUP($C387,'SINAPI JULHO 2018'!$A:$D,3,0),IFERROR(VLOOKUP($C387,'5-COMP. PROPRIA'!$B$13:$I$518,5,0),""))</f>
        <v>M2</v>
      </c>
      <c r="G387" s="438">
        <f>QUANT!K1167</f>
        <v>51.109999999999992</v>
      </c>
      <c r="H387" s="439">
        <f>IFERROR(VLOOKUP($C387,'SINAPI JULHO 2018'!$A:$D,4,0),IFERROR(VLOOKUP($C387,'5-COMP. PROPRIA'!$B$13:$I$518,8,0),""))</f>
        <v>101.04</v>
      </c>
      <c r="I387" s="440">
        <f>H387*'4-BDI'!$E$29</f>
        <v>129.57369600000001</v>
      </c>
      <c r="J387" s="63">
        <f t="shared" ref="J387" si="208">TRUNC(G387*H387,2)</f>
        <v>5164.1499999999996</v>
      </c>
      <c r="K387" s="190">
        <f t="shared" ref="K387" si="209">TRUNC(G387*I387,2)</f>
        <v>6622.51</v>
      </c>
    </row>
    <row r="388" spans="2:11" ht="45">
      <c r="B388" s="14" t="s">
        <v>13010</v>
      </c>
      <c r="C388" s="435">
        <f>QUANT!C1171</f>
        <v>87894</v>
      </c>
      <c r="D388" s="435" t="str">
        <f>QUANT!D1171</f>
        <v>SINAPI</v>
      </c>
      <c r="E388" s="436" t="str">
        <f>IFERROR(VLOOKUP($C388,'SINAPI JULHO 2018'!$1:$1048576,2,0),IFERROR(VLOOKUP($C388,'5-COMP. PROPRIA'!$B$13:$I$518,4,0),""))</f>
        <v>CHAPISCO APLICADO EM ALVENARIA (SEM PRESENÇA DE VÃOS) E ESTRUTURAS DE CONCRETO DE FACHADA, COM COLHER DE PEDREIRO.  ARGAMASSA TRAÇO 1:3 COM PREPARO EM BETONEIRA 400L. AF_06/2014</v>
      </c>
      <c r="F388" s="437" t="str">
        <f>IFERROR(VLOOKUP($C388,'SINAPI JULHO 2018'!$A:$D,3,0),IFERROR(VLOOKUP($C388,'5-COMP. PROPRIA'!$B$13:$I$518,5,0),""))</f>
        <v>M2</v>
      </c>
      <c r="G388" s="438">
        <f>QUANT!K1171</f>
        <v>102.21999999999998</v>
      </c>
      <c r="H388" s="439">
        <f>IFERROR(VLOOKUP($C388,'SINAPI JULHO 2018'!$A:$D,4,0),IFERROR(VLOOKUP($C388,'5-COMP. PROPRIA'!$B$13:$I$518,8,0),""))</f>
        <v>4.41</v>
      </c>
      <c r="I388" s="440">
        <f>H388*'4-BDI'!$E$29</f>
        <v>5.6553839999999997</v>
      </c>
      <c r="J388" s="63">
        <f t="shared" ref="J388:J394" si="210">TRUNC(G388*H388,2)</f>
        <v>450.79</v>
      </c>
      <c r="K388" s="190">
        <f t="shared" ref="K388:K394" si="211">TRUNC(G388*I388,2)</f>
        <v>578.09</v>
      </c>
    </row>
    <row r="389" spans="2:11" ht="60">
      <c r="B389" s="14" t="s">
        <v>13011</v>
      </c>
      <c r="C389" s="435">
        <f>QUANT!C1173</f>
        <v>87529</v>
      </c>
      <c r="D389" s="435" t="str">
        <f>QUANT!D1173</f>
        <v>SINAPI</v>
      </c>
      <c r="E389" s="436" t="str">
        <f>IFERROR(VLOOKUP($C389,'SINAPI JULHO 2018'!$1:$1048576,2,0),IFERROR(VLOOKUP($C389,'5-COMP. PROPRIA'!$B$13:$I$518,4,0),""))</f>
        <v>MASSA ÚNICA, PARA RECEBIMENTO DE PINTURA, EM ARGAMASSA TRAÇO 1:2:8, PREPARO MECÂNICO COM BETONEIRA 400L, APLICADA MANUALMENTE EM FACES INTERNAS DE PAREDES, ESPESSURA DE 20MM, COM EXECUÇÃO DE TALISCAS. AF_06/2014</v>
      </c>
      <c r="F389" s="437" t="str">
        <f>IFERROR(VLOOKUP($C389,'SINAPI JULHO 2018'!$A:$D,3,0),IFERROR(VLOOKUP($C389,'5-COMP. PROPRIA'!$B$13:$I$518,5,0),""))</f>
        <v>M2</v>
      </c>
      <c r="G389" s="438">
        <f>QUANT!K1173</f>
        <v>102.21999999999998</v>
      </c>
      <c r="H389" s="439">
        <f>IFERROR(VLOOKUP($C389,'SINAPI JULHO 2018'!$A:$D,4,0),IFERROR(VLOOKUP($C389,'5-COMP. PROPRIA'!$B$13:$I$518,8,0),""))</f>
        <v>23.86</v>
      </c>
      <c r="I389" s="440">
        <f>H389*'4-BDI'!$E$29</f>
        <v>30.598063999999997</v>
      </c>
      <c r="J389" s="63">
        <f t="shared" si="210"/>
        <v>2438.96</v>
      </c>
      <c r="K389" s="190">
        <f t="shared" si="211"/>
        <v>3127.73</v>
      </c>
    </row>
    <row r="390" spans="2:11" ht="15">
      <c r="B390" s="14" t="s">
        <v>13012</v>
      </c>
      <c r="C390" s="435" t="str">
        <f>QUANT!C1175</f>
        <v>CP-LIX-01</v>
      </c>
      <c r="D390" s="435" t="str">
        <f>QUANT!D1175</f>
        <v>PRÓRPIA</v>
      </c>
      <c r="E390" s="436" t="str">
        <f>IFERROR(VLOOKUP($C390,'SINAPI JULHO 2018'!$1:$1048576,2,0),IFERROR(VLOOKUP($C390,'5-COMP. PROPRIA'!$B$13:$I$518,4,0),""))</f>
        <v>LIXAMENTO MANUAL DE CONCRETO APARENTE</v>
      </c>
      <c r="F390" s="437" t="str">
        <f>IFERROR(VLOOKUP($C390,'SINAPI JULHO 2018'!$A:$D,3,0),IFERROR(VLOOKUP($C390,'5-COMP. PROPRIA'!$B$13:$I$518,5,0),""))</f>
        <v>M2</v>
      </c>
      <c r="G390" s="438">
        <f>QUANT!K1175</f>
        <v>145.74</v>
      </c>
      <c r="H390" s="439">
        <f>IFERROR(VLOOKUP($C390,'SINAPI JULHO 2018'!$A:$D,4,0),IFERROR(VLOOKUP($C390,'5-COMP. PROPRIA'!$B$13:$I$518,8,0),""))</f>
        <v>3.7700000000000005</v>
      </c>
      <c r="I390" s="440">
        <f>H390*'4-BDI'!$E$29</f>
        <v>4.8346480000000005</v>
      </c>
      <c r="J390" s="63">
        <f t="shared" si="210"/>
        <v>549.42999999999995</v>
      </c>
      <c r="K390" s="190">
        <f t="shared" si="211"/>
        <v>704.6</v>
      </c>
    </row>
    <row r="391" spans="2:11" ht="30">
      <c r="B391" s="14" t="s">
        <v>13013</v>
      </c>
      <c r="C391" s="435">
        <f>QUANT!C1177</f>
        <v>88485</v>
      </c>
      <c r="D391" s="435" t="str">
        <f>QUANT!D1177</f>
        <v>SINAPI</v>
      </c>
      <c r="E391" s="436" t="str">
        <f>IFERROR(VLOOKUP($C391,'SINAPI JULHO 2018'!$1:$1048576,2,0),IFERROR(VLOOKUP($C391,'5-COMP. PROPRIA'!$B$13:$I$518,4,0),""))</f>
        <v>APLICAÇÃO DE FUNDO SELADOR ACRÍLICO EM PAREDES, UMA DEMÃO. AF_06/2014</v>
      </c>
      <c r="F391" s="437" t="str">
        <f>IFERROR(VLOOKUP($C391,'SINAPI JULHO 2018'!$A:$D,3,0),IFERROR(VLOOKUP($C391,'5-COMP. PROPRIA'!$B$13:$I$518,5,0),""))</f>
        <v>M2</v>
      </c>
      <c r="G391" s="438">
        <f>QUANT!K1177</f>
        <v>145.74</v>
      </c>
      <c r="H391" s="439">
        <f>IFERROR(VLOOKUP($C391,'SINAPI JULHO 2018'!$A:$D,4,0),IFERROR(VLOOKUP($C391,'5-COMP. PROPRIA'!$B$13:$I$518,8,0),""))</f>
        <v>1.6</v>
      </c>
      <c r="I391" s="440">
        <f>H391*'4-BDI'!$E$29</f>
        <v>2.0518399999999999</v>
      </c>
      <c r="J391" s="63">
        <f t="shared" si="210"/>
        <v>233.18</v>
      </c>
      <c r="K391" s="190">
        <f t="shared" si="211"/>
        <v>299.02999999999997</v>
      </c>
    </row>
    <row r="392" spans="2:11" ht="30">
      <c r="B392" s="14" t="s">
        <v>13014</v>
      </c>
      <c r="C392" s="435">
        <f>QUANT!C1179</f>
        <v>88489</v>
      </c>
      <c r="D392" s="435" t="str">
        <f>QUANT!D1179</f>
        <v>SINAPI</v>
      </c>
      <c r="E392" s="436" t="str">
        <f>IFERROR(VLOOKUP($C392,'SINAPI JULHO 2018'!$1:$1048576,2,0),IFERROR(VLOOKUP($C392,'5-COMP. PROPRIA'!$B$13:$I$518,4,0),""))</f>
        <v>APLICAÇÃO MANUAL DE PINTURA COM TINTA LÁTEX ACRÍLICA EM PAREDES, DUAS DEMÃOS. AF_06/2014</v>
      </c>
      <c r="F392" s="437" t="str">
        <f>IFERROR(VLOOKUP($C392,'SINAPI JULHO 2018'!$A:$D,3,0),IFERROR(VLOOKUP($C392,'5-COMP. PROPRIA'!$B$13:$I$518,5,0),""))</f>
        <v>M2</v>
      </c>
      <c r="G392" s="438">
        <f>QUANT!K1179</f>
        <v>111.04000000000002</v>
      </c>
      <c r="H392" s="439">
        <f>IFERROR(VLOOKUP($C392,'SINAPI JULHO 2018'!$A:$D,4,0),IFERROR(VLOOKUP($C392,'5-COMP. PROPRIA'!$B$13:$I$518,8,0),""))</f>
        <v>9.69</v>
      </c>
      <c r="I392" s="440">
        <f>H392*'4-BDI'!$E$29</f>
        <v>12.426456</v>
      </c>
      <c r="J392" s="63">
        <f t="shared" si="210"/>
        <v>1075.97</v>
      </c>
      <c r="K392" s="190">
        <f t="shared" si="211"/>
        <v>1379.83</v>
      </c>
    </row>
    <row r="393" spans="2:11" ht="15">
      <c r="B393" s="14" t="s">
        <v>13015</v>
      </c>
      <c r="C393" s="435" t="str">
        <f>QUANT!C1181</f>
        <v>CP-PIN-02</v>
      </c>
      <c r="D393" s="435" t="str">
        <f>QUANT!D1181</f>
        <v>PRÓRPIA</v>
      </c>
      <c r="E393" s="436" t="str">
        <f>IFERROR(VLOOKUP($C393,'SINAPI JULHO 2018'!$1:$1048576,2,0),IFERROR(VLOOKUP($C393,'5-COMP. PROPRIA'!$B$13:$I$518,4,0),""))</f>
        <v xml:space="preserve">PINTURA COM TINTA ESMALTE SINTÉTICO </v>
      </c>
      <c r="F393" s="437" t="str">
        <f>IFERROR(VLOOKUP($C393,'SINAPI JULHO 2018'!$A:$D,3,0),IFERROR(VLOOKUP($C393,'5-COMP. PROPRIA'!$B$13:$I$518,5,0),""))</f>
        <v>M2</v>
      </c>
      <c r="G393" s="438">
        <f>QUANT!K1181</f>
        <v>41.64</v>
      </c>
      <c r="H393" s="439">
        <f>IFERROR(VLOOKUP($C393,'SINAPI JULHO 2018'!$A:$D,4,0),IFERROR(VLOOKUP($C393,'5-COMP. PROPRIA'!$B$13:$I$518,8,0),""))</f>
        <v>10.93</v>
      </c>
      <c r="I393" s="440">
        <f>H393*'4-BDI'!$E$29</f>
        <v>14.016632</v>
      </c>
      <c r="J393" s="63">
        <f t="shared" si="210"/>
        <v>455.12</v>
      </c>
      <c r="K393" s="190">
        <f t="shared" si="211"/>
        <v>583.65</v>
      </c>
    </row>
    <row r="394" spans="2:11" ht="15">
      <c r="B394" s="14" t="s">
        <v>13016</v>
      </c>
      <c r="C394" s="435" t="str">
        <f>QUANT!C1183</f>
        <v>CP-PIN-01</v>
      </c>
      <c r="D394" s="435" t="str">
        <f>QUANT!D1183</f>
        <v>PRÓRPIA</v>
      </c>
      <c r="E394" s="436" t="str">
        <f>IFERROR(VLOOKUP($C394,'SINAPI JULHO 2018'!$1:$1048576,2,0),IFERROR(VLOOKUP($C394,'5-COMP. PROPRIA'!$B$13:$I$518,4,0),""))</f>
        <v xml:space="preserve">PINTURA DE LOGOMARCA  E NOMENCLATURA </v>
      </c>
      <c r="F394" s="437" t="str">
        <f>IFERROR(VLOOKUP($C394,'SINAPI JULHO 2018'!$A:$D,3,0),IFERROR(VLOOKUP($C394,'5-COMP. PROPRIA'!$B$13:$I$518,5,0),""))</f>
        <v>M2</v>
      </c>
      <c r="G394" s="438">
        <f>QUANT!K1183</f>
        <v>20</v>
      </c>
      <c r="H394" s="439">
        <f>IFERROR(VLOOKUP($C394,'SINAPI JULHO 2018'!$A:$D,4,0),IFERROR(VLOOKUP($C394,'5-COMP. PROPRIA'!$B$13:$I$518,8,0),""))</f>
        <v>50.529999999999994</v>
      </c>
      <c r="I394" s="440">
        <f>H394*'4-BDI'!$E$29</f>
        <v>64.799671999999987</v>
      </c>
      <c r="J394" s="63">
        <f t="shared" si="210"/>
        <v>1010.6</v>
      </c>
      <c r="K394" s="190">
        <f t="shared" si="211"/>
        <v>1295.99</v>
      </c>
    </row>
    <row r="395" spans="2:11" ht="15">
      <c r="B395" s="526" t="s">
        <v>12756</v>
      </c>
      <c r="C395" s="527"/>
      <c r="D395" s="527"/>
      <c r="E395" s="527"/>
      <c r="F395" s="527"/>
      <c r="G395" s="527"/>
      <c r="H395" s="527"/>
      <c r="I395" s="294"/>
      <c r="J395" s="189">
        <f>SUM(J317:J394)</f>
        <v>100324.70999999996</v>
      </c>
      <c r="K395" s="192">
        <f>SUM(K317:K394)</f>
        <v>128656.52000000003</v>
      </c>
    </row>
    <row r="396" spans="2:11" ht="15">
      <c r="B396" s="305" t="s">
        <v>13017</v>
      </c>
      <c r="C396" s="306"/>
      <c r="D396" s="307"/>
      <c r="E396" s="308" t="str">
        <f>QUANT!E1185</f>
        <v>BILHETERIA SECUNDARIA</v>
      </c>
      <c r="F396" s="309"/>
      <c r="G396" s="310"/>
      <c r="H396" s="311"/>
      <c r="I396" s="311"/>
      <c r="J396" s="312"/>
      <c r="K396" s="313"/>
    </row>
    <row r="397" spans="2:11" ht="15">
      <c r="B397" s="362" t="s">
        <v>13018</v>
      </c>
      <c r="C397" s="363"/>
      <c r="D397" s="363"/>
      <c r="E397" s="363" t="str">
        <f>QUANT!E1189</f>
        <v xml:space="preserve">SAPATAS </v>
      </c>
      <c r="F397" s="364"/>
      <c r="G397" s="365"/>
      <c r="H397" s="366"/>
      <c r="I397" s="367"/>
      <c r="J397" s="368"/>
      <c r="K397" s="369"/>
    </row>
    <row r="398" spans="2:11" ht="30">
      <c r="B398" s="14" t="s">
        <v>13019</v>
      </c>
      <c r="C398" s="435">
        <f>QUANT!C1191</f>
        <v>96523</v>
      </c>
      <c r="D398" s="435" t="str">
        <f>QUANT!D1191</f>
        <v>SINAPI</v>
      </c>
      <c r="E398" s="436" t="str">
        <f>IFERROR(VLOOKUP($C398,'SINAPI JULHO 2018'!$1:$1048576,2,0),IFERROR(VLOOKUP($C398,'5-COMP. PROPRIA'!$B$13:$I$518,4,0),""))</f>
        <v>ESCAVAÇÃO MANUAL PARA BLOCO DE COROAMENTO OU SAPATA, COM PREVISÃO DE FÔRMA. AF_06/2017</v>
      </c>
      <c r="F398" s="437" t="str">
        <f>IFERROR(VLOOKUP($C398,'SINAPI JULHO 2018'!$A:$D,3,0),IFERROR(VLOOKUP($C398,'5-COMP. PROPRIA'!$B$13:$I$518,5,0),""))</f>
        <v>M3</v>
      </c>
      <c r="G398" s="438">
        <f>QUANT!K1191</f>
        <v>1.29375</v>
      </c>
      <c r="H398" s="439">
        <f>IFERROR(VLOOKUP($C398,'SINAPI JULHO 2018'!$A:$D,4,0),IFERROR(VLOOKUP($C398,'5-COMP. PROPRIA'!$B$13:$I$518,8,0),""))</f>
        <v>64.599999999999994</v>
      </c>
      <c r="I398" s="440">
        <f>H398*'4-BDI'!$E$29</f>
        <v>82.843039999999988</v>
      </c>
      <c r="J398" s="63">
        <f t="shared" ref="J398" si="212">TRUNC(G398*H398,2)</f>
        <v>83.57</v>
      </c>
      <c r="K398" s="190">
        <f t="shared" ref="K398" si="213">TRUNC(G398*I398,2)</f>
        <v>107.17</v>
      </c>
    </row>
    <row r="399" spans="2:11" ht="30">
      <c r="B399" s="14" t="s">
        <v>13020</v>
      </c>
      <c r="C399" s="435">
        <f>QUANT!C1195</f>
        <v>96617</v>
      </c>
      <c r="D399" s="435" t="str">
        <f>QUANT!D1195</f>
        <v>SINAPI</v>
      </c>
      <c r="E399" s="436" t="str">
        <f>IFERROR(VLOOKUP($C399,'SINAPI JULHO 2018'!$1:$1048576,2,0),IFERROR(VLOOKUP($C399,'5-COMP. PROPRIA'!$B$13:$I$518,4,0),""))</f>
        <v>LASTRO DE CONCRETO MAGRO, APLICADO EM BLOCOS DE COROAMENTO OU SAPATAS, ESPESSURA DE 3 CM. AF_08/2017</v>
      </c>
      <c r="F399" s="437" t="str">
        <f>IFERROR(VLOOKUP($C399,'SINAPI JULHO 2018'!$A:$D,3,0),IFERROR(VLOOKUP($C399,'5-COMP. PROPRIA'!$B$13:$I$518,5,0),""))</f>
        <v>M2</v>
      </c>
      <c r="G399" s="438">
        <f>QUANT!K1195</f>
        <v>0.72</v>
      </c>
      <c r="H399" s="439">
        <f>IFERROR(VLOOKUP($C399,'SINAPI JULHO 2018'!$A:$D,4,0),IFERROR(VLOOKUP($C399,'5-COMP. PROPRIA'!$B$13:$I$518,8,0),""))</f>
        <v>12.49</v>
      </c>
      <c r="I399" s="440">
        <f>H399*'4-BDI'!$E$29</f>
        <v>16.017175999999999</v>
      </c>
      <c r="J399" s="63">
        <f t="shared" ref="J399:J406" si="214">TRUNC(G399*H399,2)</f>
        <v>8.99</v>
      </c>
      <c r="K399" s="190">
        <f t="shared" ref="K399:K406" si="215">TRUNC(G399*I399,2)</f>
        <v>11.53</v>
      </c>
    </row>
    <row r="400" spans="2:11" ht="30">
      <c r="B400" s="14" t="s">
        <v>13021</v>
      </c>
      <c r="C400" s="435">
        <f>QUANT!C1199</f>
        <v>94965</v>
      </c>
      <c r="D400" s="435" t="str">
        <f>QUANT!D1199</f>
        <v>SINAPI</v>
      </c>
      <c r="E400" s="436" t="str">
        <f>IFERROR(VLOOKUP($C400,'SINAPI JULHO 2018'!$1:$1048576,2,0),IFERROR(VLOOKUP($C400,'5-COMP. PROPRIA'!$B$13:$I$518,4,0),""))</f>
        <v>CONCRETO FCK = 25MPA, TRAÇO 1:2,3:2,7 (CIMENTO/ AREIA MÉDIA/ BRITA 1)  - PREPARO MECÂNICO COM BETONEIRA 400 L. AF_07/2016</v>
      </c>
      <c r="F400" s="437" t="str">
        <f>IFERROR(VLOOKUP($C400,'SINAPI JULHO 2018'!$A:$D,3,0),IFERROR(VLOOKUP($C400,'5-COMP. PROPRIA'!$B$13:$I$518,5,0),""))</f>
        <v>M3</v>
      </c>
      <c r="G400" s="438">
        <f>QUANT!K1199</f>
        <v>7.1999999999999995E-2</v>
      </c>
      <c r="H400" s="439">
        <f>IFERROR(VLOOKUP($C400,'SINAPI JULHO 2018'!$A:$D,4,0),IFERROR(VLOOKUP($C400,'5-COMP. PROPRIA'!$B$13:$I$518,8,0),""))</f>
        <v>323.45</v>
      </c>
      <c r="I400" s="440">
        <f>H400*'4-BDI'!$E$29</f>
        <v>414.79228000000001</v>
      </c>
      <c r="J400" s="63">
        <f t="shared" si="214"/>
        <v>23.28</v>
      </c>
      <c r="K400" s="190">
        <f t="shared" si="215"/>
        <v>29.86</v>
      </c>
    </row>
    <row r="401" spans="2:11" ht="15">
      <c r="B401" s="14" t="s">
        <v>13022</v>
      </c>
      <c r="C401" s="435" t="str">
        <f>QUANT!C1203</f>
        <v>74157/4</v>
      </c>
      <c r="D401" s="435" t="str">
        <f>QUANT!D1203</f>
        <v>SINAPI</v>
      </c>
      <c r="E401" s="436" t="str">
        <f>IFERROR(VLOOKUP($C401,'SINAPI JULHO 2018'!$1:$1048576,2,0),IFERROR(VLOOKUP($C401,'5-COMP. PROPRIA'!$B$13:$I$518,4,0),""))</f>
        <v>LANCAMENTO/APLICACAO MANUAL DE CONCRETO EM FUNDACOES</v>
      </c>
      <c r="F401" s="437" t="str">
        <f>IFERROR(VLOOKUP($C401,'SINAPI JULHO 2018'!$A:$D,3,0),IFERROR(VLOOKUP($C401,'5-COMP. PROPRIA'!$B$13:$I$518,5,0),""))</f>
        <v>M3</v>
      </c>
      <c r="G401" s="438">
        <f>QUANT!K1203</f>
        <v>7.1999999999999995E-2</v>
      </c>
      <c r="H401" s="439">
        <f>IFERROR(VLOOKUP($C401,'SINAPI JULHO 2018'!$A:$D,4,0),IFERROR(VLOOKUP($C401,'5-COMP. PROPRIA'!$B$13:$I$518,8,0),""))</f>
        <v>93.76</v>
      </c>
      <c r="I401" s="440">
        <f>H401*'4-BDI'!$E$29</f>
        <v>120.237824</v>
      </c>
      <c r="J401" s="63">
        <f t="shared" si="214"/>
        <v>6.75</v>
      </c>
      <c r="K401" s="190">
        <f t="shared" si="215"/>
        <v>8.65</v>
      </c>
    </row>
    <row r="402" spans="2:11" ht="30">
      <c r="B402" s="14" t="s">
        <v>13023</v>
      </c>
      <c r="C402" s="435">
        <f>QUANT!C1205</f>
        <v>96545</v>
      </c>
      <c r="D402" s="435" t="str">
        <f>QUANT!D1205</f>
        <v>SINAPI</v>
      </c>
      <c r="E402" s="436" t="str">
        <f>IFERROR(VLOOKUP($C402,'SINAPI JULHO 2018'!$1:$1048576,2,0),IFERROR(VLOOKUP($C402,'5-COMP. PROPRIA'!$B$13:$I$518,4,0),""))</f>
        <v>ARMAÇÃO DE BLOCO, VIGA BALDRAME OU SAPATA UTILIZANDO AÇO CA-50 DE 8 MM - MONTAGEM. AF_06/2017</v>
      </c>
      <c r="F402" s="437" t="str">
        <f>IFERROR(VLOOKUP($C402,'SINAPI JULHO 2018'!$A:$D,3,0),IFERROR(VLOOKUP($C402,'5-COMP. PROPRIA'!$B$13:$I$518,5,0),""))</f>
        <v>KG</v>
      </c>
      <c r="G402" s="438">
        <f>QUANT!K1205</f>
        <v>5.3636224000000015</v>
      </c>
      <c r="H402" s="439">
        <f>IFERROR(VLOOKUP($C402,'SINAPI JULHO 2018'!$A:$D,4,0),IFERROR(VLOOKUP($C402,'5-COMP. PROPRIA'!$B$13:$I$518,8,0),""))</f>
        <v>9.19</v>
      </c>
      <c r="I402" s="440">
        <f>H402*'4-BDI'!$E$29</f>
        <v>11.785255999999999</v>
      </c>
      <c r="J402" s="63">
        <f t="shared" si="214"/>
        <v>49.29</v>
      </c>
      <c r="K402" s="190">
        <f t="shared" si="215"/>
        <v>63.21</v>
      </c>
    </row>
    <row r="403" spans="2:11" ht="30">
      <c r="B403" s="14" t="s">
        <v>13024</v>
      </c>
      <c r="C403" s="435">
        <f>QUANT!C1210</f>
        <v>96529</v>
      </c>
      <c r="D403" s="435" t="str">
        <f>QUANT!D1210</f>
        <v>SINAPI</v>
      </c>
      <c r="E403" s="436" t="str">
        <f>IFERROR(VLOOKUP($C403,'SINAPI JULHO 2018'!$1:$1048576,2,0),IFERROR(VLOOKUP($C403,'5-COMP. PROPRIA'!$B$13:$I$518,4,0),""))</f>
        <v>FABRICAÇÃO, MONTAGEM E DESMONTAGEM DE FÔRMA PARA SAPATA, EM MADEIRA SERRADA, E=25 MM, 1 UTILIZAÇÃO. AF_06/2017</v>
      </c>
      <c r="F403" s="437" t="str">
        <f>IFERROR(VLOOKUP($C403,'SINAPI JULHO 2018'!$A:$D,3,0),IFERROR(VLOOKUP($C403,'5-COMP. PROPRIA'!$B$13:$I$518,5,0),""))</f>
        <v>M2</v>
      </c>
      <c r="G403" s="438">
        <f>QUANT!K1210</f>
        <v>0.48</v>
      </c>
      <c r="H403" s="439">
        <f>IFERROR(VLOOKUP($C403,'SINAPI JULHO 2018'!$A:$D,4,0),IFERROR(VLOOKUP($C403,'5-COMP. PROPRIA'!$B$13:$I$518,8,0),""))</f>
        <v>156.33000000000001</v>
      </c>
      <c r="I403" s="440">
        <f>H403*'4-BDI'!$E$29</f>
        <v>200.47759200000002</v>
      </c>
      <c r="J403" s="63">
        <f t="shared" si="214"/>
        <v>75.03</v>
      </c>
      <c r="K403" s="190">
        <f t="shared" si="215"/>
        <v>96.22</v>
      </c>
    </row>
    <row r="404" spans="2:11" ht="15">
      <c r="B404" s="14" t="s">
        <v>13025</v>
      </c>
      <c r="C404" s="435">
        <f>QUANT!C1214</f>
        <v>93382</v>
      </c>
      <c r="D404" s="435" t="str">
        <f>QUANT!D1214</f>
        <v>SINAPI</v>
      </c>
      <c r="E404" s="436" t="str">
        <f>IFERROR(VLOOKUP($C404,'SINAPI JULHO 2018'!$1:$1048576,2,0),IFERROR(VLOOKUP($C404,'5-COMP. PROPRIA'!$B$13:$I$518,4,0),""))</f>
        <v>REATERRO MANUAL DE VALAS COM COMPACTAÇÃO MECANIZADA. AF_04/2016</v>
      </c>
      <c r="F404" s="437" t="str">
        <f>IFERROR(VLOOKUP($C404,'SINAPI JULHO 2018'!$A:$D,3,0),IFERROR(VLOOKUP($C404,'5-COMP. PROPRIA'!$B$13:$I$518,5,0),""))</f>
        <v>M3</v>
      </c>
      <c r="G404" s="438">
        <f>QUANT!K1214</f>
        <v>1.2217499999999999</v>
      </c>
      <c r="H404" s="439">
        <f>IFERROR(VLOOKUP($C404,'SINAPI JULHO 2018'!$A:$D,4,0),IFERROR(VLOOKUP($C404,'5-COMP. PROPRIA'!$B$13:$I$518,8,0),""))</f>
        <v>19.27</v>
      </c>
      <c r="I404" s="440">
        <f>H404*'4-BDI'!$E$29</f>
        <v>24.711848</v>
      </c>
      <c r="J404" s="63">
        <f t="shared" si="214"/>
        <v>23.54</v>
      </c>
      <c r="K404" s="190">
        <f t="shared" si="215"/>
        <v>30.19</v>
      </c>
    </row>
    <row r="405" spans="2:11" ht="15">
      <c r="B405" s="14" t="s">
        <v>13026</v>
      </c>
      <c r="C405" s="435">
        <f>QUANT!C1218</f>
        <v>72897</v>
      </c>
      <c r="D405" s="435" t="str">
        <f>QUANT!D1218</f>
        <v>SINAPI</v>
      </c>
      <c r="E405" s="436" t="str">
        <f>IFERROR(VLOOKUP($C405,'SINAPI JULHO 2018'!$1:$1048576,2,0),IFERROR(VLOOKUP($C405,'5-COMP. PROPRIA'!$B$13:$I$518,4,0),""))</f>
        <v>CARGA MANUAL DE ENTULHO EM CAMINHAO BASCULANTE 6 M3</v>
      </c>
      <c r="F405" s="437" t="str">
        <f>IFERROR(VLOOKUP($C405,'SINAPI JULHO 2018'!$A:$D,3,0),IFERROR(VLOOKUP($C405,'5-COMP. PROPRIA'!$B$13:$I$518,5,0),""))</f>
        <v>M3</v>
      </c>
      <c r="G405" s="438">
        <f>QUANT!K1218</f>
        <v>9.3600000000000003E-2</v>
      </c>
      <c r="H405" s="439">
        <f>IFERROR(VLOOKUP($C405,'SINAPI JULHO 2018'!$A:$D,4,0),IFERROR(VLOOKUP($C405,'5-COMP. PROPRIA'!$B$13:$I$518,8,0),""))</f>
        <v>17.34</v>
      </c>
      <c r="I405" s="440">
        <f>H405*'4-BDI'!$E$29</f>
        <v>22.236816000000001</v>
      </c>
      <c r="J405" s="63">
        <f t="shared" si="214"/>
        <v>1.62</v>
      </c>
      <c r="K405" s="190">
        <f t="shared" si="215"/>
        <v>2.08</v>
      </c>
    </row>
    <row r="406" spans="2:11" ht="30">
      <c r="B406" s="14" t="s">
        <v>13027</v>
      </c>
      <c r="C406" s="435">
        <f>QUANT!C1222</f>
        <v>97914</v>
      </c>
      <c r="D406" s="435" t="str">
        <f>QUANT!D1222</f>
        <v>SINAPI</v>
      </c>
      <c r="E406" s="436" t="str">
        <f>IFERROR(VLOOKUP($C406,'SINAPI JULHO 2018'!$1:$1048576,2,0),IFERROR(VLOOKUP($C406,'5-COMP. PROPRIA'!$B$13:$I$518,4,0),""))</f>
        <v>TRANSPORTE COM CAMINHÃO BASCULANTE DE 6 M3, EM VIA URBANA PAVIMENTADA, DMT ATÉ 30 KM (UNIDADE: M3XKM). AF_01/2018</v>
      </c>
      <c r="F406" s="437" t="str">
        <f>IFERROR(VLOOKUP($C406,'SINAPI JULHO 2018'!$A:$D,3,0),IFERROR(VLOOKUP($C406,'5-COMP. PROPRIA'!$B$13:$I$518,5,0),""))</f>
        <v>M3XKM</v>
      </c>
      <c r="G406" s="438">
        <f>QUANT!K1222</f>
        <v>0.70200000000000007</v>
      </c>
      <c r="H406" s="439">
        <f>IFERROR(VLOOKUP($C406,'SINAPI JULHO 2018'!$A:$D,4,0),IFERROR(VLOOKUP($C406,'5-COMP. PROPRIA'!$B$13:$I$518,8,0),""))</f>
        <v>1.52</v>
      </c>
      <c r="I406" s="440">
        <f>H406*'4-BDI'!$E$29</f>
        <v>1.9492480000000001</v>
      </c>
      <c r="J406" s="63">
        <f t="shared" si="214"/>
        <v>1.06</v>
      </c>
      <c r="K406" s="190">
        <f t="shared" si="215"/>
        <v>1.36</v>
      </c>
    </row>
    <row r="407" spans="2:11" ht="15">
      <c r="B407" s="362" t="s">
        <v>13028</v>
      </c>
      <c r="C407" s="363"/>
      <c r="D407" s="363"/>
      <c r="E407" s="363" t="str">
        <f>QUANT!E1226</f>
        <v>BALDRAMES</v>
      </c>
      <c r="F407" s="364"/>
      <c r="G407" s="365"/>
      <c r="H407" s="366"/>
      <c r="I407" s="367"/>
      <c r="J407" s="368"/>
      <c r="K407" s="369"/>
    </row>
    <row r="408" spans="2:11" ht="30">
      <c r="B408" s="14" t="s">
        <v>13029</v>
      </c>
      <c r="C408" s="435">
        <f>QUANT!C1228</f>
        <v>96527</v>
      </c>
      <c r="D408" s="435" t="str">
        <f>QUANT!D1228</f>
        <v>SINAPI</v>
      </c>
      <c r="E408" s="436" t="str">
        <f>IFERROR(VLOOKUP($C408,'SINAPI JULHO 2018'!$1:$1048576,2,0),IFERROR(VLOOKUP($C408,'5-COMP. PROPRIA'!$B$13:$I$518,4,0),""))</f>
        <v>ESCAVAÇÃO MANUAL DE VALA PARA VIGA BALDRAME, COM PREVISÃO DE FÔRMA. AF_06/2017</v>
      </c>
      <c r="F408" s="437" t="str">
        <f>IFERROR(VLOOKUP($C408,'SINAPI JULHO 2018'!$A:$D,3,0),IFERROR(VLOOKUP($C408,'5-COMP. PROPRIA'!$B$13:$I$518,5,0),""))</f>
        <v>M3</v>
      </c>
      <c r="G408" s="438">
        <f>QUANT!K1228</f>
        <v>2.6735852000000007</v>
      </c>
      <c r="H408" s="439">
        <f>IFERROR(VLOOKUP($C408,'SINAPI JULHO 2018'!$A:$D,4,0),IFERROR(VLOOKUP($C408,'5-COMP. PROPRIA'!$B$13:$I$518,8,0),""))</f>
        <v>84.88</v>
      </c>
      <c r="I408" s="440">
        <f>H408*'4-BDI'!$E$29</f>
        <v>108.850112</v>
      </c>
      <c r="J408" s="63">
        <f t="shared" ref="J408" si="216">TRUNC(G408*H408,2)</f>
        <v>226.93</v>
      </c>
      <c r="K408" s="190">
        <f t="shared" ref="K408" si="217">TRUNC(G408*I408,2)</f>
        <v>291.02</v>
      </c>
    </row>
    <row r="409" spans="2:11" ht="30">
      <c r="B409" s="14" t="s">
        <v>13030</v>
      </c>
      <c r="C409" s="435">
        <f>QUANT!C1232</f>
        <v>96617</v>
      </c>
      <c r="D409" s="435" t="str">
        <f>QUANT!D1232</f>
        <v>SINAPI</v>
      </c>
      <c r="E409" s="436" t="str">
        <f>IFERROR(VLOOKUP($C409,'SINAPI JULHO 2018'!$1:$1048576,2,0),IFERROR(VLOOKUP($C409,'5-COMP. PROPRIA'!$B$13:$I$518,4,0),""))</f>
        <v>LASTRO DE CONCRETO MAGRO, APLICADO EM BLOCOS DE COROAMENTO OU SAPATAS, ESPESSURA DE 3 CM. AF_08/2017</v>
      </c>
      <c r="F409" s="437" t="str">
        <f>IFERROR(VLOOKUP($C409,'SINAPI JULHO 2018'!$A:$D,3,0),IFERROR(VLOOKUP($C409,'5-COMP. PROPRIA'!$B$13:$I$518,5,0),""))</f>
        <v>M2</v>
      </c>
      <c r="G409" s="438">
        <f>QUANT!K1232</f>
        <v>1.5218000000000003</v>
      </c>
      <c r="H409" s="439">
        <f>IFERROR(VLOOKUP($C409,'SINAPI JULHO 2018'!$A:$D,4,0),IFERROR(VLOOKUP($C409,'5-COMP. PROPRIA'!$B$13:$I$518,8,0),""))</f>
        <v>12.49</v>
      </c>
      <c r="I409" s="440">
        <f>H409*'4-BDI'!$E$29</f>
        <v>16.017175999999999</v>
      </c>
      <c r="J409" s="63">
        <f t="shared" ref="J409:J418" si="218">TRUNC(G409*H409,2)</f>
        <v>19</v>
      </c>
      <c r="K409" s="190">
        <f t="shared" ref="K409:K418" si="219">TRUNC(G409*I409,2)</f>
        <v>24.37</v>
      </c>
    </row>
    <row r="410" spans="2:11" ht="30">
      <c r="B410" s="14" t="s">
        <v>13031</v>
      </c>
      <c r="C410" s="435">
        <f>QUANT!C1236</f>
        <v>94965</v>
      </c>
      <c r="D410" s="435" t="str">
        <f>QUANT!D1236</f>
        <v>SINAPI</v>
      </c>
      <c r="E410" s="436" t="str">
        <f>IFERROR(VLOOKUP($C410,'SINAPI JULHO 2018'!$1:$1048576,2,0),IFERROR(VLOOKUP($C410,'5-COMP. PROPRIA'!$B$13:$I$518,4,0),""))</f>
        <v>CONCRETO FCK = 25MPA, TRAÇO 1:2,3:2,7 (CIMENTO/ AREIA MÉDIA/ BRITA 1)  - PREPARO MECÂNICO COM BETONEIRA 400 L. AF_07/2016</v>
      </c>
      <c r="F410" s="437" t="str">
        <f>IFERROR(VLOOKUP($C410,'SINAPI JULHO 2018'!$A:$D,3,0),IFERROR(VLOOKUP($C410,'5-COMP. PROPRIA'!$B$13:$I$518,5,0),""))</f>
        <v>M3</v>
      </c>
      <c r="G410" s="438">
        <f>QUANT!K1236</f>
        <v>0.60872000000000015</v>
      </c>
      <c r="H410" s="439">
        <f>IFERROR(VLOOKUP($C410,'SINAPI JULHO 2018'!$A:$D,4,0),IFERROR(VLOOKUP($C410,'5-COMP. PROPRIA'!$B$13:$I$518,8,0),""))</f>
        <v>323.45</v>
      </c>
      <c r="I410" s="440">
        <f>H410*'4-BDI'!$E$29</f>
        <v>414.79228000000001</v>
      </c>
      <c r="J410" s="63">
        <f t="shared" si="218"/>
        <v>196.89</v>
      </c>
      <c r="K410" s="190">
        <f t="shared" si="219"/>
        <v>252.49</v>
      </c>
    </row>
    <row r="411" spans="2:11" ht="15">
      <c r="B411" s="14" t="s">
        <v>13032</v>
      </c>
      <c r="C411" s="435" t="str">
        <f>QUANT!C1240</f>
        <v>74157/4</v>
      </c>
      <c r="D411" s="435" t="str">
        <f>QUANT!D1240</f>
        <v>SINAPI</v>
      </c>
      <c r="E411" s="436" t="str">
        <f>IFERROR(VLOOKUP($C411,'SINAPI JULHO 2018'!$1:$1048576,2,0),IFERROR(VLOOKUP($C411,'5-COMP. PROPRIA'!$B$13:$I$518,4,0),""))</f>
        <v>LANCAMENTO/APLICACAO MANUAL DE CONCRETO EM FUNDACOES</v>
      </c>
      <c r="F411" s="437" t="str">
        <f>IFERROR(VLOOKUP($C411,'SINAPI JULHO 2018'!$A:$D,3,0),IFERROR(VLOOKUP($C411,'5-COMP. PROPRIA'!$B$13:$I$518,5,0),""))</f>
        <v>M3</v>
      </c>
      <c r="G411" s="438">
        <f>QUANT!K1240</f>
        <v>0.60872000000000015</v>
      </c>
      <c r="H411" s="439">
        <f>IFERROR(VLOOKUP($C411,'SINAPI JULHO 2018'!$A:$D,4,0),IFERROR(VLOOKUP($C411,'5-COMP. PROPRIA'!$B$13:$I$518,8,0),""))</f>
        <v>93.76</v>
      </c>
      <c r="I411" s="440">
        <f>H411*'4-BDI'!$E$29</f>
        <v>120.237824</v>
      </c>
      <c r="J411" s="63">
        <f t="shared" si="218"/>
        <v>57.07</v>
      </c>
      <c r="K411" s="190">
        <f t="shared" si="219"/>
        <v>73.19</v>
      </c>
    </row>
    <row r="412" spans="2:11" ht="30">
      <c r="B412" s="14" t="s">
        <v>13033</v>
      </c>
      <c r="C412" s="435">
        <f>QUANT!C1242</f>
        <v>96543</v>
      </c>
      <c r="D412" s="435" t="str">
        <f>QUANT!D1242</f>
        <v>SINAPI</v>
      </c>
      <c r="E412" s="436" t="str">
        <f>IFERROR(VLOOKUP($C412,'SINAPI JULHO 2018'!$1:$1048576,2,0),IFERROR(VLOOKUP($C412,'5-COMP. PROPRIA'!$B$13:$I$518,4,0),""))</f>
        <v>ARMAÇÃO DE BLOCO, VIGA BALDRAME E SAPATA UTILIZANDO AÇO CA-60 DE 5 MM - MONTAGEM. AF_06/2017</v>
      </c>
      <c r="F412" s="437" t="str">
        <f>IFERROR(VLOOKUP($C412,'SINAPI JULHO 2018'!$A:$D,3,0),IFERROR(VLOOKUP($C412,'5-COMP. PROPRIA'!$B$13:$I$518,5,0),""))</f>
        <v>KG</v>
      </c>
      <c r="G412" s="438">
        <f>QUANT!K1242</f>
        <v>13.117632927083339</v>
      </c>
      <c r="H412" s="439">
        <f>IFERROR(VLOOKUP($C412,'SINAPI JULHO 2018'!$A:$D,4,0),IFERROR(VLOOKUP($C412,'5-COMP. PROPRIA'!$B$13:$I$518,8,0),""))</f>
        <v>11.01</v>
      </c>
      <c r="I412" s="440">
        <f>H412*'4-BDI'!$E$29</f>
        <v>14.119223999999999</v>
      </c>
      <c r="J412" s="63">
        <f t="shared" si="218"/>
        <v>144.41999999999999</v>
      </c>
      <c r="K412" s="190">
        <f t="shared" si="219"/>
        <v>185.21</v>
      </c>
    </row>
    <row r="413" spans="2:11" ht="30">
      <c r="B413" s="14" t="s">
        <v>13034</v>
      </c>
      <c r="C413" s="435">
        <f>QUANT!C1247</f>
        <v>96545</v>
      </c>
      <c r="D413" s="435" t="str">
        <f>QUANT!D1247</f>
        <v>SINAPI</v>
      </c>
      <c r="E413" s="436" t="str">
        <f>IFERROR(VLOOKUP($C413,'SINAPI JULHO 2018'!$1:$1048576,2,0),IFERROR(VLOOKUP($C413,'5-COMP. PROPRIA'!$B$13:$I$518,4,0),""))</f>
        <v>ARMAÇÃO DE BLOCO, VIGA BALDRAME OU SAPATA UTILIZANDO AÇO CA-50 DE 8 MM - MONTAGEM. AF_06/2017</v>
      </c>
      <c r="F413" s="437" t="str">
        <f>IFERROR(VLOOKUP($C413,'SINAPI JULHO 2018'!$A:$D,3,0),IFERROR(VLOOKUP($C413,'5-COMP. PROPRIA'!$B$13:$I$518,5,0),""))</f>
        <v>KG</v>
      </c>
      <c r="G413" s="438">
        <f>QUANT!K1247</f>
        <v>17.14781632</v>
      </c>
      <c r="H413" s="439">
        <f>IFERROR(VLOOKUP($C413,'SINAPI JULHO 2018'!$A:$D,4,0),IFERROR(VLOOKUP($C413,'5-COMP. PROPRIA'!$B$13:$I$518,8,0),""))</f>
        <v>9.19</v>
      </c>
      <c r="I413" s="440">
        <f>H413*'4-BDI'!$E$29</f>
        <v>11.785255999999999</v>
      </c>
      <c r="J413" s="63">
        <f t="shared" si="218"/>
        <v>157.58000000000001</v>
      </c>
      <c r="K413" s="190">
        <f t="shared" si="219"/>
        <v>202.09</v>
      </c>
    </row>
    <row r="414" spans="2:11" ht="30">
      <c r="B414" s="14" t="s">
        <v>13035</v>
      </c>
      <c r="C414" s="435">
        <f>QUANT!C1252</f>
        <v>96536</v>
      </c>
      <c r="D414" s="435" t="str">
        <f>QUANT!D1252</f>
        <v>SINAPI</v>
      </c>
      <c r="E414" s="436" t="str">
        <f>IFERROR(VLOOKUP($C414,'SINAPI JULHO 2018'!$1:$1048576,2,0),IFERROR(VLOOKUP($C414,'5-COMP. PROPRIA'!$B$13:$I$518,4,0),""))</f>
        <v>FABRICAÇÃO, MONTAGEM E DESMONTAGEM DE FÔRMA PARA VIGA BALDRAME, EM MADEIRA SERRADA, E=25 MM, 4 UTILIZAÇÕES. AF_06/2017</v>
      </c>
      <c r="F414" s="437" t="str">
        <f>IFERROR(VLOOKUP($C414,'SINAPI JULHO 2018'!$A:$D,3,0),IFERROR(VLOOKUP($C414,'5-COMP. PROPRIA'!$B$13:$I$518,5,0),""))</f>
        <v>M2</v>
      </c>
      <c r="G414" s="438">
        <f>QUANT!K1252</f>
        <v>8.6960000000000015</v>
      </c>
      <c r="H414" s="439">
        <f>IFERROR(VLOOKUP($C414,'SINAPI JULHO 2018'!$A:$D,4,0),IFERROR(VLOOKUP($C414,'5-COMP. PROPRIA'!$B$13:$I$518,8,0),""))</f>
        <v>37.81</v>
      </c>
      <c r="I414" s="440">
        <f>H414*'4-BDI'!$E$29</f>
        <v>48.487544</v>
      </c>
      <c r="J414" s="63">
        <f t="shared" si="218"/>
        <v>328.79</v>
      </c>
      <c r="K414" s="190">
        <f t="shared" si="219"/>
        <v>421.64</v>
      </c>
    </row>
    <row r="415" spans="2:11" ht="15">
      <c r="B415" s="14" t="s">
        <v>13036</v>
      </c>
      <c r="C415" s="435">
        <f>QUANT!C1256</f>
        <v>93382</v>
      </c>
      <c r="D415" s="435" t="str">
        <f>QUANT!D1256</f>
        <v>SINAPI</v>
      </c>
      <c r="E415" s="436" t="str">
        <f>IFERROR(VLOOKUP($C415,'SINAPI JULHO 2018'!$1:$1048576,2,0),IFERROR(VLOOKUP($C415,'5-COMP. PROPRIA'!$B$13:$I$518,4,0),""))</f>
        <v>REATERRO MANUAL DE VALAS COM COMPACTAÇÃO MECANIZADA. AF_04/2016</v>
      </c>
      <c r="F415" s="437" t="str">
        <f>IFERROR(VLOOKUP($C415,'SINAPI JULHO 2018'!$A:$D,3,0),IFERROR(VLOOKUP($C415,'5-COMP. PROPRIA'!$B$13:$I$518,5,0),""))</f>
        <v>M3</v>
      </c>
      <c r="G415" s="438">
        <f>QUANT!K1256</f>
        <v>2.0648652000000007</v>
      </c>
      <c r="H415" s="439">
        <f>IFERROR(VLOOKUP($C415,'SINAPI JULHO 2018'!$A:$D,4,0),IFERROR(VLOOKUP($C415,'5-COMP. PROPRIA'!$B$13:$I$518,8,0),""))</f>
        <v>19.27</v>
      </c>
      <c r="I415" s="440">
        <f>H415*'4-BDI'!$E$29</f>
        <v>24.711848</v>
      </c>
      <c r="J415" s="63">
        <f t="shared" si="218"/>
        <v>39.78</v>
      </c>
      <c r="K415" s="190">
        <f t="shared" si="219"/>
        <v>51.02</v>
      </c>
    </row>
    <row r="416" spans="2:11" ht="30">
      <c r="B416" s="14" t="s">
        <v>13037</v>
      </c>
      <c r="C416" s="435" t="str">
        <f>QUANT!C1260</f>
        <v>74106/1</v>
      </c>
      <c r="D416" s="435" t="str">
        <f>QUANT!D1260</f>
        <v>SINAPI</v>
      </c>
      <c r="E416" s="436" t="str">
        <f>IFERROR(VLOOKUP($C416,'SINAPI JULHO 2018'!$1:$1048576,2,0),IFERROR(VLOOKUP($C416,'5-COMP. PROPRIA'!$B$13:$I$518,4,0),""))</f>
        <v>IMPERMEABILIZACAO DE ESTRUTURAS ENTERRADAS, COM TINTA ASFALTICA, DUAS DEMAOS.</v>
      </c>
      <c r="F416" s="437" t="str">
        <f>IFERROR(VLOOKUP($C416,'SINAPI JULHO 2018'!$A:$D,3,0),IFERROR(VLOOKUP($C416,'5-COMP. PROPRIA'!$B$13:$I$518,5,0),""))</f>
        <v>M2</v>
      </c>
      <c r="G416" s="438">
        <f>QUANT!K1260</f>
        <v>10.217800000000002</v>
      </c>
      <c r="H416" s="439">
        <f>IFERROR(VLOOKUP($C416,'SINAPI JULHO 2018'!$A:$D,4,0),IFERROR(VLOOKUP($C416,'5-COMP. PROPRIA'!$B$13:$I$518,8,0),""))</f>
        <v>9.5399999999999991</v>
      </c>
      <c r="I416" s="440">
        <f>H416*'4-BDI'!$E$29</f>
        <v>12.234095999999999</v>
      </c>
      <c r="J416" s="63">
        <f t="shared" si="218"/>
        <v>97.47</v>
      </c>
      <c r="K416" s="190">
        <f t="shared" si="219"/>
        <v>125</v>
      </c>
    </row>
    <row r="417" spans="2:11" ht="15">
      <c r="B417" s="14" t="s">
        <v>13038</v>
      </c>
      <c r="C417" s="435">
        <f>QUANT!C1262</f>
        <v>72897</v>
      </c>
      <c r="D417" s="435" t="str">
        <f>QUANT!D1262</f>
        <v>SINAPI</v>
      </c>
      <c r="E417" s="436" t="str">
        <f>IFERROR(VLOOKUP($C417,'SINAPI JULHO 2018'!$1:$1048576,2,0),IFERROR(VLOOKUP($C417,'5-COMP. PROPRIA'!$B$13:$I$518,4,0),""))</f>
        <v>CARGA MANUAL DE ENTULHO EM CAMINHAO BASCULANTE 6 M3</v>
      </c>
      <c r="F417" s="437" t="str">
        <f>IFERROR(VLOOKUP($C417,'SINAPI JULHO 2018'!$A:$D,3,0),IFERROR(VLOOKUP($C417,'5-COMP. PROPRIA'!$B$13:$I$518,5,0),""))</f>
        <v>M3</v>
      </c>
      <c r="G417" s="438">
        <f>QUANT!K1262</f>
        <v>0.79133600000000026</v>
      </c>
      <c r="H417" s="439">
        <f>IFERROR(VLOOKUP($C417,'SINAPI JULHO 2018'!$A:$D,4,0),IFERROR(VLOOKUP($C417,'5-COMP. PROPRIA'!$B$13:$I$518,8,0),""))</f>
        <v>17.34</v>
      </c>
      <c r="I417" s="440">
        <f>H417*'4-BDI'!$E$29</f>
        <v>22.236816000000001</v>
      </c>
      <c r="J417" s="63">
        <f t="shared" si="218"/>
        <v>13.72</v>
      </c>
      <c r="K417" s="190">
        <f t="shared" si="219"/>
        <v>17.59</v>
      </c>
    </row>
    <row r="418" spans="2:11" ht="30">
      <c r="B418" s="14" t="s">
        <v>13039</v>
      </c>
      <c r="C418" s="435">
        <f>QUANT!C1266</f>
        <v>97914</v>
      </c>
      <c r="D418" s="435" t="str">
        <f>QUANT!D1266</f>
        <v>SINAPI</v>
      </c>
      <c r="E418" s="436" t="str">
        <f>IFERROR(VLOOKUP($C418,'SINAPI JULHO 2018'!$1:$1048576,2,0),IFERROR(VLOOKUP($C418,'5-COMP. PROPRIA'!$B$13:$I$518,4,0),""))</f>
        <v>TRANSPORTE COM CAMINHÃO BASCULANTE DE 6 M3, EM VIA URBANA PAVIMENTADA, DMT ATÉ 30 KM (UNIDADE: M3XKM). AF_01/2018</v>
      </c>
      <c r="F418" s="437" t="str">
        <f>IFERROR(VLOOKUP($C418,'SINAPI JULHO 2018'!$A:$D,3,0),IFERROR(VLOOKUP($C418,'5-COMP. PROPRIA'!$B$13:$I$518,5,0),""))</f>
        <v>M3XKM</v>
      </c>
      <c r="G418" s="438">
        <f>QUANT!K1266</f>
        <v>7.9133600000000026</v>
      </c>
      <c r="H418" s="439">
        <f>IFERROR(VLOOKUP($C418,'SINAPI JULHO 2018'!$A:$D,4,0),IFERROR(VLOOKUP($C418,'5-COMP. PROPRIA'!$B$13:$I$518,8,0),""))</f>
        <v>1.52</v>
      </c>
      <c r="I418" s="440">
        <f>H418*'4-BDI'!$E$29</f>
        <v>1.9492480000000001</v>
      </c>
      <c r="J418" s="63">
        <f t="shared" si="218"/>
        <v>12.02</v>
      </c>
      <c r="K418" s="190">
        <f t="shared" si="219"/>
        <v>15.42</v>
      </c>
    </row>
    <row r="419" spans="2:11" ht="15">
      <c r="B419" s="362" t="s">
        <v>13040</v>
      </c>
      <c r="C419" s="363"/>
      <c r="D419" s="363"/>
      <c r="E419" s="363" t="str">
        <f>QUANT!E1272</f>
        <v>PILARES</v>
      </c>
      <c r="F419" s="364"/>
      <c r="G419" s="365"/>
      <c r="H419" s="366"/>
      <c r="I419" s="367"/>
      <c r="J419" s="368"/>
      <c r="K419" s="369"/>
    </row>
    <row r="420" spans="2:11" ht="30">
      <c r="B420" s="14" t="s">
        <v>13041</v>
      </c>
      <c r="C420" s="435">
        <f>QUANT!C1274</f>
        <v>94965</v>
      </c>
      <c r="D420" s="435" t="str">
        <f>QUANT!D1274</f>
        <v>SINAPI</v>
      </c>
      <c r="E420" s="436" t="str">
        <f>IFERROR(VLOOKUP($C420,'SINAPI JULHO 2018'!$1:$1048576,2,0),IFERROR(VLOOKUP($C420,'5-COMP. PROPRIA'!$B$13:$I$518,4,0),""))</f>
        <v>CONCRETO FCK = 25MPA, TRAÇO 1:2,3:2,7 (CIMENTO/ AREIA MÉDIA/ BRITA 1)  - PREPARO MECÂNICO COM BETONEIRA 400 L. AF_07/2016</v>
      </c>
      <c r="F420" s="437" t="str">
        <f>IFERROR(VLOOKUP($C420,'SINAPI JULHO 2018'!$A:$D,3,0),IFERROR(VLOOKUP($C420,'5-COMP. PROPRIA'!$B$13:$I$518,5,0),""))</f>
        <v>M3</v>
      </c>
      <c r="G420" s="438">
        <f>QUANT!K1274</f>
        <v>0.24752000000000002</v>
      </c>
      <c r="H420" s="439">
        <f>IFERROR(VLOOKUP($C420,'SINAPI JULHO 2018'!$A:$D,4,0),IFERROR(VLOOKUP($C420,'5-COMP. PROPRIA'!$B$13:$I$518,8,0),""))</f>
        <v>323.45</v>
      </c>
      <c r="I420" s="440">
        <f>H420*'4-BDI'!$E$29</f>
        <v>414.79228000000001</v>
      </c>
      <c r="J420" s="63">
        <f t="shared" ref="J420" si="220">TRUNC(G420*H420,2)</f>
        <v>80.06</v>
      </c>
      <c r="K420" s="190">
        <f t="shared" ref="K420" si="221">TRUNC(G420*I420,2)</f>
        <v>102.66</v>
      </c>
    </row>
    <row r="421" spans="2:11" ht="30">
      <c r="B421" s="14" t="s">
        <v>13042</v>
      </c>
      <c r="C421" s="435">
        <f>QUANT!C1278</f>
        <v>92873</v>
      </c>
      <c r="D421" s="435" t="str">
        <f>QUANT!D1278</f>
        <v>SINAPI</v>
      </c>
      <c r="E421" s="436" t="str">
        <f>IFERROR(VLOOKUP($C421,'SINAPI JULHO 2018'!$1:$1048576,2,0),IFERROR(VLOOKUP($C421,'5-COMP. PROPRIA'!$B$13:$I$518,4,0),""))</f>
        <v>LANÇAMENTO COM USO DE BALDES, ADENSAMENTO E ACABAMENTO DE CONCRETO EM ESTRUTURAS. AF_12/2015</v>
      </c>
      <c r="F421" s="437" t="str">
        <f>IFERROR(VLOOKUP($C421,'SINAPI JULHO 2018'!$A:$D,3,0),IFERROR(VLOOKUP($C421,'5-COMP. PROPRIA'!$B$13:$I$518,5,0),""))</f>
        <v>M3</v>
      </c>
      <c r="G421" s="438">
        <f>QUANT!K1278</f>
        <v>0.24752000000000002</v>
      </c>
      <c r="H421" s="439">
        <f>IFERROR(VLOOKUP($C421,'SINAPI JULHO 2018'!$A:$D,4,0),IFERROR(VLOOKUP($C421,'5-COMP. PROPRIA'!$B$13:$I$518,8,0),""))</f>
        <v>145.12</v>
      </c>
      <c r="I421" s="440">
        <f>H421*'4-BDI'!$E$29</f>
        <v>186.101888</v>
      </c>
      <c r="J421" s="63">
        <f t="shared" ref="J421:J424" si="222">TRUNC(G421*H421,2)</f>
        <v>35.92</v>
      </c>
      <c r="K421" s="190">
        <f t="shared" ref="K421:K424" si="223">TRUNC(G421*I421,2)</f>
        <v>46.06</v>
      </c>
    </row>
    <row r="422" spans="2:11" ht="45">
      <c r="B422" s="14" t="s">
        <v>13043</v>
      </c>
      <c r="C422" s="435">
        <f>QUANT!C1280</f>
        <v>92775</v>
      </c>
      <c r="D422" s="435" t="str">
        <f>QUANT!D1280</f>
        <v>SINAPI</v>
      </c>
      <c r="E422" s="436" t="str">
        <f>IFERROR(VLOOKUP($C422,'SINAPI JULHO 2018'!$1:$1048576,2,0),IFERROR(VLOOKUP($C422,'5-COMP. PROPRIA'!$B$13:$I$518,4,0),""))</f>
        <v>ARMAÇÃO DE PILAR OU VIGA DE UMA ESTRUTURA CONVENCIONAL DE CONCRETO ARMADO EM UMA EDIFICAÇÃO TÉRREA OU SOBRADO UTILIZANDO AÇO CA-60 DE 5,0 MM - MONTAGEM. AF_12/2015</v>
      </c>
      <c r="F422" s="437" t="str">
        <f>IFERROR(VLOOKUP($C422,'SINAPI JULHO 2018'!$A:$D,3,0),IFERROR(VLOOKUP($C422,'5-COMP. PROPRIA'!$B$13:$I$518,5,0),""))</f>
        <v>KG</v>
      </c>
      <c r="G422" s="438">
        <f>QUANT!K1280</f>
        <v>4.609363000000001</v>
      </c>
      <c r="H422" s="439">
        <f>IFERROR(VLOOKUP($C422,'SINAPI JULHO 2018'!$A:$D,4,0),IFERROR(VLOOKUP($C422,'5-COMP. PROPRIA'!$B$13:$I$518,8,0),""))</f>
        <v>11.07</v>
      </c>
      <c r="I422" s="440">
        <f>H422*'4-BDI'!$E$29</f>
        <v>14.196168</v>
      </c>
      <c r="J422" s="63">
        <f t="shared" si="222"/>
        <v>51.02</v>
      </c>
      <c r="K422" s="190">
        <f t="shared" si="223"/>
        <v>65.430000000000007</v>
      </c>
    </row>
    <row r="423" spans="2:11" ht="45">
      <c r="B423" s="14" t="s">
        <v>13044</v>
      </c>
      <c r="C423" s="435">
        <f>QUANT!C1285</f>
        <v>92778</v>
      </c>
      <c r="D423" s="435" t="str">
        <f>QUANT!D1285</f>
        <v>SINAPI</v>
      </c>
      <c r="E423" s="436" t="str">
        <f>IFERROR(VLOOKUP($C423,'SINAPI JULHO 2018'!$1:$1048576,2,0),IFERROR(VLOOKUP($C423,'5-COMP. PROPRIA'!$B$13:$I$518,4,0),""))</f>
        <v>ARMAÇÃO DE PILAR OU VIGA DE UMA ESTRUTURA CONVENCIONAL DE CONCRETO ARMADO EM UMA EDIFICAÇÃO TÉRREA OU SOBRADO UTILIZANDO AÇO CA-50 DE 10,0 MM - MONTAGEM. AF_12/2015</v>
      </c>
      <c r="F423" s="437" t="str">
        <f>IFERROR(VLOOKUP($C423,'SINAPI JULHO 2018'!$A:$D,3,0),IFERROR(VLOOKUP($C423,'5-COMP. PROPRIA'!$B$13:$I$518,5,0),""))</f>
        <v>KG</v>
      </c>
      <c r="G423" s="438">
        <f>QUANT!K1285</f>
        <v>18.733240000000002</v>
      </c>
      <c r="H423" s="439">
        <f>IFERROR(VLOOKUP($C423,'SINAPI JULHO 2018'!$A:$D,4,0),IFERROR(VLOOKUP($C423,'5-COMP. PROPRIA'!$B$13:$I$518,8,0),""))</f>
        <v>7.43</v>
      </c>
      <c r="I423" s="440">
        <f>H423*'4-BDI'!$E$29</f>
        <v>9.5282319999999991</v>
      </c>
      <c r="J423" s="63">
        <f t="shared" si="222"/>
        <v>139.18</v>
      </c>
      <c r="K423" s="190">
        <f t="shared" si="223"/>
        <v>178.49</v>
      </c>
    </row>
    <row r="424" spans="2:11" ht="45">
      <c r="B424" s="14" t="s">
        <v>13045</v>
      </c>
      <c r="C424" s="435">
        <f>QUANT!C1290</f>
        <v>92412</v>
      </c>
      <c r="D424" s="435" t="str">
        <f>QUANT!D1290</f>
        <v>SINAPI</v>
      </c>
      <c r="E424" s="436" t="str">
        <f>IFERROR(VLOOKUP($C424,'SINAPI JULHO 2018'!$1:$1048576,2,0),IFERROR(VLOOKUP($C424,'5-COMP. PROPRIA'!$B$13:$I$518,4,0),""))</f>
        <v>MONTAGEM E DESMONTAGEM DE FÔRMA DE PILARES RETANGULARES E ESTRUTURAS SIMILARES COM ÁREA MÉDIA DAS SEÇÕES MENOR OU IGUAL A 0,25 M², PÉ-DIREITO SIMPLES, EM MADEIRA SERRADA, 4 UTILIZAÇÕES. AF_12/2015</v>
      </c>
      <c r="F424" s="437" t="str">
        <f>IFERROR(VLOOKUP($C424,'SINAPI JULHO 2018'!$A:$D,3,0),IFERROR(VLOOKUP($C424,'5-COMP. PROPRIA'!$B$13:$I$518,5,0),""))</f>
        <v>M2</v>
      </c>
      <c r="G424" s="438">
        <f>QUANT!K1290</f>
        <v>5.44</v>
      </c>
      <c r="H424" s="439">
        <f>IFERROR(VLOOKUP($C424,'SINAPI JULHO 2018'!$A:$D,4,0),IFERROR(VLOOKUP($C424,'5-COMP. PROPRIA'!$B$13:$I$518,8,0),""))</f>
        <v>61.12</v>
      </c>
      <c r="I424" s="440">
        <f>H424*'4-BDI'!$E$29</f>
        <v>78.380287999999993</v>
      </c>
      <c r="J424" s="63">
        <f t="shared" si="222"/>
        <v>332.49</v>
      </c>
      <c r="K424" s="190">
        <f t="shared" si="223"/>
        <v>426.38</v>
      </c>
    </row>
    <row r="425" spans="2:11" ht="15">
      <c r="B425" s="362" t="s">
        <v>13046</v>
      </c>
      <c r="C425" s="363"/>
      <c r="D425" s="363"/>
      <c r="E425" s="363" t="str">
        <f>QUANT!E1294</f>
        <v>VIGAS DE AMARRAÇÃO</v>
      </c>
      <c r="F425" s="364"/>
      <c r="G425" s="365"/>
      <c r="H425" s="366"/>
      <c r="I425" s="367"/>
      <c r="J425" s="368"/>
      <c r="K425" s="369"/>
    </row>
    <row r="426" spans="2:11" ht="30">
      <c r="B426" s="14" t="s">
        <v>13047</v>
      </c>
      <c r="C426" s="435">
        <f>QUANT!C1296</f>
        <v>94965</v>
      </c>
      <c r="D426" s="435" t="str">
        <f>QUANT!D1296</f>
        <v>SINAPI</v>
      </c>
      <c r="E426" s="436" t="str">
        <f>IFERROR(VLOOKUP($C426,'SINAPI JULHO 2018'!$1:$1048576,2,0),IFERROR(VLOOKUP($C426,'5-COMP. PROPRIA'!$B$13:$I$518,4,0),""))</f>
        <v>CONCRETO FCK = 25MPA, TRAÇO 1:2,3:2,7 (CIMENTO/ AREIA MÉDIA/ BRITA 1)  - PREPARO MECÂNICO COM BETONEIRA 400 L. AF_07/2016</v>
      </c>
      <c r="F426" s="437" t="str">
        <f>IFERROR(VLOOKUP($C426,'SINAPI JULHO 2018'!$A:$D,3,0),IFERROR(VLOOKUP($C426,'5-COMP. PROPRIA'!$B$13:$I$518,5,0),""))</f>
        <v>M3</v>
      </c>
      <c r="G426" s="438">
        <f>QUANT!K1296</f>
        <v>0.30436000000000002</v>
      </c>
      <c r="H426" s="439">
        <f>IFERROR(VLOOKUP($C426,'SINAPI JULHO 2018'!$A:$D,4,0),IFERROR(VLOOKUP($C426,'5-COMP. PROPRIA'!$B$13:$I$518,8,0),""))</f>
        <v>323.45</v>
      </c>
      <c r="I426" s="440">
        <f>H426*'4-BDI'!$E$29</f>
        <v>414.79228000000001</v>
      </c>
      <c r="J426" s="63">
        <f t="shared" ref="J426:J430" si="224">TRUNC(G426*H426,2)</f>
        <v>98.44</v>
      </c>
      <c r="K426" s="190">
        <f t="shared" ref="K426:K430" si="225">TRUNC(G426*I426,2)</f>
        <v>126.24</v>
      </c>
    </row>
    <row r="427" spans="2:11" ht="15">
      <c r="B427" s="14" t="s">
        <v>13048</v>
      </c>
      <c r="C427" s="435" t="str">
        <f>QUANT!C1300</f>
        <v>74157/4</v>
      </c>
      <c r="D427" s="435" t="str">
        <f>QUANT!D1300</f>
        <v>SINAPI</v>
      </c>
      <c r="E427" s="436" t="str">
        <f>IFERROR(VLOOKUP($C427,'SINAPI JULHO 2018'!$1:$1048576,2,0),IFERROR(VLOOKUP($C427,'5-COMP. PROPRIA'!$B$13:$I$518,4,0),""))</f>
        <v>LANCAMENTO/APLICACAO MANUAL DE CONCRETO EM FUNDACOES</v>
      </c>
      <c r="F427" s="437" t="str">
        <f>IFERROR(VLOOKUP($C427,'SINAPI JULHO 2018'!$A:$D,3,0),IFERROR(VLOOKUP($C427,'5-COMP. PROPRIA'!$B$13:$I$518,5,0),""))</f>
        <v>M3</v>
      </c>
      <c r="G427" s="438">
        <f>QUANT!K1300</f>
        <v>0.30436000000000002</v>
      </c>
      <c r="H427" s="439">
        <f>IFERROR(VLOOKUP($C427,'SINAPI JULHO 2018'!$A:$D,4,0),IFERROR(VLOOKUP($C427,'5-COMP. PROPRIA'!$B$13:$I$518,8,0),""))</f>
        <v>93.76</v>
      </c>
      <c r="I427" s="440">
        <f>H427*'4-BDI'!$E$29</f>
        <v>120.237824</v>
      </c>
      <c r="J427" s="63">
        <f t="shared" si="224"/>
        <v>28.53</v>
      </c>
      <c r="K427" s="190">
        <f t="shared" si="225"/>
        <v>36.590000000000003</v>
      </c>
    </row>
    <row r="428" spans="2:11" ht="45">
      <c r="B428" s="14" t="s">
        <v>13049</v>
      </c>
      <c r="C428" s="435">
        <f>QUANT!C1302</f>
        <v>92775</v>
      </c>
      <c r="D428" s="435" t="str">
        <f>QUANT!D1302</f>
        <v>SINAPI</v>
      </c>
      <c r="E428" s="436" t="str">
        <f>IFERROR(VLOOKUP($C428,'SINAPI JULHO 2018'!$1:$1048576,2,0),IFERROR(VLOOKUP($C428,'5-COMP. PROPRIA'!$B$13:$I$518,4,0),""))</f>
        <v>ARMAÇÃO DE PILAR OU VIGA DE UMA ESTRUTURA CONVENCIONAL DE CONCRETO ARMADO EM UMA EDIFICAÇÃO TÉRREA OU SOBRADO UTILIZANDO AÇO CA-60 DE 5,0 MM - MONTAGEM. AF_12/2015</v>
      </c>
      <c r="F428" s="437" t="str">
        <f>IFERROR(VLOOKUP($C428,'SINAPI JULHO 2018'!$A:$D,3,0),IFERROR(VLOOKUP($C428,'5-COMP. PROPRIA'!$B$13:$I$518,5,0),""))</f>
        <v>KG</v>
      </c>
      <c r="G428" s="438">
        <f>QUANT!K1302</f>
        <v>6.0285291750000018</v>
      </c>
      <c r="H428" s="439">
        <f>IFERROR(VLOOKUP($C428,'SINAPI JULHO 2018'!$A:$D,4,0),IFERROR(VLOOKUP($C428,'5-COMP. PROPRIA'!$B$13:$I$518,8,0),""))</f>
        <v>11.07</v>
      </c>
      <c r="I428" s="440">
        <f>H428*'4-BDI'!$E$29</f>
        <v>14.196168</v>
      </c>
      <c r="J428" s="63">
        <f t="shared" si="224"/>
        <v>66.73</v>
      </c>
      <c r="K428" s="190">
        <f t="shared" si="225"/>
        <v>85.58</v>
      </c>
    </row>
    <row r="429" spans="2:11" ht="45">
      <c r="B429" s="14" t="s">
        <v>13050</v>
      </c>
      <c r="C429" s="435">
        <f>QUANT!C1307</f>
        <v>92761</v>
      </c>
      <c r="D429" s="435" t="str">
        <f>QUANT!D1307</f>
        <v>SINAPI</v>
      </c>
      <c r="E429" s="436" t="str">
        <f>IFERROR(VLOOKUP($C429,'SINAPI JULHO 2018'!$1:$1048576,2,0),IFERROR(VLOOKUP($C429,'5-COMP. PROPRIA'!$B$13:$I$518,4,0),""))</f>
        <v>ARMAÇÃO DE PILAR OU VIGA DE UMA ESTRUTURA CONVENCIONAL DE CONCRETO ARMADO EM UM EDIFÍCIO DE MÚLTIPLOS PAVIMENTOS UTILIZANDO AÇO CA-50 DE 8,0 MM - MONTAGEM. AF_12/2015</v>
      </c>
      <c r="F429" s="437" t="str">
        <f>IFERROR(VLOOKUP($C429,'SINAPI JULHO 2018'!$A:$D,3,0),IFERROR(VLOOKUP($C429,'5-COMP. PROPRIA'!$B$13:$I$518,5,0),""))</f>
        <v>KG</v>
      </c>
      <c r="G429" s="438">
        <f>QUANT!K1307</f>
        <v>17.14781632</v>
      </c>
      <c r="H429" s="439">
        <f>IFERROR(VLOOKUP($C429,'SINAPI JULHO 2018'!$A:$D,4,0),IFERROR(VLOOKUP($C429,'5-COMP. PROPRIA'!$B$13:$I$518,8,0),""))</f>
        <v>8.0399999999999991</v>
      </c>
      <c r="I429" s="440">
        <f>H429*'4-BDI'!$E$29</f>
        <v>10.310495999999999</v>
      </c>
      <c r="J429" s="63">
        <f t="shared" si="224"/>
        <v>137.86000000000001</v>
      </c>
      <c r="K429" s="190">
        <f t="shared" si="225"/>
        <v>176.8</v>
      </c>
    </row>
    <row r="430" spans="2:11" ht="45">
      <c r="B430" s="14" t="s">
        <v>13051</v>
      </c>
      <c r="C430" s="435">
        <f>QUANT!C1312</f>
        <v>92412</v>
      </c>
      <c r="D430" s="435" t="str">
        <f>QUANT!D1312</f>
        <v>SINAPI</v>
      </c>
      <c r="E430" s="436" t="str">
        <f>IFERROR(VLOOKUP($C430,'SINAPI JULHO 2018'!$1:$1048576,2,0),IFERROR(VLOOKUP($C430,'5-COMP. PROPRIA'!$B$13:$I$518,4,0),""))</f>
        <v>MONTAGEM E DESMONTAGEM DE FÔRMA DE PILARES RETANGULARES E ESTRUTURAS SIMILARES COM ÁREA MÉDIA DAS SEÇÕES MENOR OU IGUAL A 0,25 M², PÉ-DIREITO SIMPLES, EM MADEIRA SERRADA, 4 UTILIZAÇÕES. AF_12/2015</v>
      </c>
      <c r="F430" s="437" t="str">
        <f>IFERROR(VLOOKUP($C430,'SINAPI JULHO 2018'!$A:$D,3,0),IFERROR(VLOOKUP($C430,'5-COMP. PROPRIA'!$B$13:$I$518,5,0),""))</f>
        <v>M2</v>
      </c>
      <c r="G430" s="438">
        <f>QUANT!K1312</f>
        <v>7.3916000000000004</v>
      </c>
      <c r="H430" s="439">
        <f>IFERROR(VLOOKUP($C430,'SINAPI JULHO 2018'!$A:$D,4,0),IFERROR(VLOOKUP($C430,'5-COMP. PROPRIA'!$B$13:$I$518,8,0),""))</f>
        <v>61.12</v>
      </c>
      <c r="I430" s="440">
        <f>H430*'4-BDI'!$E$29</f>
        <v>78.380287999999993</v>
      </c>
      <c r="J430" s="63">
        <f t="shared" si="224"/>
        <v>451.77</v>
      </c>
      <c r="K430" s="190">
        <f t="shared" si="225"/>
        <v>579.35</v>
      </c>
    </row>
    <row r="431" spans="2:11" ht="15">
      <c r="B431" s="362" t="s">
        <v>13052</v>
      </c>
      <c r="C431" s="363"/>
      <c r="D431" s="363"/>
      <c r="E431" s="363" t="str">
        <f>QUANT!E1316</f>
        <v>ALVENARIA DE VEDAÇÃO E REVESTIMENTOS</v>
      </c>
      <c r="F431" s="364"/>
      <c r="G431" s="365"/>
      <c r="H431" s="366"/>
      <c r="I431" s="367"/>
      <c r="J431" s="368"/>
      <c r="K431" s="369"/>
    </row>
    <row r="432" spans="2:11" ht="60">
      <c r="B432" s="14" t="s">
        <v>13053</v>
      </c>
      <c r="C432" s="435">
        <f>QUANT!C1318</f>
        <v>89977</v>
      </c>
      <c r="D432" s="435" t="str">
        <f>QUANT!D1318</f>
        <v>SINAPI</v>
      </c>
      <c r="E432" s="436" t="str">
        <f>IFERROR(VLOOKUP($C432,'SINAPI JULHO 2018'!$1:$1048576,2,0),IFERROR(VLOOKUP($C432,'5-COMP. PROPRIA'!$B$13:$I$518,4,0),""))</f>
        <v>(COMPOSIÇÃO REPRESENTATIVA) DO SERVIÇO DE ALVENARIA DE VEDAÇÃO DE BLOCOS VAZADOS DE CERÂMICA DE 14X9X19CM (ESPESSURA 14CM, BLOCO DEITADO), PARA EDIFICAÇÃO HABITACIONAL UNIFAMILIAR (CASA) E EDIFICAÇÃO PÚBLICA PADRÃO. AF_12/2014</v>
      </c>
      <c r="F432" s="437" t="str">
        <f>IFERROR(VLOOKUP($C432,'SINAPI JULHO 2018'!$A:$D,3,0),IFERROR(VLOOKUP($C432,'5-COMP. PROPRIA'!$B$13:$I$518,5,0),""))</f>
        <v>M2</v>
      </c>
      <c r="G432" s="438">
        <f>QUANT!K1318</f>
        <v>28.279999999999998</v>
      </c>
      <c r="H432" s="439">
        <f>IFERROR(VLOOKUP($C432,'SINAPI JULHO 2018'!$A:$D,4,0),IFERROR(VLOOKUP($C432,'5-COMP. PROPRIA'!$B$13:$I$518,8,0),""))</f>
        <v>101.04</v>
      </c>
      <c r="I432" s="440">
        <f>H432*'4-BDI'!$E$29</f>
        <v>129.57369600000001</v>
      </c>
      <c r="J432" s="63">
        <f t="shared" ref="J432:J436" si="226">TRUNC(G432*H432,2)</f>
        <v>2857.41</v>
      </c>
      <c r="K432" s="190">
        <f t="shared" ref="K432:K436" si="227">TRUNC(G432*I432,2)</f>
        <v>3664.34</v>
      </c>
    </row>
    <row r="433" spans="2:11" ht="45">
      <c r="B433" s="14" t="s">
        <v>13054</v>
      </c>
      <c r="C433" s="435">
        <f>QUANT!C1320</f>
        <v>87894</v>
      </c>
      <c r="D433" s="435" t="str">
        <f>QUANT!D1320</f>
        <v>SINAPI</v>
      </c>
      <c r="E433" s="436" t="str">
        <f>IFERROR(VLOOKUP($C433,'SINAPI JULHO 2018'!$1:$1048576,2,0),IFERROR(VLOOKUP($C433,'5-COMP. PROPRIA'!$B$13:$I$518,4,0),""))</f>
        <v>CHAPISCO APLICADO EM ALVENARIA (SEM PRESENÇA DE VÃOS) E ESTRUTURAS DE CONCRETO DE FACHADA, COM COLHER DE PEDREIRO.  ARGAMASSA TRAÇO 1:3 COM PREPARO EM BETONEIRA 400L. AF_06/2014</v>
      </c>
      <c r="F433" s="437" t="str">
        <f>IFERROR(VLOOKUP($C433,'SINAPI JULHO 2018'!$A:$D,3,0),IFERROR(VLOOKUP($C433,'5-COMP. PROPRIA'!$B$13:$I$518,5,0),""))</f>
        <v>M2</v>
      </c>
      <c r="G433" s="438">
        <f>QUANT!K1320</f>
        <v>56.559999999999995</v>
      </c>
      <c r="H433" s="439">
        <f>IFERROR(VLOOKUP($C433,'SINAPI JULHO 2018'!$A:$D,4,0),IFERROR(VLOOKUP($C433,'5-COMP. PROPRIA'!$B$13:$I$518,8,0),""))</f>
        <v>4.41</v>
      </c>
      <c r="I433" s="440">
        <f>H433*'4-BDI'!$E$29</f>
        <v>5.6553839999999997</v>
      </c>
      <c r="J433" s="63">
        <f t="shared" si="226"/>
        <v>249.42</v>
      </c>
      <c r="K433" s="190">
        <f t="shared" si="227"/>
        <v>319.86</v>
      </c>
    </row>
    <row r="434" spans="2:11" ht="60">
      <c r="B434" s="14" t="s">
        <v>13055</v>
      </c>
      <c r="C434" s="435">
        <f>QUANT!C1322</f>
        <v>87529</v>
      </c>
      <c r="D434" s="435" t="str">
        <f>QUANT!D1322</f>
        <v>SINAPI</v>
      </c>
      <c r="E434" s="436" t="str">
        <f>IFERROR(VLOOKUP($C434,'SINAPI JULHO 2018'!$1:$1048576,2,0),IFERROR(VLOOKUP($C434,'5-COMP. PROPRIA'!$B$13:$I$518,4,0),""))</f>
        <v>MASSA ÚNICA, PARA RECEBIMENTO DE PINTURA, EM ARGAMASSA TRAÇO 1:2:8, PREPARO MECÂNICO COM BETONEIRA 400L, APLICADA MANUALMENTE EM FACES INTERNAS DE PAREDES, ESPESSURA DE 20MM, COM EXECUÇÃO DE TALISCAS. AF_06/2014</v>
      </c>
      <c r="F434" s="437" t="str">
        <f>IFERROR(VLOOKUP($C434,'SINAPI JULHO 2018'!$A:$D,3,0),IFERROR(VLOOKUP($C434,'5-COMP. PROPRIA'!$B$13:$I$518,5,0),""))</f>
        <v>M2</v>
      </c>
      <c r="G434" s="438">
        <f>QUANT!K1322</f>
        <v>56.559999999999995</v>
      </c>
      <c r="H434" s="439">
        <f>IFERROR(VLOOKUP($C434,'SINAPI JULHO 2018'!$A:$D,4,0),IFERROR(VLOOKUP($C434,'5-COMP. PROPRIA'!$B$13:$I$518,8,0),""))</f>
        <v>23.86</v>
      </c>
      <c r="I434" s="440">
        <f>H434*'4-BDI'!$E$29</f>
        <v>30.598063999999997</v>
      </c>
      <c r="J434" s="63">
        <f t="shared" si="226"/>
        <v>1349.52</v>
      </c>
      <c r="K434" s="190">
        <f t="shared" si="227"/>
        <v>1730.62</v>
      </c>
    </row>
    <row r="435" spans="2:11" ht="30">
      <c r="B435" s="14" t="s">
        <v>13056</v>
      </c>
      <c r="C435" s="435">
        <f>QUANT!C1324</f>
        <v>88485</v>
      </c>
      <c r="D435" s="435" t="str">
        <f>QUANT!D1324</f>
        <v>SINAPI</v>
      </c>
      <c r="E435" s="436" t="str">
        <f>IFERROR(VLOOKUP($C435,'SINAPI JULHO 2018'!$1:$1048576,2,0),IFERROR(VLOOKUP($C435,'5-COMP. PROPRIA'!$B$13:$I$518,4,0),""))</f>
        <v>APLICAÇÃO DE FUNDO SELADOR ACRÍLICO EM PAREDES, UMA DEMÃO. AF_06/2014</v>
      </c>
      <c r="F435" s="437" t="str">
        <f>IFERROR(VLOOKUP($C435,'SINAPI JULHO 2018'!$A:$D,3,0),IFERROR(VLOOKUP($C435,'5-COMP. PROPRIA'!$B$13:$I$518,5,0),""))</f>
        <v>M2</v>
      </c>
      <c r="G435" s="438">
        <f>QUANT!K1324</f>
        <v>32.700000000000003</v>
      </c>
      <c r="H435" s="439">
        <f>IFERROR(VLOOKUP($C435,'SINAPI JULHO 2018'!$A:$D,4,0),IFERROR(VLOOKUP($C435,'5-COMP. PROPRIA'!$B$13:$I$518,8,0),""))</f>
        <v>1.6</v>
      </c>
      <c r="I435" s="440">
        <f>H435*'4-BDI'!$E$29</f>
        <v>2.0518399999999999</v>
      </c>
      <c r="J435" s="63">
        <f t="shared" si="226"/>
        <v>52.32</v>
      </c>
      <c r="K435" s="190">
        <f t="shared" si="227"/>
        <v>67.09</v>
      </c>
    </row>
    <row r="436" spans="2:11" ht="30">
      <c r="B436" s="14" t="s">
        <v>13057</v>
      </c>
      <c r="C436" s="435">
        <f>QUANT!C1326</f>
        <v>88489</v>
      </c>
      <c r="D436" s="435" t="str">
        <f>QUANT!D1326</f>
        <v>SINAPI</v>
      </c>
      <c r="E436" s="436" t="str">
        <f>IFERROR(VLOOKUP($C436,'SINAPI JULHO 2018'!$1:$1048576,2,0),IFERROR(VLOOKUP($C436,'5-COMP. PROPRIA'!$B$13:$I$518,4,0),""))</f>
        <v>APLICAÇÃO MANUAL DE PINTURA COM TINTA LÁTEX ACRÍLICA EM PAREDES, DUAS DEMÃOS. AF_06/2014</v>
      </c>
      <c r="F436" s="437" t="str">
        <f>IFERROR(VLOOKUP($C436,'SINAPI JULHO 2018'!$A:$D,3,0),IFERROR(VLOOKUP($C436,'5-COMP. PROPRIA'!$B$13:$I$518,5,0),""))</f>
        <v>M2</v>
      </c>
      <c r="G436" s="438">
        <f>QUANT!K1326</f>
        <v>21.8</v>
      </c>
      <c r="H436" s="439">
        <f>IFERROR(VLOOKUP($C436,'SINAPI JULHO 2018'!$A:$D,4,0),IFERROR(VLOOKUP($C436,'5-COMP. PROPRIA'!$B$13:$I$518,8,0),""))</f>
        <v>9.69</v>
      </c>
      <c r="I436" s="440">
        <f>H436*'4-BDI'!$E$29</f>
        <v>12.426456</v>
      </c>
      <c r="J436" s="63">
        <f t="shared" si="226"/>
        <v>211.24</v>
      </c>
      <c r="K436" s="190">
        <f t="shared" si="227"/>
        <v>270.89</v>
      </c>
    </row>
    <row r="437" spans="2:11" ht="15">
      <c r="B437" s="14" t="s">
        <v>13058</v>
      </c>
      <c r="C437" s="435" t="str">
        <f>QUANT!C1328</f>
        <v>CP-PIN-02</v>
      </c>
      <c r="D437" s="435" t="str">
        <f>QUANT!D1328</f>
        <v>PRÓRPIA</v>
      </c>
      <c r="E437" s="436" t="str">
        <f>IFERROR(VLOOKUP($C437,'SINAPI JULHO 2018'!$1:$1048576,2,0),IFERROR(VLOOKUP($C437,'5-COMP. PROPRIA'!$B$13:$I$518,4,0),""))</f>
        <v xml:space="preserve">PINTURA COM TINTA ESMALTE SINTÉTICO </v>
      </c>
      <c r="F437" s="437" t="str">
        <f>IFERROR(VLOOKUP($C437,'SINAPI JULHO 2018'!$A:$D,3,0),IFERROR(VLOOKUP($C437,'5-COMP. PROPRIA'!$B$13:$I$518,5,0),""))</f>
        <v>M2</v>
      </c>
      <c r="G437" s="438">
        <f>QUANT!K1328</f>
        <v>13.08</v>
      </c>
      <c r="H437" s="439">
        <f>IFERROR(VLOOKUP($C437,'SINAPI JULHO 2018'!$A:$D,4,0),IFERROR(VLOOKUP($C437,'5-COMP. PROPRIA'!$B$13:$I$518,8,0),""))</f>
        <v>10.93</v>
      </c>
      <c r="I437" s="440">
        <f>H437*'4-BDI'!$E$29</f>
        <v>14.016632</v>
      </c>
      <c r="J437" s="63">
        <f t="shared" ref="J437" si="228">TRUNC(G437*H437,2)</f>
        <v>142.96</v>
      </c>
      <c r="K437" s="190">
        <f t="shared" ref="K437" si="229">TRUNC(G437*I437,2)</f>
        <v>183.33</v>
      </c>
    </row>
    <row r="438" spans="2:11" ht="15">
      <c r="B438" s="362" t="s">
        <v>13059</v>
      </c>
      <c r="C438" s="363"/>
      <c r="D438" s="363"/>
      <c r="E438" s="363" t="str">
        <f>QUANT!E1330</f>
        <v>ESQUADRIAS</v>
      </c>
      <c r="F438" s="364"/>
      <c r="G438" s="365"/>
      <c r="H438" s="366"/>
      <c r="I438" s="367"/>
      <c r="J438" s="368"/>
      <c r="K438" s="369"/>
    </row>
    <row r="439" spans="2:11" ht="30">
      <c r="B439" s="14" t="s">
        <v>13060</v>
      </c>
      <c r="C439" s="435">
        <f>QUANT!C1332</f>
        <v>91341</v>
      </c>
      <c r="D439" s="435" t="str">
        <f>QUANT!D1332</f>
        <v>SINAPI</v>
      </c>
      <c r="E439" s="436" t="str">
        <f>IFERROR(VLOOKUP($C439,'SINAPI JULHO 2018'!$1:$1048576,2,0),IFERROR(VLOOKUP($C439,'5-COMP. PROPRIA'!$B$13:$I$518,4,0),""))</f>
        <v>PORTA EM ALUMÍNIO DE ABRIR TIPO VENEZIANA COM GUARNIÇÃO, FIXAÇÃO COM PARAFUSOS - FORNECIMENTO E INSTALAÇÃO. AF_08/2015</v>
      </c>
      <c r="F439" s="437" t="str">
        <f>IFERROR(VLOOKUP($C439,'SINAPI JULHO 2018'!$A:$D,3,0),IFERROR(VLOOKUP($C439,'5-COMP. PROPRIA'!$B$13:$I$518,5,0),""))</f>
        <v>M2</v>
      </c>
      <c r="G439" s="438">
        <f>QUANT!K1332</f>
        <v>1.6800000000000002</v>
      </c>
      <c r="H439" s="439">
        <f>IFERROR(VLOOKUP($C439,'SINAPI JULHO 2018'!$A:$D,4,0),IFERROR(VLOOKUP($C439,'5-COMP. PROPRIA'!$B$13:$I$518,8,0),""))</f>
        <v>654.62</v>
      </c>
      <c r="I439" s="440">
        <f>H439*'4-BDI'!$E$29</f>
        <v>839.48468800000001</v>
      </c>
      <c r="J439" s="63">
        <f t="shared" ref="J439:J442" si="230">TRUNC(G439*H439,2)</f>
        <v>1099.76</v>
      </c>
      <c r="K439" s="190">
        <f t="shared" ref="K439:K442" si="231">TRUNC(G439*I439,2)</f>
        <v>1410.33</v>
      </c>
    </row>
    <row r="440" spans="2:11" ht="45">
      <c r="B440" s="14" t="s">
        <v>13061</v>
      </c>
      <c r="C440" s="435">
        <f>QUANT!C1334</f>
        <v>94576</v>
      </c>
      <c r="D440" s="435" t="str">
        <f>QUANT!D1334</f>
        <v>SINAPI</v>
      </c>
      <c r="E440" s="436" t="str">
        <f>IFERROR(VLOOKUP($C440,'SINAPI JULHO 2018'!$1:$1048576,2,0),IFERROR(VLOOKUP($C440,'5-COMP. PROPRIA'!$B$13:$I$518,4,0),""))</f>
        <v>JANELA DE ALUMÍNIO DE CORRER, 2 FOLHAS, FIXAÇÃO COM PARAFUSO, VEDAÇÃO COM ESPUMA EXPANSIVA PU, COM VIDROS, PADRONIZADA. AF_07/2016</v>
      </c>
      <c r="F440" s="437" t="str">
        <f>IFERROR(VLOOKUP($C440,'SINAPI JULHO 2018'!$A:$D,3,0),IFERROR(VLOOKUP($C440,'5-COMP. PROPRIA'!$B$13:$I$518,5,0),""))</f>
        <v>M2</v>
      </c>
      <c r="G440" s="438">
        <f>QUANT!K1334</f>
        <v>2</v>
      </c>
      <c r="H440" s="439">
        <f>IFERROR(VLOOKUP($C440,'SINAPI JULHO 2018'!$A:$D,4,0),IFERROR(VLOOKUP($C440,'5-COMP. PROPRIA'!$B$13:$I$518,8,0),""))</f>
        <v>426.12</v>
      </c>
      <c r="I440" s="440">
        <f>H440*'4-BDI'!$E$29</f>
        <v>546.45628799999997</v>
      </c>
      <c r="J440" s="63">
        <f t="shared" si="230"/>
        <v>852.24</v>
      </c>
      <c r="K440" s="190">
        <f t="shared" si="231"/>
        <v>1092.9100000000001</v>
      </c>
    </row>
    <row r="441" spans="2:11" ht="15">
      <c r="B441" s="14" t="s">
        <v>13062</v>
      </c>
      <c r="C441" s="435" t="str">
        <f>QUANT!C1336</f>
        <v>CP-LIX-02</v>
      </c>
      <c r="D441" s="435" t="str">
        <f>QUANT!D1336</f>
        <v>PRÓRPIA</v>
      </c>
      <c r="E441" s="436" t="str">
        <f>IFERROR(VLOOKUP($C441,'SINAPI JULHO 2018'!$1:$1048576,2,0),IFERROR(VLOOKUP($C441,'5-COMP. PROPRIA'!$B$13:$I$518,4,0),""))</f>
        <v xml:space="preserve">LIXAMENTO DE SUPERFICIE METÁLICA </v>
      </c>
      <c r="F441" s="437" t="str">
        <f>IFERROR(VLOOKUP($C441,'SINAPI JULHO 2018'!$A:$D,3,0),IFERROR(VLOOKUP($C441,'5-COMP. PROPRIA'!$B$13:$I$518,5,0),""))</f>
        <v>M2</v>
      </c>
      <c r="G441" s="438">
        <f>QUANT!K1336</f>
        <v>7.36</v>
      </c>
      <c r="H441" s="439">
        <f>IFERROR(VLOOKUP($C441,'SINAPI JULHO 2018'!$A:$D,4,0),IFERROR(VLOOKUP($C441,'5-COMP. PROPRIA'!$B$13:$I$518,8,0),""))</f>
        <v>4.66</v>
      </c>
      <c r="I441" s="440">
        <f>H441*'4-BDI'!$E$29</f>
        <v>5.9759840000000004</v>
      </c>
      <c r="J441" s="63">
        <f t="shared" si="230"/>
        <v>34.29</v>
      </c>
      <c r="K441" s="190">
        <f t="shared" si="231"/>
        <v>43.98</v>
      </c>
    </row>
    <row r="442" spans="2:11" ht="15">
      <c r="B442" s="14" t="s">
        <v>13063</v>
      </c>
      <c r="C442" s="435" t="str">
        <f>QUANT!C1338</f>
        <v>73924/1</v>
      </c>
      <c r="D442" s="435" t="str">
        <f>QUANT!D1338</f>
        <v>SINAPI</v>
      </c>
      <c r="E442" s="436" t="str">
        <f>IFERROR(VLOOKUP($C442,'SINAPI JULHO 2018'!$1:$1048576,2,0),IFERROR(VLOOKUP($C442,'5-COMP. PROPRIA'!$B$13:$I$518,4,0),""))</f>
        <v>PINTURA ESMALTE ALTO BRILHO, DUAS DEMAOS, SOBRE SUPERFICIE METALICA</v>
      </c>
      <c r="F442" s="437" t="str">
        <f>IFERROR(VLOOKUP($C442,'SINAPI JULHO 2018'!$A:$D,3,0),IFERROR(VLOOKUP($C442,'5-COMP. PROPRIA'!$B$13:$I$518,5,0),""))</f>
        <v>M2</v>
      </c>
      <c r="G442" s="438">
        <f>QUANT!K1338</f>
        <v>7.36</v>
      </c>
      <c r="H442" s="439">
        <f>IFERROR(VLOOKUP($C442,'SINAPI JULHO 2018'!$A:$D,4,0),IFERROR(VLOOKUP($C442,'5-COMP. PROPRIA'!$B$13:$I$518,8,0),""))</f>
        <v>21.24</v>
      </c>
      <c r="I442" s="440">
        <f>H442*'4-BDI'!$E$29</f>
        <v>27.238175999999999</v>
      </c>
      <c r="J442" s="63">
        <f t="shared" si="230"/>
        <v>156.32</v>
      </c>
      <c r="K442" s="190">
        <f t="shared" si="231"/>
        <v>200.47</v>
      </c>
    </row>
    <row r="443" spans="2:11" ht="15">
      <c r="B443" s="362" t="s">
        <v>13064</v>
      </c>
      <c r="C443" s="363"/>
      <c r="D443" s="363"/>
      <c r="E443" s="363" t="str">
        <f>QUANT!E1340</f>
        <v>PISO</v>
      </c>
      <c r="F443" s="364"/>
      <c r="G443" s="365"/>
      <c r="H443" s="366"/>
      <c r="I443" s="367"/>
      <c r="J443" s="368"/>
      <c r="K443" s="369"/>
    </row>
    <row r="444" spans="2:11" ht="15">
      <c r="B444" s="14" t="s">
        <v>13065</v>
      </c>
      <c r="C444" s="435" t="str">
        <f>QUANT!C1342</f>
        <v>73859/2</v>
      </c>
      <c r="D444" s="435" t="str">
        <f>QUANT!D1342</f>
        <v>SINAPI</v>
      </c>
      <c r="E444" s="436" t="str">
        <f>IFERROR(VLOOKUP($C444,'SINAPI JULHO 2018'!$1:$1048576,2,0),IFERROR(VLOOKUP($C444,'5-COMP. PROPRIA'!$B$13:$I$518,4,0),""))</f>
        <v>CAPINA E LIMPEZA MANUAL DE TERRENO</v>
      </c>
      <c r="F444" s="437" t="str">
        <f>IFERROR(VLOOKUP($C444,'SINAPI JULHO 2018'!$A:$D,3,0),IFERROR(VLOOKUP($C444,'5-COMP. PROPRIA'!$B$13:$I$518,5,0),""))</f>
        <v>M2</v>
      </c>
      <c r="G444" s="438">
        <f>QUANT!K1342</f>
        <v>10.199999999999999</v>
      </c>
      <c r="H444" s="439">
        <f>IFERROR(VLOOKUP($C444,'SINAPI JULHO 2018'!$A:$D,4,0),IFERROR(VLOOKUP($C444,'5-COMP. PROPRIA'!$B$13:$I$518,8,0),""))</f>
        <v>1.1399999999999999</v>
      </c>
      <c r="I444" s="440">
        <f>H444*'4-BDI'!$E$29</f>
        <v>1.4619359999999999</v>
      </c>
      <c r="J444" s="63">
        <f t="shared" ref="J444" si="232">TRUNC(G444*H444,2)</f>
        <v>11.62</v>
      </c>
      <c r="K444" s="190">
        <f t="shared" ref="K444" si="233">TRUNC(G444*I444,2)</f>
        <v>14.91</v>
      </c>
    </row>
    <row r="445" spans="2:11" ht="15">
      <c r="B445" s="14" t="s">
        <v>13066</v>
      </c>
      <c r="C445" s="435" t="str">
        <f>QUANT!C1344</f>
        <v>CP-TRP-01</v>
      </c>
      <c r="D445" s="435" t="str">
        <f>QUANT!D1344</f>
        <v>PRÓRPIA</v>
      </c>
      <c r="E445" s="436" t="str">
        <f>IFERROR(VLOOKUP($C445,'SINAPI JULHO 2018'!$1:$1048576,2,0),IFERROR(VLOOKUP($C445,'5-COMP. PROPRIA'!$B$13:$I$518,4,0),""))</f>
        <v>AQUISIÇÃO DE CARGA E TRANSPORTE DE SOLO PARA ATERRO</v>
      </c>
      <c r="F445" s="437" t="str">
        <f>IFERROR(VLOOKUP($C445,'SINAPI JULHO 2018'!$A:$D,3,0),IFERROR(VLOOKUP($C445,'5-COMP. PROPRIA'!$B$13:$I$518,5,0),""))</f>
        <v xml:space="preserve">M3    </v>
      </c>
      <c r="G445" s="438">
        <f>QUANT!K1344</f>
        <v>1.02</v>
      </c>
      <c r="H445" s="439">
        <f>IFERROR(VLOOKUP($C445,'SINAPI JULHO 2018'!$A:$D,4,0),IFERROR(VLOOKUP($C445,'5-COMP. PROPRIA'!$B$13:$I$518,8,0),""))</f>
        <v>88.86</v>
      </c>
      <c r="I445" s="440">
        <f>H445*'4-BDI'!$E$29</f>
        <v>113.954064</v>
      </c>
      <c r="J445" s="63">
        <f t="shared" ref="J445" si="234">TRUNC(G445*H445,2)</f>
        <v>90.63</v>
      </c>
      <c r="K445" s="190">
        <f t="shared" ref="K445" si="235">TRUNC(G445*I445,2)</f>
        <v>116.23</v>
      </c>
    </row>
    <row r="446" spans="2:11" ht="30">
      <c r="B446" s="14" t="s">
        <v>13067</v>
      </c>
      <c r="C446" s="435">
        <f>QUANT!C1346</f>
        <v>96385</v>
      </c>
      <c r="D446" s="435" t="str">
        <f>QUANT!D1346</f>
        <v>SINAPI</v>
      </c>
      <c r="E446" s="436" t="str">
        <f>IFERROR(VLOOKUP($C446,'SINAPI JULHO 2018'!$1:$1048576,2,0),IFERROR(VLOOKUP($C446,'5-COMP. PROPRIA'!$B$13:$I$518,4,0),""))</f>
        <v>EXECUÇÃO E COMPACTAÇÃO DE ATERRO COM SOLO PREDOMINANTEMENTE ARGILOSO - EXCLUSIVE ESCAVAÇÃO, CARGA E TRANSPORTE E SOLO. AF_09/2017</v>
      </c>
      <c r="F446" s="437" t="str">
        <f>IFERROR(VLOOKUP($C446,'SINAPI JULHO 2018'!$A:$D,3,0),IFERROR(VLOOKUP($C446,'5-COMP. PROPRIA'!$B$13:$I$518,5,0),""))</f>
        <v>M3</v>
      </c>
      <c r="G446" s="438">
        <f>QUANT!K1346</f>
        <v>1.02</v>
      </c>
      <c r="H446" s="439">
        <f>IFERROR(VLOOKUP($C446,'SINAPI JULHO 2018'!$A:$D,4,0),IFERROR(VLOOKUP($C446,'5-COMP. PROPRIA'!$B$13:$I$518,8,0),""))</f>
        <v>4.8499999999999996</v>
      </c>
      <c r="I446" s="440">
        <f>H446*'4-BDI'!$E$29</f>
        <v>6.2196399999999992</v>
      </c>
      <c r="J446" s="63">
        <f t="shared" ref="J446:J451" si="236">TRUNC(G446*H446,2)</f>
        <v>4.9400000000000004</v>
      </c>
      <c r="K446" s="190">
        <f t="shared" ref="K446:K451" si="237">TRUNC(G446*I446,2)</f>
        <v>6.34</v>
      </c>
    </row>
    <row r="447" spans="2:11" ht="30">
      <c r="B447" s="14" t="s">
        <v>13068</v>
      </c>
      <c r="C447" s="435">
        <f>QUANT!C1348</f>
        <v>95241</v>
      </c>
      <c r="D447" s="435" t="str">
        <f>QUANT!D1348</f>
        <v>SINAPI</v>
      </c>
      <c r="E447" s="436" t="str">
        <f>IFERROR(VLOOKUP($C447,'SINAPI JULHO 2018'!$1:$1048576,2,0),IFERROR(VLOOKUP($C447,'5-COMP. PROPRIA'!$B$13:$I$518,4,0),""))</f>
        <v>LASTRO DE CONCRETO MAGRO, APLICADO EM PISOS OU RADIERS, ESPESSURA DE 5 CM. AF_07/2016</v>
      </c>
      <c r="F447" s="437" t="str">
        <f>IFERROR(VLOOKUP($C447,'SINAPI JULHO 2018'!$A:$D,3,0),IFERROR(VLOOKUP($C447,'5-COMP. PROPRIA'!$B$13:$I$518,5,0),""))</f>
        <v>M2</v>
      </c>
      <c r="G447" s="438">
        <f>QUANT!K1348</f>
        <v>10.199999999999999</v>
      </c>
      <c r="H447" s="439">
        <f>IFERROR(VLOOKUP($C447,'SINAPI JULHO 2018'!$A:$D,4,0),IFERROR(VLOOKUP($C447,'5-COMP. PROPRIA'!$B$13:$I$518,8,0),""))</f>
        <v>20.02</v>
      </c>
      <c r="I447" s="440">
        <f>H447*'4-BDI'!$E$29</f>
        <v>25.673648</v>
      </c>
      <c r="J447" s="63">
        <f t="shared" si="236"/>
        <v>204.2</v>
      </c>
      <c r="K447" s="190">
        <f t="shared" si="237"/>
        <v>261.87</v>
      </c>
    </row>
    <row r="448" spans="2:11" ht="45">
      <c r="B448" s="14" t="s">
        <v>13069</v>
      </c>
      <c r="C448" s="435">
        <f>QUANT!C1350</f>
        <v>87620</v>
      </c>
      <c r="D448" s="435" t="str">
        <f>QUANT!D1350</f>
        <v>SINAPI</v>
      </c>
      <c r="E448" s="436" t="str">
        <f>IFERROR(VLOOKUP($C448,'SINAPI JULHO 2018'!$1:$1048576,2,0),IFERROR(VLOOKUP($C448,'5-COMP. PROPRIA'!$B$13:$I$518,4,0),""))</f>
        <v>CONTRAPISO EM ARGAMASSA TRAÇO 1:4 (CIMENTO E AREIA), PREPARO MECÂNICO COM BETONEIRA 400 L, APLICADO EM ÁREAS SECAS SOBRE LAJE, ADERIDO, ESPESSURA 2CM. AF_06/2014</v>
      </c>
      <c r="F448" s="437" t="str">
        <f>IFERROR(VLOOKUP($C448,'SINAPI JULHO 2018'!$A:$D,3,0),IFERROR(VLOOKUP($C448,'5-COMP. PROPRIA'!$B$13:$I$518,5,0),""))</f>
        <v>M2</v>
      </c>
      <c r="G448" s="438">
        <f>QUANT!K1350</f>
        <v>10.199999999999999</v>
      </c>
      <c r="H448" s="439">
        <f>IFERROR(VLOOKUP($C448,'SINAPI JULHO 2018'!$A:$D,4,0),IFERROR(VLOOKUP($C448,'5-COMP. PROPRIA'!$B$13:$I$518,8,0),""))</f>
        <v>24.83</v>
      </c>
      <c r="I448" s="440">
        <f>H448*'4-BDI'!$E$29</f>
        <v>31.841991999999998</v>
      </c>
      <c r="J448" s="63">
        <f t="shared" si="236"/>
        <v>253.26</v>
      </c>
      <c r="K448" s="190">
        <f t="shared" si="237"/>
        <v>324.77999999999997</v>
      </c>
    </row>
    <row r="449" spans="2:11" ht="30">
      <c r="B449" s="14" t="s">
        <v>13070</v>
      </c>
      <c r="C449" s="435">
        <f>QUANT!C1352</f>
        <v>84191</v>
      </c>
      <c r="D449" s="435" t="str">
        <f>QUANT!D1352</f>
        <v>SINAPI</v>
      </c>
      <c r="E449" s="436" t="str">
        <f>IFERROR(VLOOKUP($C449,'SINAPI JULHO 2018'!$1:$1048576,2,0),IFERROR(VLOOKUP($C449,'5-COMP. PROPRIA'!$B$13:$I$518,4,0),""))</f>
        <v>PISO EM GRANILITE, MARMORITE OU GRANITINA ESPESSURA 8 MM, INCLUSO JUNTAS DE DILATACAO PLASTICAS</v>
      </c>
      <c r="F449" s="437" t="str">
        <f>IFERROR(VLOOKUP($C449,'SINAPI JULHO 2018'!$A:$D,3,0),IFERROR(VLOOKUP($C449,'5-COMP. PROPRIA'!$B$13:$I$518,5,0),""))</f>
        <v>M2</v>
      </c>
      <c r="G449" s="438">
        <f>QUANT!K1352</f>
        <v>10.199999999999999</v>
      </c>
      <c r="H449" s="439">
        <f>IFERROR(VLOOKUP($C449,'SINAPI JULHO 2018'!$A:$D,4,0),IFERROR(VLOOKUP($C449,'5-COMP. PROPRIA'!$B$13:$I$518,8,0),""))</f>
        <v>95.34</v>
      </c>
      <c r="I449" s="440">
        <f>H449*'4-BDI'!$E$29</f>
        <v>122.264016</v>
      </c>
      <c r="J449" s="63">
        <f t="shared" si="236"/>
        <v>972.46</v>
      </c>
      <c r="K449" s="190">
        <f t="shared" si="237"/>
        <v>1247.0899999999999</v>
      </c>
    </row>
    <row r="450" spans="2:11" ht="30">
      <c r="B450" s="14" t="s">
        <v>13071</v>
      </c>
      <c r="C450" s="435" t="str">
        <f>QUANT!C1354</f>
        <v>73872/1</v>
      </c>
      <c r="D450" s="435" t="str">
        <f>QUANT!D1354</f>
        <v>SINAPI</v>
      </c>
      <c r="E450" s="436" t="str">
        <f>IFERROR(VLOOKUP($C450,'SINAPI JULHO 2018'!$1:$1048576,2,0),IFERROR(VLOOKUP($C450,'5-COMP. PROPRIA'!$B$13:$I$518,4,0),""))</f>
        <v>IMPERMEABILIZACAO COM PINTURA A BASE DE RESINA EPOXI ALCATRAO, UMA DEMAO.</v>
      </c>
      <c r="F450" s="437" t="str">
        <f>IFERROR(VLOOKUP($C450,'SINAPI JULHO 2018'!$A:$D,3,0),IFERROR(VLOOKUP($C450,'5-COMP. PROPRIA'!$B$13:$I$518,5,0),""))</f>
        <v>M2</v>
      </c>
      <c r="G450" s="438">
        <f>QUANT!K1354</f>
        <v>10.199999999999999</v>
      </c>
      <c r="H450" s="439">
        <f>IFERROR(VLOOKUP($C450,'SINAPI JULHO 2018'!$A:$D,4,0),IFERROR(VLOOKUP($C450,'5-COMP. PROPRIA'!$B$13:$I$518,8,0),""))</f>
        <v>26</v>
      </c>
      <c r="I450" s="440">
        <f>H450*'4-BDI'!$E$29</f>
        <v>33.342399999999998</v>
      </c>
      <c r="J450" s="63">
        <f t="shared" si="236"/>
        <v>265.2</v>
      </c>
      <c r="K450" s="190">
        <f t="shared" si="237"/>
        <v>340.09</v>
      </c>
    </row>
    <row r="451" spans="2:11" ht="15">
      <c r="B451" s="14" t="s">
        <v>13072</v>
      </c>
      <c r="C451" s="435" t="str">
        <f>QUANT!C1356</f>
        <v>73850/1</v>
      </c>
      <c r="D451" s="435" t="str">
        <f>QUANT!D1356</f>
        <v>SINAPI</v>
      </c>
      <c r="E451" s="436" t="str">
        <f>IFERROR(VLOOKUP($C451,'SINAPI JULHO 2018'!$1:$1048576,2,0),IFERROR(VLOOKUP($C451,'5-COMP. PROPRIA'!$B$13:$I$518,4,0),""))</f>
        <v>RODAPE EM MARMORITE, ALTURA 10CM</v>
      </c>
      <c r="F451" s="437" t="str">
        <f>IFERROR(VLOOKUP($C451,'SINAPI JULHO 2018'!$A:$D,3,0),IFERROR(VLOOKUP($C451,'5-COMP. PROPRIA'!$B$13:$I$518,5,0),""))</f>
        <v>M</v>
      </c>
      <c r="G451" s="438">
        <f>QUANT!K1356</f>
        <v>13.5</v>
      </c>
      <c r="H451" s="439">
        <f>IFERROR(VLOOKUP($C451,'SINAPI JULHO 2018'!$A:$D,4,0),IFERROR(VLOOKUP($C451,'5-COMP. PROPRIA'!$B$13:$I$518,8,0),""))</f>
        <v>22.15</v>
      </c>
      <c r="I451" s="440">
        <f>H451*'4-BDI'!$E$29</f>
        <v>28.405159999999999</v>
      </c>
      <c r="J451" s="63">
        <f t="shared" si="236"/>
        <v>299.02</v>
      </c>
      <c r="K451" s="190">
        <f t="shared" si="237"/>
        <v>383.46</v>
      </c>
    </row>
    <row r="452" spans="2:11" ht="15">
      <c r="B452" s="362" t="s">
        <v>13073</v>
      </c>
      <c r="C452" s="363"/>
      <c r="D452" s="363"/>
      <c r="E452" s="363" t="str">
        <f>QUANT!E1358</f>
        <v>COBERTURA</v>
      </c>
      <c r="F452" s="364"/>
      <c r="G452" s="365"/>
      <c r="H452" s="366"/>
      <c r="I452" s="367"/>
      <c r="J452" s="368"/>
      <c r="K452" s="369"/>
    </row>
    <row r="453" spans="2:11" ht="60">
      <c r="B453" s="14" t="s">
        <v>13074</v>
      </c>
      <c r="C453" s="435">
        <f>QUANT!C1360</f>
        <v>72110</v>
      </c>
      <c r="D453" s="435" t="str">
        <f>QUANT!D1360</f>
        <v>SINAPI</v>
      </c>
      <c r="E453" s="436" t="str">
        <f>IFERROR(VLOOKUP($C453,'SINAPI JULHO 2018'!$1:$1048576,2,0),IFERROR(VLOOKUP($C453,'5-COMP. PROPRIA'!$B$13:$I$518,4,0),""))</f>
        <v>ESTRUTURA METALICA EM TESOURAS OU TRELICAS, VAO LIVRE DE 12M, FORNECIMENTO E MONTAGEM, NAO SENDO CONSIDERADOS OS FECHAMENTOS METALICOS, AS COLUNAS, OS SERVICOS GERAIS EM ALVENARIA E CONCRETO, AS TELHAS DE COBERTURA E A PINTURA DE ACABAMENTO</v>
      </c>
      <c r="F453" s="437" t="str">
        <f>IFERROR(VLOOKUP($C453,'SINAPI JULHO 2018'!$A:$D,3,0),IFERROR(VLOOKUP($C453,'5-COMP. PROPRIA'!$B$13:$I$518,5,0),""))</f>
        <v>M2</v>
      </c>
      <c r="G453" s="438">
        <f>QUANT!K1360</f>
        <v>16.5</v>
      </c>
      <c r="H453" s="439">
        <f>IFERROR(VLOOKUP($C453,'SINAPI JULHO 2018'!$A:$D,4,0),IFERROR(VLOOKUP($C453,'5-COMP. PROPRIA'!$B$13:$I$518,8,0),""))</f>
        <v>68.239999999999995</v>
      </c>
      <c r="I453" s="440">
        <f>H453*'4-BDI'!$E$29</f>
        <v>87.510975999999999</v>
      </c>
      <c r="J453" s="63">
        <f t="shared" ref="J453" si="238">TRUNC(G453*H453,2)</f>
        <v>1125.96</v>
      </c>
      <c r="K453" s="190">
        <f t="shared" ref="K453" si="239">TRUNC(G453*I453,2)</f>
        <v>1443.93</v>
      </c>
    </row>
    <row r="454" spans="2:11" ht="45">
      <c r="B454" s="14" t="s">
        <v>13075</v>
      </c>
      <c r="C454" s="435">
        <f>QUANT!C1362</f>
        <v>92569</v>
      </c>
      <c r="D454" s="435" t="str">
        <f>QUANT!D1362</f>
        <v>SINAPI</v>
      </c>
      <c r="E454" s="436" t="str">
        <f>IFERROR(VLOOKUP($C454,'SINAPI JULHO 2018'!$1:$1048576,2,0),IFERROR(VLOOKUP($C454,'5-COMP. PROPRIA'!$B$13:$I$518,4,0),""))</f>
        <v>TRAMA DE AÇO COMPOSTA POR RIPAS E CAIBROS PARA TELHADOS DE ATÉ 2 ÁGUAS PARA TELHA DE ENCAIXE DE CERÂMICA OU DE CONCRETO, INCLUSO TRANSPORTE VERTICAL. AF_12/2015</v>
      </c>
      <c r="F454" s="437" t="str">
        <f>IFERROR(VLOOKUP($C454,'SINAPI JULHO 2018'!$A:$D,3,0),IFERROR(VLOOKUP($C454,'5-COMP. PROPRIA'!$B$13:$I$518,5,0),""))</f>
        <v>M2</v>
      </c>
      <c r="G454" s="438">
        <f>QUANT!K1362</f>
        <v>16.5</v>
      </c>
      <c r="H454" s="439">
        <f>IFERROR(VLOOKUP($C454,'SINAPI JULHO 2018'!$A:$D,4,0),IFERROR(VLOOKUP($C454,'5-COMP. PROPRIA'!$B$13:$I$518,8,0),""))</f>
        <v>26.73</v>
      </c>
      <c r="I454" s="440">
        <f>H454*'4-BDI'!$E$29</f>
        <v>34.278551999999998</v>
      </c>
      <c r="J454" s="63">
        <f t="shared" ref="J454:J459" si="240">TRUNC(G454*H454,2)</f>
        <v>441.04</v>
      </c>
      <c r="K454" s="190">
        <f t="shared" ref="K454:K459" si="241">TRUNC(G454*I454,2)</f>
        <v>565.59</v>
      </c>
    </row>
    <row r="455" spans="2:11" ht="15">
      <c r="B455" s="14" t="s">
        <v>13076</v>
      </c>
      <c r="C455" s="435" t="str">
        <f>QUANT!C1364</f>
        <v>CP-LIX-02</v>
      </c>
      <c r="D455" s="435" t="str">
        <f>QUANT!D1364</f>
        <v>PRÓRPIA</v>
      </c>
      <c r="E455" s="436" t="str">
        <f>IFERROR(VLOOKUP($C455,'SINAPI JULHO 2018'!$1:$1048576,2,0),IFERROR(VLOOKUP($C455,'5-COMP. PROPRIA'!$B$13:$I$518,4,0),""))</f>
        <v xml:space="preserve">LIXAMENTO DE SUPERFICIE METÁLICA </v>
      </c>
      <c r="F455" s="437" t="str">
        <f>IFERROR(VLOOKUP($C455,'SINAPI JULHO 2018'!$A:$D,3,0),IFERROR(VLOOKUP($C455,'5-COMP. PROPRIA'!$B$13:$I$518,5,0),""))</f>
        <v>M2</v>
      </c>
      <c r="G455" s="438">
        <f>QUANT!K1364</f>
        <v>66</v>
      </c>
      <c r="H455" s="439">
        <f>IFERROR(VLOOKUP($C455,'SINAPI JULHO 2018'!$A:$D,4,0),IFERROR(VLOOKUP($C455,'5-COMP. PROPRIA'!$B$13:$I$518,8,0),""))</f>
        <v>4.66</v>
      </c>
      <c r="I455" s="440">
        <f>H455*'4-BDI'!$E$29</f>
        <v>5.9759840000000004</v>
      </c>
      <c r="J455" s="63">
        <f t="shared" ref="J455:J456" si="242">TRUNC(G455*H455,2)</f>
        <v>307.56</v>
      </c>
      <c r="K455" s="190">
        <f t="shared" ref="K455:K456" si="243">TRUNC(G455*I455,2)</f>
        <v>394.41</v>
      </c>
    </row>
    <row r="456" spans="2:11" ht="15">
      <c r="B456" s="14" t="s">
        <v>13077</v>
      </c>
      <c r="C456" s="435" t="str">
        <f>QUANT!C1366</f>
        <v>73924/1</v>
      </c>
      <c r="D456" s="435" t="str">
        <f>QUANT!D1366</f>
        <v>SINAPI</v>
      </c>
      <c r="E456" s="436" t="str">
        <f>IFERROR(VLOOKUP($C456,'SINAPI JULHO 2018'!$1:$1048576,2,0),IFERROR(VLOOKUP($C456,'5-COMP. PROPRIA'!$B$13:$I$518,4,0),""))</f>
        <v>PINTURA ESMALTE ALTO BRILHO, DUAS DEMAOS, SOBRE SUPERFICIE METALICA</v>
      </c>
      <c r="F456" s="437" t="str">
        <f>IFERROR(VLOOKUP($C456,'SINAPI JULHO 2018'!$A:$D,3,0),IFERROR(VLOOKUP($C456,'5-COMP. PROPRIA'!$B$13:$I$518,5,0),""))</f>
        <v>M2</v>
      </c>
      <c r="G456" s="438">
        <f>QUANT!K1366</f>
        <v>66</v>
      </c>
      <c r="H456" s="439">
        <f>IFERROR(VLOOKUP($C456,'SINAPI JULHO 2018'!$A:$D,4,0),IFERROR(VLOOKUP($C456,'5-COMP. PROPRIA'!$B$13:$I$518,8,0),""))</f>
        <v>21.24</v>
      </c>
      <c r="I456" s="440">
        <f>H456*'4-BDI'!$E$29</f>
        <v>27.238175999999999</v>
      </c>
      <c r="J456" s="63">
        <f t="shared" si="242"/>
        <v>1401.84</v>
      </c>
      <c r="K456" s="190">
        <f t="shared" si="243"/>
        <v>1797.71</v>
      </c>
    </row>
    <row r="457" spans="2:11" ht="45">
      <c r="B457" s="14" t="s">
        <v>13078</v>
      </c>
      <c r="C457" s="435">
        <f>QUANT!C1368</f>
        <v>94210</v>
      </c>
      <c r="D457" s="435" t="str">
        <f>QUANT!D1368</f>
        <v>SINAPI</v>
      </c>
      <c r="E457" s="436" t="str">
        <f>IFERROR(VLOOKUP($C457,'SINAPI JULHO 2018'!$1:$1048576,2,0),IFERROR(VLOOKUP($C457,'5-COMP. PROPRIA'!$B$13:$I$518,4,0),""))</f>
        <v>TELHAMENTO COM TELHA ONDULADA DE FIBROCIMENTO E = 6 MM, COM RECOBRIMENTO LATERAL DE 1 1/4 DE ONDA PARA TELHADO COM INCLINAÇÃO MÁXIMA DE 10°, COM ATÉ 2 ÁGUAS, INCLUSO IÇAMENTO. AF_06/2016</v>
      </c>
      <c r="F457" s="437" t="str">
        <f>IFERROR(VLOOKUP($C457,'SINAPI JULHO 2018'!$A:$D,3,0),IFERROR(VLOOKUP($C457,'5-COMP. PROPRIA'!$B$13:$I$518,5,0),""))</f>
        <v>M2</v>
      </c>
      <c r="G457" s="438">
        <f>QUANT!K1368</f>
        <v>16.5</v>
      </c>
      <c r="H457" s="439">
        <f>IFERROR(VLOOKUP($C457,'SINAPI JULHO 2018'!$A:$D,4,0),IFERROR(VLOOKUP($C457,'5-COMP. PROPRIA'!$B$13:$I$518,8,0),""))</f>
        <v>33.97</v>
      </c>
      <c r="I457" s="440">
        <f>H457*'4-BDI'!$E$29</f>
        <v>43.563127999999999</v>
      </c>
      <c r="J457" s="63">
        <f t="shared" si="240"/>
        <v>560.5</v>
      </c>
      <c r="K457" s="190">
        <f t="shared" si="241"/>
        <v>718.79</v>
      </c>
    </row>
    <row r="458" spans="2:11" ht="30">
      <c r="B458" s="14" t="s">
        <v>13079</v>
      </c>
      <c r="C458" s="435">
        <f>QUANT!C1370</f>
        <v>94231</v>
      </c>
      <c r="D458" s="435" t="str">
        <f>QUANT!D1370</f>
        <v>SINAPI</v>
      </c>
      <c r="E458" s="436" t="str">
        <f>IFERROR(VLOOKUP($C458,'SINAPI JULHO 2018'!$1:$1048576,2,0),IFERROR(VLOOKUP($C458,'5-COMP. PROPRIA'!$B$13:$I$518,4,0),""))</f>
        <v>RUFO EM CHAPA DE AÇO GALVANIZADO NÚMERO 24, CORTE DE 25 CM, INCLUSO TRANSPORTE VERTICAL. AF_06/2016</v>
      </c>
      <c r="F458" s="437" t="str">
        <f>IFERROR(VLOOKUP($C458,'SINAPI JULHO 2018'!$A:$D,3,0),IFERROR(VLOOKUP($C458,'5-COMP. PROPRIA'!$B$13:$I$518,5,0),""))</f>
        <v>M</v>
      </c>
      <c r="G458" s="438">
        <f>QUANT!K1370</f>
        <v>3.5</v>
      </c>
      <c r="H458" s="439">
        <f>IFERROR(VLOOKUP($C458,'SINAPI JULHO 2018'!$A:$D,4,0),IFERROR(VLOOKUP($C458,'5-COMP. PROPRIA'!$B$13:$I$518,8,0),""))</f>
        <v>24.35</v>
      </c>
      <c r="I458" s="440">
        <f>H458*'4-BDI'!$E$29</f>
        <v>31.22644</v>
      </c>
      <c r="J458" s="63">
        <f t="shared" si="240"/>
        <v>85.22</v>
      </c>
      <c r="K458" s="190">
        <f t="shared" si="241"/>
        <v>109.29</v>
      </c>
    </row>
    <row r="459" spans="2:11" ht="30">
      <c r="B459" s="14" t="s">
        <v>13080</v>
      </c>
      <c r="C459" s="435">
        <f>QUANT!C1372</f>
        <v>96116</v>
      </c>
      <c r="D459" s="435" t="str">
        <f>QUANT!D1372</f>
        <v>SINAPI</v>
      </c>
      <c r="E459" s="436" t="str">
        <f>IFERROR(VLOOKUP($C459,'SINAPI JULHO 2018'!$1:$1048576,2,0),IFERROR(VLOOKUP($C459,'5-COMP. PROPRIA'!$B$13:$I$518,4,0),""))</f>
        <v>FORRO EM RÉGUAS DE PVC, FRISADO, PARA AMBIENTES COMERCIAIS, INCLUSIVE ESTRUTURA DE FIXAÇÃO. AF_05/2017_P</v>
      </c>
      <c r="F459" s="437" t="str">
        <f>IFERROR(VLOOKUP($C459,'SINAPI JULHO 2018'!$A:$D,3,0),IFERROR(VLOOKUP($C459,'5-COMP. PROPRIA'!$B$13:$I$518,5,0),""))</f>
        <v>M2</v>
      </c>
      <c r="G459" s="438">
        <f>QUANT!K1372</f>
        <v>10.199999999999999</v>
      </c>
      <c r="H459" s="439">
        <f>IFERROR(VLOOKUP($C459,'SINAPI JULHO 2018'!$A:$D,4,0),IFERROR(VLOOKUP($C459,'5-COMP. PROPRIA'!$B$13:$I$518,8,0),""))</f>
        <v>42.15</v>
      </c>
      <c r="I459" s="440">
        <f>H459*'4-BDI'!$E$29</f>
        <v>54.053159999999998</v>
      </c>
      <c r="J459" s="63">
        <f t="shared" si="240"/>
        <v>429.93</v>
      </c>
      <c r="K459" s="190">
        <f t="shared" si="241"/>
        <v>551.34</v>
      </c>
    </row>
    <row r="460" spans="2:11" ht="15">
      <c r="B460" s="526" t="s">
        <v>12756</v>
      </c>
      <c r="C460" s="527"/>
      <c r="D460" s="527"/>
      <c r="E460" s="527"/>
      <c r="F460" s="527"/>
      <c r="G460" s="527"/>
      <c r="H460" s="527"/>
      <c r="I460" s="294"/>
      <c r="J460" s="189">
        <f>SUM(J398:J459)</f>
        <v>16447.660000000003</v>
      </c>
      <c r="K460" s="192">
        <f>SUM(K398:K459)</f>
        <v>21092.539999999997</v>
      </c>
    </row>
    <row r="461" spans="2:11" ht="15">
      <c r="B461" s="305" t="s">
        <v>13081</v>
      </c>
      <c r="C461" s="306"/>
      <c r="D461" s="307"/>
      <c r="E461" s="308" t="str">
        <f>QUANT!E1374</f>
        <v>BANHEIRO PUBLICO 01</v>
      </c>
      <c r="F461" s="309"/>
      <c r="G461" s="310"/>
      <c r="H461" s="311"/>
      <c r="I461" s="311"/>
      <c r="J461" s="312"/>
      <c r="K461" s="313"/>
    </row>
    <row r="462" spans="2:11" ht="15">
      <c r="B462" s="362" t="s">
        <v>13082</v>
      </c>
      <c r="C462" s="363"/>
      <c r="D462" s="363"/>
      <c r="E462" s="363" t="str">
        <f>QUANT!E1376</f>
        <v>SERVIÇOS PRELIMINARES</v>
      </c>
      <c r="F462" s="364"/>
      <c r="G462" s="365"/>
      <c r="H462" s="366"/>
      <c r="I462" s="367"/>
      <c r="J462" s="368"/>
      <c r="K462" s="369"/>
    </row>
    <row r="463" spans="2:11" ht="30">
      <c r="B463" s="13" t="s">
        <v>13083</v>
      </c>
      <c r="C463" s="435">
        <f>QUANT!C1378</f>
        <v>97622</v>
      </c>
      <c r="D463" s="435" t="str">
        <f>QUANT!D1378</f>
        <v>SINAPI</v>
      </c>
      <c r="E463" s="436" t="str">
        <f>IFERROR(VLOOKUP($C463,'SINAPI JULHO 2018'!$1:$1048576,2,0),IFERROR(VLOOKUP($C463,'5-COMP. PROPRIA'!$B$13:$I$518,4,0),""))</f>
        <v>DEMOLIÇÃO DE ALVENARIA DE BLOCO FURADO, DE FORMA MANUAL, SEM REAPROVEITAMENTO. AF_12/2017</v>
      </c>
      <c r="F463" s="437" t="str">
        <f>IFERROR(VLOOKUP($C463,'SINAPI JULHO 2018'!$A:$D,3,0),IFERROR(VLOOKUP($C463,'5-COMP. PROPRIA'!$B$13:$I$518,5,0),""))</f>
        <v>M3</v>
      </c>
      <c r="G463" s="438">
        <f>QUANT!K1378</f>
        <v>4.0600000000000005</v>
      </c>
      <c r="H463" s="439">
        <f>IFERROR(VLOOKUP($C463,'SINAPI JULHO 2018'!$A:$D,4,0),IFERROR(VLOOKUP($C463,'5-COMP. PROPRIA'!$B$13:$I$518,8,0),""))</f>
        <v>37.22</v>
      </c>
      <c r="I463" s="440">
        <f>H463*'4-BDI'!$E$29</f>
        <v>47.730927999999999</v>
      </c>
      <c r="J463" s="63">
        <f t="shared" ref="J463" si="244">TRUNC(G463*H463,2)</f>
        <v>151.11000000000001</v>
      </c>
      <c r="K463" s="190">
        <f t="shared" ref="K463" si="245">TRUNC(G463*I463,2)</f>
        <v>193.78</v>
      </c>
    </row>
    <row r="464" spans="2:11" ht="15">
      <c r="B464" s="13" t="s">
        <v>13084</v>
      </c>
      <c r="C464" s="435" t="str">
        <f>QUANT!C1380</f>
        <v>CP-DEM-01</v>
      </c>
      <c r="D464" s="435" t="str">
        <f>QUANT!D1380</f>
        <v>PRÓPRIA</v>
      </c>
      <c r="E464" s="436" t="str">
        <f>IFERROR(VLOOKUP($C464,'SINAPI JULHO 2018'!$1:$1048576,2,0),IFERROR(VLOOKUP($C464,'5-COMP. PROPRIA'!$B$13:$I$518,4,0),""))</f>
        <v>DEMOLIÇÃO DE CONCRETO SIMPLES</v>
      </c>
      <c r="F464" s="437" t="str">
        <f>IFERROR(VLOOKUP($C464,'SINAPI JULHO 2018'!$A:$D,3,0),IFERROR(VLOOKUP($C464,'5-COMP. PROPRIA'!$B$13:$I$518,5,0),""))</f>
        <v>M3</v>
      </c>
      <c r="G464" s="438">
        <f>QUANT!K1380</f>
        <v>1.5015000000000001</v>
      </c>
      <c r="H464" s="439">
        <f>IFERROR(VLOOKUP($C464,'SINAPI JULHO 2018'!$A:$D,4,0),IFERROR(VLOOKUP($C464,'5-COMP. PROPRIA'!$B$13:$I$518,8,0),""))</f>
        <v>165.98</v>
      </c>
      <c r="I464" s="440">
        <f>H464*'4-BDI'!$E$29</f>
        <v>212.85275199999998</v>
      </c>
      <c r="J464" s="63">
        <f t="shared" ref="J464:J469" si="246">TRUNC(G464*H464,2)</f>
        <v>249.21</v>
      </c>
      <c r="K464" s="190">
        <f t="shared" ref="K464:K469" si="247">TRUNC(G464*I464,2)</f>
        <v>319.58999999999997</v>
      </c>
    </row>
    <row r="465" spans="2:11" ht="15">
      <c r="B465" s="13" t="s">
        <v>13085</v>
      </c>
      <c r="C465" s="435">
        <f>QUANT!C1382</f>
        <v>72897</v>
      </c>
      <c r="D465" s="435" t="str">
        <f>QUANT!D1382</f>
        <v>SINAPI</v>
      </c>
      <c r="E465" s="436" t="str">
        <f>IFERROR(VLOOKUP($C465,'SINAPI JULHO 2018'!$1:$1048576,2,0),IFERROR(VLOOKUP($C465,'5-COMP. PROPRIA'!$B$13:$I$518,4,0),""))</f>
        <v>CARGA MANUAL DE ENTULHO EM CAMINHAO BASCULANTE 6 M3</v>
      </c>
      <c r="F465" s="437" t="str">
        <f>IFERROR(VLOOKUP($C465,'SINAPI JULHO 2018'!$A:$D,3,0),IFERROR(VLOOKUP($C465,'5-COMP. PROPRIA'!$B$13:$I$518,5,0),""))</f>
        <v>M3</v>
      </c>
      <c r="G465" s="438">
        <f>QUANT!K1382</f>
        <v>11.123000000000001</v>
      </c>
      <c r="H465" s="439">
        <f>IFERROR(VLOOKUP($C465,'SINAPI JULHO 2018'!$A:$D,4,0),IFERROR(VLOOKUP($C465,'5-COMP. PROPRIA'!$B$13:$I$518,8,0),""))</f>
        <v>17.34</v>
      </c>
      <c r="I465" s="440">
        <f>H465*'4-BDI'!$E$29</f>
        <v>22.236816000000001</v>
      </c>
      <c r="J465" s="63">
        <f t="shared" ref="J465:J466" si="248">TRUNC(G465*H465,2)</f>
        <v>192.87</v>
      </c>
      <c r="K465" s="190">
        <f t="shared" ref="K465:K466" si="249">TRUNC(G465*I465,2)</f>
        <v>247.34</v>
      </c>
    </row>
    <row r="466" spans="2:11" ht="30">
      <c r="B466" s="13" t="s">
        <v>13086</v>
      </c>
      <c r="C466" s="435">
        <f>QUANT!C1384</f>
        <v>97914</v>
      </c>
      <c r="D466" s="435" t="str">
        <f>QUANT!D1384</f>
        <v>SINAPI</v>
      </c>
      <c r="E466" s="436" t="str">
        <f>IFERROR(VLOOKUP($C466,'SINAPI JULHO 2018'!$1:$1048576,2,0),IFERROR(VLOOKUP($C466,'5-COMP. PROPRIA'!$B$13:$I$518,4,0),""))</f>
        <v>TRANSPORTE COM CAMINHÃO BASCULANTE DE 6 M3, EM VIA URBANA PAVIMENTADA, DMT ATÉ 30 KM (UNIDADE: M3XKM). AF_01/2018</v>
      </c>
      <c r="F466" s="437" t="str">
        <f>IFERROR(VLOOKUP($C466,'SINAPI JULHO 2018'!$A:$D,3,0),IFERROR(VLOOKUP($C466,'5-COMP. PROPRIA'!$B$13:$I$518,5,0),""))</f>
        <v>M3XKM</v>
      </c>
      <c r="G466" s="438">
        <f>QUANT!K1384</f>
        <v>83.422500000000014</v>
      </c>
      <c r="H466" s="439">
        <f>IFERROR(VLOOKUP($C466,'SINAPI JULHO 2018'!$A:$D,4,0),IFERROR(VLOOKUP($C466,'5-COMP. PROPRIA'!$B$13:$I$518,8,0),""))</f>
        <v>1.52</v>
      </c>
      <c r="I466" s="440">
        <f>H466*'4-BDI'!$E$29</f>
        <v>1.9492480000000001</v>
      </c>
      <c r="J466" s="63">
        <f t="shared" si="248"/>
        <v>126.8</v>
      </c>
      <c r="K466" s="190">
        <f t="shared" si="249"/>
        <v>162.61000000000001</v>
      </c>
    </row>
    <row r="467" spans="2:11" ht="60">
      <c r="B467" s="13" t="s">
        <v>13087</v>
      </c>
      <c r="C467" s="435">
        <f>QUANT!C1388</f>
        <v>89977</v>
      </c>
      <c r="D467" s="435" t="str">
        <f>QUANT!D1388</f>
        <v>SINAPI</v>
      </c>
      <c r="E467" s="436" t="str">
        <f>IFERROR(VLOOKUP($C467,'SINAPI JULHO 2018'!$1:$1048576,2,0),IFERROR(VLOOKUP($C467,'5-COMP. PROPRIA'!$B$13:$I$518,4,0),""))</f>
        <v>(COMPOSIÇÃO REPRESENTATIVA) DO SERVIÇO DE ALVENARIA DE VEDAÇÃO DE BLOCOS VAZADOS DE CERÂMICA DE 14X9X19CM (ESPESSURA 14CM, BLOCO DEITADO), PARA EDIFICAÇÃO HABITACIONAL UNIFAMILIAR (CASA) E EDIFICAÇÃO PÚBLICA PADRÃO. AF_12/2014</v>
      </c>
      <c r="F467" s="437" t="str">
        <f>IFERROR(VLOOKUP($C467,'SINAPI JULHO 2018'!$A:$D,3,0),IFERROR(VLOOKUP($C467,'5-COMP. PROPRIA'!$B$13:$I$518,5,0),""))</f>
        <v>M2</v>
      </c>
      <c r="G467" s="438">
        <f>QUANT!K1388</f>
        <v>2.25</v>
      </c>
      <c r="H467" s="439">
        <f>IFERROR(VLOOKUP($C467,'SINAPI JULHO 2018'!$A:$D,4,0),IFERROR(VLOOKUP($C467,'5-COMP. PROPRIA'!$B$13:$I$518,8,0),""))</f>
        <v>101.04</v>
      </c>
      <c r="I467" s="440">
        <f>H467*'4-BDI'!$E$29</f>
        <v>129.57369600000001</v>
      </c>
      <c r="J467" s="63">
        <f t="shared" si="246"/>
        <v>227.34</v>
      </c>
      <c r="K467" s="190">
        <f t="shared" si="247"/>
        <v>291.54000000000002</v>
      </c>
    </row>
    <row r="468" spans="2:11" ht="45">
      <c r="B468" s="13" t="s">
        <v>13088</v>
      </c>
      <c r="C468" s="435">
        <f>QUANT!C1390</f>
        <v>87894</v>
      </c>
      <c r="D468" s="435" t="str">
        <f>QUANT!D1390</f>
        <v>SINAPI</v>
      </c>
      <c r="E468" s="436" t="str">
        <f>IFERROR(VLOOKUP($C468,'SINAPI JULHO 2018'!$1:$1048576,2,0),IFERROR(VLOOKUP($C468,'5-COMP. PROPRIA'!$B$13:$I$518,4,0),""))</f>
        <v>CHAPISCO APLICADO EM ALVENARIA (SEM PRESENÇA DE VÃOS) E ESTRUTURAS DE CONCRETO DE FACHADA, COM COLHER DE PEDREIRO.  ARGAMASSA TRAÇO 1:3 COM PREPARO EM BETONEIRA 400L. AF_06/2014</v>
      </c>
      <c r="F468" s="437" t="str">
        <f>IFERROR(VLOOKUP($C468,'SINAPI JULHO 2018'!$A:$D,3,0),IFERROR(VLOOKUP($C468,'5-COMP. PROPRIA'!$B$13:$I$518,5,0),""))</f>
        <v>M2</v>
      </c>
      <c r="G468" s="438">
        <f>QUANT!K1390</f>
        <v>4.5</v>
      </c>
      <c r="H468" s="439">
        <f>IFERROR(VLOOKUP($C468,'SINAPI JULHO 2018'!$A:$D,4,0),IFERROR(VLOOKUP($C468,'5-COMP. PROPRIA'!$B$13:$I$518,8,0),""))</f>
        <v>4.41</v>
      </c>
      <c r="I468" s="440">
        <f>H468*'4-BDI'!$E$29</f>
        <v>5.6553839999999997</v>
      </c>
      <c r="J468" s="63">
        <f t="shared" si="246"/>
        <v>19.84</v>
      </c>
      <c r="K468" s="190">
        <f t="shared" si="247"/>
        <v>25.44</v>
      </c>
    </row>
    <row r="469" spans="2:11" ht="60">
      <c r="B469" s="13" t="s">
        <v>13089</v>
      </c>
      <c r="C469" s="435">
        <f>QUANT!C1392</f>
        <v>87529</v>
      </c>
      <c r="D469" s="435" t="str">
        <f>QUANT!D1392</f>
        <v>SINAPI</v>
      </c>
      <c r="E469" s="436" t="str">
        <f>IFERROR(VLOOKUP($C469,'SINAPI JULHO 2018'!$1:$1048576,2,0),IFERROR(VLOOKUP($C469,'5-COMP. PROPRIA'!$B$13:$I$518,4,0),""))</f>
        <v>MASSA ÚNICA, PARA RECEBIMENTO DE PINTURA, EM ARGAMASSA TRAÇO 1:2:8, PREPARO MECÂNICO COM BETONEIRA 400L, APLICADA MANUALMENTE EM FACES INTERNAS DE PAREDES, ESPESSURA DE 20MM, COM EXECUÇÃO DE TALISCAS. AF_06/2014</v>
      </c>
      <c r="F469" s="437" t="str">
        <f>IFERROR(VLOOKUP($C469,'SINAPI JULHO 2018'!$A:$D,3,0),IFERROR(VLOOKUP($C469,'5-COMP. PROPRIA'!$B$13:$I$518,5,0),""))</f>
        <v>M2</v>
      </c>
      <c r="G469" s="438">
        <f>QUANT!K1392</f>
        <v>4.5</v>
      </c>
      <c r="H469" s="439">
        <f>IFERROR(VLOOKUP($C469,'SINAPI JULHO 2018'!$A:$D,4,0),IFERROR(VLOOKUP($C469,'5-COMP. PROPRIA'!$B$13:$I$518,8,0),""))</f>
        <v>23.86</v>
      </c>
      <c r="I469" s="440">
        <f>H469*'4-BDI'!$E$29</f>
        <v>30.598063999999997</v>
      </c>
      <c r="J469" s="63">
        <f t="shared" si="246"/>
        <v>107.37</v>
      </c>
      <c r="K469" s="190">
        <f t="shared" si="247"/>
        <v>137.69</v>
      </c>
    </row>
    <row r="470" spans="2:11" ht="30">
      <c r="B470" s="13" t="s">
        <v>13090</v>
      </c>
      <c r="C470" s="435">
        <f>QUANT!C1394</f>
        <v>88485</v>
      </c>
      <c r="D470" s="435" t="str">
        <f>QUANT!D1394</f>
        <v>SINAPI</v>
      </c>
      <c r="E470" s="436" t="str">
        <f>IFERROR(VLOOKUP($C470,'SINAPI JULHO 2018'!$1:$1048576,2,0),IFERROR(VLOOKUP($C470,'5-COMP. PROPRIA'!$B$13:$I$518,4,0),""))</f>
        <v>APLICAÇÃO DE FUNDO SELADOR ACRÍLICO EM PAREDES, UMA DEMÃO. AF_06/2014</v>
      </c>
      <c r="F470" s="437" t="str">
        <f>IFERROR(VLOOKUP($C470,'SINAPI JULHO 2018'!$A:$D,3,0),IFERROR(VLOOKUP($C470,'5-COMP. PROPRIA'!$B$13:$I$518,5,0),""))</f>
        <v>M2</v>
      </c>
      <c r="G470" s="438">
        <f>QUANT!K1394</f>
        <v>4.5</v>
      </c>
      <c r="H470" s="439">
        <f>IFERROR(VLOOKUP($C470,'SINAPI JULHO 2018'!$A:$D,4,0),IFERROR(VLOOKUP($C470,'5-COMP. PROPRIA'!$B$13:$I$518,8,0),""))</f>
        <v>1.6</v>
      </c>
      <c r="I470" s="440">
        <f>H470*'4-BDI'!$E$29</f>
        <v>2.0518399999999999</v>
      </c>
      <c r="J470" s="63">
        <f t="shared" ref="J470" si="250">TRUNC(G470*H470,2)</f>
        <v>7.2</v>
      </c>
      <c r="K470" s="190">
        <f t="shared" ref="K470" si="251">TRUNC(G470*I470,2)</f>
        <v>9.23</v>
      </c>
    </row>
    <row r="471" spans="2:11" ht="15">
      <c r="B471" s="362" t="s">
        <v>13091</v>
      </c>
      <c r="C471" s="363"/>
      <c r="D471" s="363"/>
      <c r="E471" s="363" t="str">
        <f>QUANT!E1396</f>
        <v xml:space="preserve">FUNDAÇÃO </v>
      </c>
      <c r="F471" s="364"/>
      <c r="G471" s="365"/>
      <c r="H471" s="366"/>
      <c r="I471" s="367"/>
      <c r="J471" s="368"/>
      <c r="K471" s="369"/>
    </row>
    <row r="472" spans="2:11" ht="15">
      <c r="B472" s="314" t="s">
        <v>13092</v>
      </c>
      <c r="C472" s="96"/>
      <c r="D472" s="96"/>
      <c r="E472" s="96" t="str">
        <f>QUANT!E1398</f>
        <v xml:space="preserve">SAPATAS </v>
      </c>
      <c r="F472" s="178"/>
      <c r="G472" s="146"/>
      <c r="H472" s="145"/>
      <c r="I472" s="219"/>
      <c r="J472" s="65"/>
      <c r="K472" s="191"/>
    </row>
    <row r="473" spans="2:11" ht="30">
      <c r="B473" s="13" t="s">
        <v>13093</v>
      </c>
      <c r="C473" s="435">
        <f>QUANT!C1400</f>
        <v>96523</v>
      </c>
      <c r="D473" s="435" t="str">
        <f>QUANT!D1400</f>
        <v>SINAPI</v>
      </c>
      <c r="E473" s="436" t="str">
        <f>IFERROR(VLOOKUP($C473,'SINAPI JULHO 2018'!$1:$1048576,2,0),IFERROR(VLOOKUP($C473,'5-COMP. PROPRIA'!$B$13:$I$518,4,0),""))</f>
        <v>ESCAVAÇÃO MANUAL PARA BLOCO DE COROAMENTO OU SAPATA, COM PREVISÃO DE FÔRMA. AF_06/2017</v>
      </c>
      <c r="F473" s="437" t="str">
        <f>IFERROR(VLOOKUP($C473,'SINAPI JULHO 2018'!$A:$D,3,0),IFERROR(VLOOKUP($C473,'5-COMP. PROPRIA'!$B$13:$I$518,5,0),""))</f>
        <v>M3</v>
      </c>
      <c r="G473" s="438">
        <f>QUANT!K1400</f>
        <v>5.90625</v>
      </c>
      <c r="H473" s="439">
        <f>IFERROR(VLOOKUP($C473,'SINAPI JULHO 2018'!$A:$D,4,0),IFERROR(VLOOKUP($C473,'5-COMP. PROPRIA'!$B$13:$I$518,8,0),""))</f>
        <v>64.599999999999994</v>
      </c>
      <c r="I473" s="440">
        <f>H473*'4-BDI'!$E$29</f>
        <v>82.843039999999988</v>
      </c>
      <c r="J473" s="63">
        <f t="shared" ref="J473" si="252">TRUNC(G473*H473,2)</f>
        <v>381.54</v>
      </c>
      <c r="K473" s="190">
        <f t="shared" ref="K473" si="253">TRUNC(G473*I473,2)</f>
        <v>489.29</v>
      </c>
    </row>
    <row r="474" spans="2:11" ht="30">
      <c r="B474" s="13" t="s">
        <v>13094</v>
      </c>
      <c r="C474" s="435">
        <f>QUANT!C1404</f>
        <v>96617</v>
      </c>
      <c r="D474" s="435" t="str">
        <f>QUANT!D1404</f>
        <v>SINAPI</v>
      </c>
      <c r="E474" s="436" t="str">
        <f>IFERROR(VLOOKUP($C474,'SINAPI JULHO 2018'!$1:$1048576,2,0),IFERROR(VLOOKUP($C474,'5-COMP. PROPRIA'!$B$13:$I$518,4,0),""))</f>
        <v>LASTRO DE CONCRETO MAGRO, APLICADO EM BLOCOS DE COROAMENTO OU SAPATAS, ESPESSURA DE 3 CM. AF_08/2017</v>
      </c>
      <c r="F474" s="437" t="str">
        <f>IFERROR(VLOOKUP($C474,'SINAPI JULHO 2018'!$A:$D,3,0),IFERROR(VLOOKUP($C474,'5-COMP. PROPRIA'!$B$13:$I$518,5,0),""))</f>
        <v>M2</v>
      </c>
      <c r="G474" s="438">
        <f>QUANT!K1404</f>
        <v>3.5999999999999996</v>
      </c>
      <c r="H474" s="439">
        <f>IFERROR(VLOOKUP($C474,'SINAPI JULHO 2018'!$A:$D,4,0),IFERROR(VLOOKUP($C474,'5-COMP. PROPRIA'!$B$13:$I$518,8,0),""))</f>
        <v>12.49</v>
      </c>
      <c r="I474" s="440">
        <f>H474*'4-BDI'!$E$29</f>
        <v>16.017175999999999</v>
      </c>
      <c r="J474" s="63">
        <f t="shared" ref="J474:J493" si="254">TRUNC(G474*H474,2)</f>
        <v>44.96</v>
      </c>
      <c r="K474" s="190">
        <f t="shared" ref="K474:K493" si="255">TRUNC(G474*I474,2)</f>
        <v>57.66</v>
      </c>
    </row>
    <row r="475" spans="2:11" ht="30">
      <c r="B475" s="13" t="s">
        <v>13095</v>
      </c>
      <c r="C475" s="435">
        <f>QUANT!C1408</f>
        <v>94965</v>
      </c>
      <c r="D475" s="435" t="str">
        <f>QUANT!D1408</f>
        <v>SINAPI</v>
      </c>
      <c r="E475" s="436" t="str">
        <f>IFERROR(VLOOKUP($C475,'SINAPI JULHO 2018'!$1:$1048576,2,0),IFERROR(VLOOKUP($C475,'5-COMP. PROPRIA'!$B$13:$I$518,4,0),""))</f>
        <v>CONCRETO FCK = 25MPA, TRAÇO 1:2,3:2,7 (CIMENTO/ AREIA MÉDIA/ BRITA 1)  - PREPARO MECÂNICO COM BETONEIRA 400 L. AF_07/2016</v>
      </c>
      <c r="F475" s="437" t="str">
        <f>IFERROR(VLOOKUP($C475,'SINAPI JULHO 2018'!$A:$D,3,0),IFERROR(VLOOKUP($C475,'5-COMP. PROPRIA'!$B$13:$I$518,5,0),""))</f>
        <v>M3</v>
      </c>
      <c r="G475" s="438">
        <f>QUANT!K1408</f>
        <v>0.36</v>
      </c>
      <c r="H475" s="439">
        <f>IFERROR(VLOOKUP($C475,'SINAPI JULHO 2018'!$A:$D,4,0),IFERROR(VLOOKUP($C475,'5-COMP. PROPRIA'!$B$13:$I$518,8,0),""))</f>
        <v>323.45</v>
      </c>
      <c r="I475" s="440">
        <f>H475*'4-BDI'!$E$29</f>
        <v>414.79228000000001</v>
      </c>
      <c r="J475" s="63">
        <f t="shared" si="254"/>
        <v>116.44</v>
      </c>
      <c r="K475" s="190">
        <f t="shared" si="255"/>
        <v>149.32</v>
      </c>
    </row>
    <row r="476" spans="2:11" ht="15">
      <c r="B476" s="13" t="s">
        <v>13096</v>
      </c>
      <c r="C476" s="435" t="str">
        <f>QUANT!C1412</f>
        <v>74157/4</v>
      </c>
      <c r="D476" s="435" t="str">
        <f>QUANT!D1412</f>
        <v>SINAPI</v>
      </c>
      <c r="E476" s="436" t="str">
        <f>IFERROR(VLOOKUP($C476,'SINAPI JULHO 2018'!$1:$1048576,2,0),IFERROR(VLOOKUP($C476,'5-COMP. PROPRIA'!$B$13:$I$518,4,0),""))</f>
        <v>LANCAMENTO/APLICACAO MANUAL DE CONCRETO EM FUNDACOES</v>
      </c>
      <c r="F476" s="437" t="str">
        <f>IFERROR(VLOOKUP($C476,'SINAPI JULHO 2018'!$A:$D,3,0),IFERROR(VLOOKUP($C476,'5-COMP. PROPRIA'!$B$13:$I$518,5,0),""))</f>
        <v>M3</v>
      </c>
      <c r="G476" s="438">
        <f>QUANT!K1412</f>
        <v>0.36</v>
      </c>
      <c r="H476" s="439">
        <f>IFERROR(VLOOKUP($C476,'SINAPI JULHO 2018'!$A:$D,4,0),IFERROR(VLOOKUP($C476,'5-COMP. PROPRIA'!$B$13:$I$518,8,0),""))</f>
        <v>93.76</v>
      </c>
      <c r="I476" s="440">
        <f>H476*'4-BDI'!$E$29</f>
        <v>120.237824</v>
      </c>
      <c r="J476" s="63">
        <f t="shared" si="254"/>
        <v>33.75</v>
      </c>
      <c r="K476" s="190">
        <f t="shared" si="255"/>
        <v>43.28</v>
      </c>
    </row>
    <row r="477" spans="2:11" ht="30">
      <c r="B477" s="13" t="s">
        <v>13097</v>
      </c>
      <c r="C477" s="435">
        <f>QUANT!C1414</f>
        <v>96545</v>
      </c>
      <c r="D477" s="435" t="str">
        <f>QUANT!D1414</f>
        <v>SINAPI</v>
      </c>
      <c r="E477" s="436" t="str">
        <f>IFERROR(VLOOKUP($C477,'SINAPI JULHO 2018'!$1:$1048576,2,0),IFERROR(VLOOKUP($C477,'5-COMP. PROPRIA'!$B$13:$I$518,4,0),""))</f>
        <v>ARMAÇÃO DE BLOCO, VIGA BALDRAME OU SAPATA UTILIZANDO AÇO CA-50 DE 8 MM - MONTAGEM. AF_06/2017</v>
      </c>
      <c r="F477" s="437" t="str">
        <f>IFERROR(VLOOKUP($C477,'SINAPI JULHO 2018'!$A:$D,3,0),IFERROR(VLOOKUP($C477,'5-COMP. PROPRIA'!$B$13:$I$518,5,0),""))</f>
        <v>KG</v>
      </c>
      <c r="G477" s="438">
        <f>QUANT!K1414</f>
        <v>26.818112000000006</v>
      </c>
      <c r="H477" s="439">
        <f>IFERROR(VLOOKUP($C477,'SINAPI JULHO 2018'!$A:$D,4,0),IFERROR(VLOOKUP($C477,'5-COMP. PROPRIA'!$B$13:$I$518,8,0),""))</f>
        <v>9.19</v>
      </c>
      <c r="I477" s="440">
        <f>H477*'4-BDI'!$E$29</f>
        <v>11.785255999999999</v>
      </c>
      <c r="J477" s="63">
        <f t="shared" si="254"/>
        <v>246.45</v>
      </c>
      <c r="K477" s="190">
        <f t="shared" si="255"/>
        <v>316.05</v>
      </c>
    </row>
    <row r="478" spans="2:11" ht="30">
      <c r="B478" s="13" t="s">
        <v>13098</v>
      </c>
      <c r="C478" s="435">
        <f>QUANT!C1419</f>
        <v>96529</v>
      </c>
      <c r="D478" s="435" t="str">
        <f>QUANT!D1419</f>
        <v>SINAPI</v>
      </c>
      <c r="E478" s="436" t="str">
        <f>IFERROR(VLOOKUP($C478,'SINAPI JULHO 2018'!$1:$1048576,2,0),IFERROR(VLOOKUP($C478,'5-COMP. PROPRIA'!$B$13:$I$518,4,0),""))</f>
        <v>FABRICAÇÃO, MONTAGEM E DESMONTAGEM DE FÔRMA PARA SAPATA, EM MADEIRA SERRADA, E=25 MM, 1 UTILIZAÇÃO. AF_06/2017</v>
      </c>
      <c r="F478" s="437" t="str">
        <f>IFERROR(VLOOKUP($C478,'SINAPI JULHO 2018'!$A:$D,3,0),IFERROR(VLOOKUP($C478,'5-COMP. PROPRIA'!$B$13:$I$518,5,0),""))</f>
        <v>M2</v>
      </c>
      <c r="G478" s="438">
        <f>QUANT!K1419</f>
        <v>2.4</v>
      </c>
      <c r="H478" s="439">
        <f>IFERROR(VLOOKUP($C478,'SINAPI JULHO 2018'!$A:$D,4,0),IFERROR(VLOOKUP($C478,'5-COMP. PROPRIA'!$B$13:$I$518,8,0),""))</f>
        <v>156.33000000000001</v>
      </c>
      <c r="I478" s="440">
        <f>H478*'4-BDI'!$E$29</f>
        <v>200.47759200000002</v>
      </c>
      <c r="J478" s="63">
        <f t="shared" si="254"/>
        <v>375.19</v>
      </c>
      <c r="K478" s="190">
        <f t="shared" si="255"/>
        <v>481.14</v>
      </c>
    </row>
    <row r="479" spans="2:11" ht="15">
      <c r="B479" s="13" t="s">
        <v>13099</v>
      </c>
      <c r="C479" s="435">
        <f>QUANT!C1423</f>
        <v>93382</v>
      </c>
      <c r="D479" s="435" t="str">
        <f>QUANT!D1419</f>
        <v>SINAPI</v>
      </c>
      <c r="E479" s="436" t="str">
        <f>IFERROR(VLOOKUP($C479,'SINAPI JULHO 2018'!$1:$1048576,2,0),IFERROR(VLOOKUP($C479,'5-COMP. PROPRIA'!$B$13:$I$518,4,0),""))</f>
        <v>REATERRO MANUAL DE VALAS COM COMPACTAÇÃO MECANIZADA. AF_04/2016</v>
      </c>
      <c r="F479" s="437" t="str">
        <f>IFERROR(VLOOKUP($C479,'SINAPI JULHO 2018'!$A:$D,3,0),IFERROR(VLOOKUP($C479,'5-COMP. PROPRIA'!$B$13:$I$518,5,0),""))</f>
        <v>M3</v>
      </c>
      <c r="G479" s="438">
        <f>QUANT!K1423</f>
        <v>5.5462499999999997</v>
      </c>
      <c r="H479" s="439">
        <f>IFERROR(VLOOKUP($C479,'SINAPI JULHO 2018'!$A:$D,4,0),IFERROR(VLOOKUP($C479,'5-COMP. PROPRIA'!$B$13:$I$518,8,0),""))</f>
        <v>19.27</v>
      </c>
      <c r="I479" s="440">
        <f>H479*'4-BDI'!$E$29</f>
        <v>24.711848</v>
      </c>
      <c r="J479" s="63">
        <f t="shared" si="254"/>
        <v>106.87</v>
      </c>
      <c r="K479" s="190">
        <f t="shared" si="255"/>
        <v>137.05000000000001</v>
      </c>
    </row>
    <row r="480" spans="2:11" ht="15">
      <c r="B480" s="13" t="s">
        <v>13100</v>
      </c>
      <c r="C480" s="435">
        <f>QUANT!C1427</f>
        <v>72897</v>
      </c>
      <c r="D480" s="435" t="str">
        <f>QUANT!D1423</f>
        <v>SINAPI</v>
      </c>
      <c r="E480" s="436" t="str">
        <f>IFERROR(VLOOKUP($C480,'SINAPI JULHO 2018'!$1:$1048576,2,0),IFERROR(VLOOKUP($C480,'5-COMP. PROPRIA'!$B$13:$I$518,4,0),""))</f>
        <v>CARGA MANUAL DE ENTULHO EM CAMINHAO BASCULANTE 6 M3</v>
      </c>
      <c r="F480" s="437" t="str">
        <f>IFERROR(VLOOKUP($C480,'SINAPI JULHO 2018'!$A:$D,3,0),IFERROR(VLOOKUP($C480,'5-COMP. PROPRIA'!$B$13:$I$518,5,0),""))</f>
        <v>M3</v>
      </c>
      <c r="G480" s="438">
        <f>QUANT!K1427</f>
        <v>0.46799999999999997</v>
      </c>
      <c r="H480" s="439">
        <f>IFERROR(VLOOKUP($C480,'SINAPI JULHO 2018'!$A:$D,4,0),IFERROR(VLOOKUP($C480,'5-COMP. PROPRIA'!$B$13:$I$518,8,0),""))</f>
        <v>17.34</v>
      </c>
      <c r="I480" s="440">
        <f>H480*'4-BDI'!$E$29</f>
        <v>22.236816000000001</v>
      </c>
      <c r="J480" s="63">
        <f t="shared" si="254"/>
        <v>8.11</v>
      </c>
      <c r="K480" s="190">
        <f t="shared" si="255"/>
        <v>10.4</v>
      </c>
    </row>
    <row r="481" spans="2:11" ht="30">
      <c r="B481" s="13" t="s">
        <v>13101</v>
      </c>
      <c r="C481" s="435">
        <f>QUANT!C1431</f>
        <v>97914</v>
      </c>
      <c r="D481" s="435" t="str">
        <f>QUANT!D1431</f>
        <v>SINAPI</v>
      </c>
      <c r="E481" s="436" t="str">
        <f>IFERROR(VLOOKUP($C481,'SINAPI JULHO 2018'!$1:$1048576,2,0),IFERROR(VLOOKUP($C481,'5-COMP. PROPRIA'!$B$13:$I$518,4,0),""))</f>
        <v>TRANSPORTE COM CAMINHÃO BASCULANTE DE 6 M3, EM VIA URBANA PAVIMENTADA, DMT ATÉ 30 KM (UNIDADE: M3XKM). AF_01/2018</v>
      </c>
      <c r="F481" s="437" t="str">
        <f>IFERROR(VLOOKUP($C481,'SINAPI JULHO 2018'!$A:$D,3,0),IFERROR(VLOOKUP($C481,'5-COMP. PROPRIA'!$B$13:$I$518,5,0),""))</f>
        <v>M3XKM</v>
      </c>
      <c r="G481" s="438">
        <f>QUANT!K1431</f>
        <v>3.51</v>
      </c>
      <c r="H481" s="439">
        <f>IFERROR(VLOOKUP($C481,'SINAPI JULHO 2018'!$A:$D,4,0),IFERROR(VLOOKUP($C481,'5-COMP. PROPRIA'!$B$13:$I$518,8,0),""))</f>
        <v>1.52</v>
      </c>
      <c r="I481" s="440">
        <f>H481*'4-BDI'!$E$29</f>
        <v>1.9492480000000001</v>
      </c>
      <c r="J481" s="63">
        <f t="shared" si="254"/>
        <v>5.33</v>
      </c>
      <c r="K481" s="190">
        <f t="shared" si="255"/>
        <v>6.84</v>
      </c>
    </row>
    <row r="482" spans="2:11" ht="15">
      <c r="B482" s="314" t="s">
        <v>13102</v>
      </c>
      <c r="C482" s="96"/>
      <c r="D482" s="96"/>
      <c r="E482" s="96" t="str">
        <f>QUANT!E1435</f>
        <v>BALDRAMES</v>
      </c>
      <c r="F482" s="178"/>
      <c r="G482" s="146"/>
      <c r="H482" s="145"/>
      <c r="I482" s="219"/>
      <c r="J482" s="65"/>
      <c r="K482" s="191"/>
    </row>
    <row r="483" spans="2:11" ht="30">
      <c r="B483" s="13" t="s">
        <v>13103</v>
      </c>
      <c r="C483" s="435">
        <f>QUANT!C1437</f>
        <v>96527</v>
      </c>
      <c r="D483" s="435" t="str">
        <f>QUANT!D1437</f>
        <v>SINAPI</v>
      </c>
      <c r="E483" s="436" t="str">
        <f>IFERROR(VLOOKUP($C483,'SINAPI JULHO 2018'!$1:$1048576,2,0),IFERROR(VLOOKUP($C483,'5-COMP. PROPRIA'!$B$13:$I$518,4,0),""))</f>
        <v>ESCAVAÇÃO MANUAL DE VALA PARA VIGA BALDRAME, COM PREVISÃO DE FÔRMA. AF_06/2017</v>
      </c>
      <c r="F483" s="437" t="str">
        <f>IFERROR(VLOOKUP($C483,'SINAPI JULHO 2018'!$A:$D,3,0),IFERROR(VLOOKUP($C483,'5-COMP. PROPRIA'!$B$13:$I$518,5,0),""))</f>
        <v>M3</v>
      </c>
      <c r="G483" s="438">
        <f>QUANT!K1437</f>
        <v>1.8372900000000003</v>
      </c>
      <c r="H483" s="439">
        <f>IFERROR(VLOOKUP($C483,'SINAPI JULHO 2018'!$A:$D,4,0),IFERROR(VLOOKUP($C483,'5-COMP. PROPRIA'!$B$13:$I$518,8,0),""))</f>
        <v>84.88</v>
      </c>
      <c r="I483" s="440">
        <f>H483*'4-BDI'!$E$29</f>
        <v>108.850112</v>
      </c>
      <c r="J483" s="63">
        <f t="shared" si="254"/>
        <v>155.94</v>
      </c>
      <c r="K483" s="190">
        <f t="shared" si="255"/>
        <v>199.98</v>
      </c>
    </row>
    <row r="484" spans="2:11" ht="30">
      <c r="B484" s="13" t="s">
        <v>13104</v>
      </c>
      <c r="C484" s="435">
        <f>QUANT!C1441</f>
        <v>96617</v>
      </c>
      <c r="D484" s="435" t="str">
        <f>QUANT!D1441</f>
        <v>SINAPI</v>
      </c>
      <c r="E484" s="436" t="str">
        <f>IFERROR(VLOOKUP($C484,'SINAPI JULHO 2018'!$1:$1048576,2,0),IFERROR(VLOOKUP($C484,'5-COMP. PROPRIA'!$B$13:$I$518,4,0),""))</f>
        <v>LASTRO DE CONCRETO MAGRO, APLICADO EM BLOCOS DE COROAMENTO OU SAPATAS, ESPESSURA DE 3 CM. AF_08/2017</v>
      </c>
      <c r="F484" s="437" t="str">
        <f>IFERROR(VLOOKUP($C484,'SINAPI JULHO 2018'!$A:$D,3,0),IFERROR(VLOOKUP($C484,'5-COMP. PROPRIA'!$B$13:$I$518,5,0),""))</f>
        <v>M2</v>
      </c>
      <c r="G484" s="438">
        <f>QUANT!K1441</f>
        <v>4.7110000000000012</v>
      </c>
      <c r="H484" s="439">
        <f>IFERROR(VLOOKUP($C484,'SINAPI JULHO 2018'!$A:$D,4,0),IFERROR(VLOOKUP($C484,'5-COMP. PROPRIA'!$B$13:$I$518,8,0),""))</f>
        <v>12.49</v>
      </c>
      <c r="I484" s="440">
        <f>H484*'4-BDI'!$E$29</f>
        <v>16.017175999999999</v>
      </c>
      <c r="J484" s="63">
        <f t="shared" si="254"/>
        <v>58.84</v>
      </c>
      <c r="K484" s="190">
        <f t="shared" si="255"/>
        <v>75.45</v>
      </c>
    </row>
    <row r="485" spans="2:11" ht="30">
      <c r="B485" s="13" t="s">
        <v>13105</v>
      </c>
      <c r="C485" s="435">
        <f>QUANT!C1445</f>
        <v>94965</v>
      </c>
      <c r="D485" s="435" t="str">
        <f>QUANT!D1445</f>
        <v>SINAPI</v>
      </c>
      <c r="E485" s="436" t="str">
        <f>IFERROR(VLOOKUP($C485,'SINAPI JULHO 2018'!$1:$1048576,2,0),IFERROR(VLOOKUP($C485,'5-COMP. PROPRIA'!$B$13:$I$518,4,0),""))</f>
        <v>CONCRETO FCK = 25MPA, TRAÇO 1:2,3:2,7 (CIMENTO/ AREIA MÉDIA/ BRITA 1)  - PREPARO MECÂNICO COM BETONEIRA 400 L. AF_07/2016</v>
      </c>
      <c r="F485" s="437" t="str">
        <f>IFERROR(VLOOKUP($C485,'SINAPI JULHO 2018'!$A:$D,3,0),IFERROR(VLOOKUP($C485,'5-COMP. PROPRIA'!$B$13:$I$518,5,0),""))</f>
        <v>M3</v>
      </c>
      <c r="G485" s="438">
        <f>QUANT!K1445</f>
        <v>1.4133000000000002</v>
      </c>
      <c r="H485" s="439">
        <f>IFERROR(VLOOKUP($C485,'SINAPI JULHO 2018'!$A:$D,4,0),IFERROR(VLOOKUP($C485,'5-COMP. PROPRIA'!$B$13:$I$518,8,0),""))</f>
        <v>323.45</v>
      </c>
      <c r="I485" s="440">
        <f>H485*'4-BDI'!$E$29</f>
        <v>414.79228000000001</v>
      </c>
      <c r="J485" s="63">
        <f t="shared" si="254"/>
        <v>457.13</v>
      </c>
      <c r="K485" s="190">
        <f t="shared" si="255"/>
        <v>586.22</v>
      </c>
    </row>
    <row r="486" spans="2:11" ht="15">
      <c r="B486" s="13" t="s">
        <v>13106</v>
      </c>
      <c r="C486" s="435" t="str">
        <f>QUANT!C1449</f>
        <v>74157/4</v>
      </c>
      <c r="D486" s="435" t="str">
        <f>QUANT!D1449</f>
        <v>SINAPI</v>
      </c>
      <c r="E486" s="436" t="str">
        <f>IFERROR(VLOOKUP($C486,'SINAPI JULHO 2018'!$1:$1048576,2,0),IFERROR(VLOOKUP($C486,'5-COMP. PROPRIA'!$B$13:$I$518,4,0),""))</f>
        <v>LANCAMENTO/APLICACAO MANUAL DE CONCRETO EM FUNDACOES</v>
      </c>
      <c r="F486" s="437" t="str">
        <f>IFERROR(VLOOKUP($C486,'SINAPI JULHO 2018'!$A:$D,3,0),IFERROR(VLOOKUP($C486,'5-COMP. PROPRIA'!$B$13:$I$518,5,0),""))</f>
        <v>M3</v>
      </c>
      <c r="G486" s="438">
        <f>QUANT!K1449</f>
        <v>1.4133000000000002</v>
      </c>
      <c r="H486" s="439">
        <f>IFERROR(VLOOKUP($C486,'SINAPI JULHO 2018'!$A:$D,4,0),IFERROR(VLOOKUP($C486,'5-COMP. PROPRIA'!$B$13:$I$518,8,0),""))</f>
        <v>93.76</v>
      </c>
      <c r="I486" s="440">
        <f>H486*'4-BDI'!$E$29</f>
        <v>120.237824</v>
      </c>
      <c r="J486" s="63">
        <f t="shared" si="254"/>
        <v>132.51</v>
      </c>
      <c r="K486" s="190">
        <f t="shared" si="255"/>
        <v>169.93</v>
      </c>
    </row>
    <row r="487" spans="2:11" ht="30">
      <c r="B487" s="13" t="s">
        <v>13107</v>
      </c>
      <c r="C487" s="435">
        <f>QUANT!C1451</f>
        <v>96543</v>
      </c>
      <c r="D487" s="435" t="str">
        <f>QUANT!D1451</f>
        <v>SINAPI</v>
      </c>
      <c r="E487" s="436" t="str">
        <f>IFERROR(VLOOKUP($C487,'SINAPI JULHO 2018'!$1:$1048576,2,0),IFERROR(VLOOKUP($C487,'5-COMP. PROPRIA'!$B$13:$I$518,4,0),""))</f>
        <v>ARMAÇÃO DE BLOCO, VIGA BALDRAME E SAPATA UTILIZANDO AÇO CA-60 DE 5 MM - MONTAGEM. AF_06/2017</v>
      </c>
      <c r="F487" s="437" t="str">
        <f>IFERROR(VLOOKUP($C487,'SINAPI JULHO 2018'!$A:$D,3,0),IFERROR(VLOOKUP($C487,'5-COMP. PROPRIA'!$B$13:$I$518,5,0),""))</f>
        <v>KG</v>
      </c>
      <c r="G487" s="438">
        <f>QUANT!K1451</f>
        <v>19.180773406250008</v>
      </c>
      <c r="H487" s="439">
        <f>IFERROR(VLOOKUP($C487,'SINAPI JULHO 2018'!$A:$D,4,0),IFERROR(VLOOKUP($C487,'5-COMP. PROPRIA'!$B$13:$I$518,8,0),""))</f>
        <v>11.01</v>
      </c>
      <c r="I487" s="440">
        <f>H487*'4-BDI'!$E$29</f>
        <v>14.119223999999999</v>
      </c>
      <c r="J487" s="63">
        <f t="shared" si="254"/>
        <v>211.18</v>
      </c>
      <c r="K487" s="190">
        <f t="shared" si="255"/>
        <v>270.81</v>
      </c>
    </row>
    <row r="488" spans="2:11" ht="30">
      <c r="B488" s="13" t="s">
        <v>13108</v>
      </c>
      <c r="C488" s="435">
        <f>QUANT!C1456</f>
        <v>96545</v>
      </c>
      <c r="D488" s="435" t="str">
        <f>QUANT!D1456</f>
        <v>SINAPI</v>
      </c>
      <c r="E488" s="436" t="str">
        <f>IFERROR(VLOOKUP($C488,'SINAPI JULHO 2018'!$1:$1048576,2,0),IFERROR(VLOOKUP($C488,'5-COMP. PROPRIA'!$B$13:$I$518,4,0),""))</f>
        <v>ARMAÇÃO DE BLOCO, VIGA BALDRAME OU SAPATA UTILIZANDO AÇO CA-50 DE 8 MM - MONTAGEM. AF_06/2017</v>
      </c>
      <c r="F488" s="437" t="str">
        <f>IFERROR(VLOOKUP($C488,'SINAPI JULHO 2018'!$A:$D,3,0),IFERROR(VLOOKUP($C488,'5-COMP. PROPRIA'!$B$13:$I$518,5,0),""))</f>
        <v>KG</v>
      </c>
      <c r="G488" s="438">
        <f>QUANT!K1456</f>
        <v>53.084086400000011</v>
      </c>
      <c r="H488" s="439">
        <f>IFERROR(VLOOKUP($C488,'SINAPI JULHO 2018'!$A:$D,4,0),IFERROR(VLOOKUP($C488,'5-COMP. PROPRIA'!$B$13:$I$518,8,0),""))</f>
        <v>9.19</v>
      </c>
      <c r="I488" s="440">
        <f>H488*'4-BDI'!$E$29</f>
        <v>11.785255999999999</v>
      </c>
      <c r="J488" s="63">
        <f t="shared" si="254"/>
        <v>487.84</v>
      </c>
      <c r="K488" s="190">
        <f t="shared" si="255"/>
        <v>625.6</v>
      </c>
    </row>
    <row r="489" spans="2:11" ht="30">
      <c r="B489" s="13" t="s">
        <v>13109</v>
      </c>
      <c r="C489" s="435">
        <f>QUANT!C1461</f>
        <v>96536</v>
      </c>
      <c r="D489" s="435" t="str">
        <f>QUANT!D1461</f>
        <v>SINAPI</v>
      </c>
      <c r="E489" s="436" t="str">
        <f>IFERROR(VLOOKUP($C489,'SINAPI JULHO 2018'!$1:$1048576,2,0),IFERROR(VLOOKUP($C489,'5-COMP. PROPRIA'!$B$13:$I$518,4,0),""))</f>
        <v>FABRICAÇÃO, MONTAGEM E DESMONTAGEM DE FÔRMA PARA VIGA BALDRAME, EM MADEIRA SERRADA, E=25 MM, 4 UTILIZAÇÕES. AF_06/2017</v>
      </c>
      <c r="F489" s="437" t="str">
        <f>IFERROR(VLOOKUP($C489,'SINAPI JULHO 2018'!$A:$D,3,0),IFERROR(VLOOKUP($C489,'5-COMP. PROPRIA'!$B$13:$I$518,5,0),""))</f>
        <v>M2</v>
      </c>
      <c r="G489" s="438">
        <f>QUANT!K1461</f>
        <v>20.190000000000001</v>
      </c>
      <c r="H489" s="439">
        <f>IFERROR(VLOOKUP($C489,'SINAPI JULHO 2018'!$A:$D,4,0),IFERROR(VLOOKUP($C489,'5-COMP. PROPRIA'!$B$13:$I$518,8,0),""))</f>
        <v>37.81</v>
      </c>
      <c r="I489" s="440">
        <f>H489*'4-BDI'!$E$29</f>
        <v>48.487544</v>
      </c>
      <c r="J489" s="63">
        <f t="shared" si="254"/>
        <v>763.38</v>
      </c>
      <c r="K489" s="190">
        <f t="shared" si="255"/>
        <v>978.96</v>
      </c>
    </row>
    <row r="490" spans="2:11" ht="15">
      <c r="B490" s="13" t="s">
        <v>13110</v>
      </c>
      <c r="C490" s="435">
        <f>QUANT!C1465</f>
        <v>93382</v>
      </c>
      <c r="D490" s="435" t="str">
        <f>QUANT!D1465</f>
        <v>SINAPI</v>
      </c>
      <c r="E490" s="436" t="str">
        <f>IFERROR(VLOOKUP($C490,'SINAPI JULHO 2018'!$1:$1048576,2,0),IFERROR(VLOOKUP($C490,'5-COMP. PROPRIA'!$B$13:$I$518,4,0),""))</f>
        <v>REATERRO MANUAL DE VALAS COM COMPACTAÇÃO MECANIZADA. AF_04/2016</v>
      </c>
      <c r="F490" s="437" t="str">
        <f>IFERROR(VLOOKUP($C490,'SINAPI JULHO 2018'!$A:$D,3,0),IFERROR(VLOOKUP($C490,'5-COMP. PROPRIA'!$B$13:$I$518,5,0),""))</f>
        <v>M3</v>
      </c>
      <c r="G490" s="438">
        <f>QUANT!K1465</f>
        <v>0.42399000000000009</v>
      </c>
      <c r="H490" s="439">
        <f>IFERROR(VLOOKUP($C490,'SINAPI JULHO 2018'!$A:$D,4,0),IFERROR(VLOOKUP($C490,'5-COMP. PROPRIA'!$B$13:$I$518,8,0),""))</f>
        <v>19.27</v>
      </c>
      <c r="I490" s="440">
        <f>H490*'4-BDI'!$E$29</f>
        <v>24.711848</v>
      </c>
      <c r="J490" s="63">
        <f t="shared" si="254"/>
        <v>8.17</v>
      </c>
      <c r="K490" s="190">
        <f t="shared" si="255"/>
        <v>10.47</v>
      </c>
    </row>
    <row r="491" spans="2:11" ht="30">
      <c r="B491" s="13" t="s">
        <v>13111</v>
      </c>
      <c r="C491" s="435" t="str">
        <f>QUANT!C1469</f>
        <v>74106/1</v>
      </c>
      <c r="D491" s="435" t="str">
        <f>QUANT!D1469</f>
        <v>SINAPI</v>
      </c>
      <c r="E491" s="436" t="str">
        <f>IFERROR(VLOOKUP($C491,'SINAPI JULHO 2018'!$1:$1048576,2,0),IFERROR(VLOOKUP($C491,'5-COMP. PROPRIA'!$B$13:$I$518,4,0),""))</f>
        <v>IMPERMEABILIZACAO DE ESTRUTURAS ENTERRADAS, COM TINTA ASFALTICA, DUAS DEMAOS.</v>
      </c>
      <c r="F491" s="437" t="str">
        <f>IFERROR(VLOOKUP($C491,'SINAPI JULHO 2018'!$A:$D,3,0),IFERROR(VLOOKUP($C491,'5-COMP. PROPRIA'!$B$13:$I$518,5,0),""))</f>
        <v>M2</v>
      </c>
      <c r="G491" s="438">
        <f>QUANT!K1469</f>
        <v>24.901000000000003</v>
      </c>
      <c r="H491" s="439">
        <f>IFERROR(VLOOKUP($C491,'SINAPI JULHO 2018'!$A:$D,4,0),IFERROR(VLOOKUP($C491,'5-COMP. PROPRIA'!$B$13:$I$518,8,0),""))</f>
        <v>9.5399999999999991</v>
      </c>
      <c r="I491" s="440">
        <f>H491*'4-BDI'!$E$29</f>
        <v>12.234095999999999</v>
      </c>
      <c r="J491" s="63">
        <f t="shared" si="254"/>
        <v>237.55</v>
      </c>
      <c r="K491" s="190">
        <f t="shared" si="255"/>
        <v>304.64</v>
      </c>
    </row>
    <row r="492" spans="2:11" ht="15">
      <c r="B492" s="13" t="s">
        <v>13112</v>
      </c>
      <c r="C492" s="435">
        <f>QUANT!C1471</f>
        <v>72897</v>
      </c>
      <c r="D492" s="435" t="str">
        <f>QUANT!D1471</f>
        <v>SINAPI</v>
      </c>
      <c r="E492" s="436" t="str">
        <f>IFERROR(VLOOKUP($C492,'SINAPI JULHO 2018'!$1:$1048576,2,0),IFERROR(VLOOKUP($C492,'5-COMP. PROPRIA'!$B$13:$I$518,4,0),""))</f>
        <v>CARGA MANUAL DE ENTULHO EM CAMINHAO BASCULANTE 6 M3</v>
      </c>
      <c r="F492" s="437" t="str">
        <f>IFERROR(VLOOKUP($C492,'SINAPI JULHO 2018'!$A:$D,3,0),IFERROR(VLOOKUP($C492,'5-COMP. PROPRIA'!$B$13:$I$518,5,0),""))</f>
        <v>M3</v>
      </c>
      <c r="G492" s="438">
        <f>QUANT!K1471</f>
        <v>1.8372900000000003</v>
      </c>
      <c r="H492" s="439">
        <f>IFERROR(VLOOKUP($C492,'SINAPI JULHO 2018'!$A:$D,4,0),IFERROR(VLOOKUP($C492,'5-COMP. PROPRIA'!$B$13:$I$518,8,0),""))</f>
        <v>17.34</v>
      </c>
      <c r="I492" s="440">
        <f>H492*'4-BDI'!$E$29</f>
        <v>22.236816000000001</v>
      </c>
      <c r="J492" s="63">
        <f t="shared" si="254"/>
        <v>31.85</v>
      </c>
      <c r="K492" s="190">
        <f t="shared" si="255"/>
        <v>40.85</v>
      </c>
    </row>
    <row r="493" spans="2:11" ht="30">
      <c r="B493" s="13" t="s">
        <v>13113</v>
      </c>
      <c r="C493" s="435">
        <f>QUANT!C1475</f>
        <v>97914</v>
      </c>
      <c r="D493" s="435" t="str">
        <f>QUANT!D1475</f>
        <v>SINAPI</v>
      </c>
      <c r="E493" s="436" t="str">
        <f>IFERROR(VLOOKUP($C493,'SINAPI JULHO 2018'!$1:$1048576,2,0),IFERROR(VLOOKUP($C493,'5-COMP. PROPRIA'!$B$13:$I$518,4,0),""))</f>
        <v>TRANSPORTE COM CAMINHÃO BASCULANTE DE 6 M3, EM VIA URBANA PAVIMENTADA, DMT ATÉ 30 KM (UNIDADE: M3XKM). AF_01/2018</v>
      </c>
      <c r="F493" s="437" t="str">
        <f>IFERROR(VLOOKUP($C493,'SINAPI JULHO 2018'!$A:$D,3,0),IFERROR(VLOOKUP($C493,'5-COMP. PROPRIA'!$B$13:$I$518,5,0),""))</f>
        <v>M3XKM</v>
      </c>
      <c r="G493" s="438">
        <f>QUANT!K1475</f>
        <v>13.779675000000003</v>
      </c>
      <c r="H493" s="439">
        <f>IFERROR(VLOOKUP($C493,'SINAPI JULHO 2018'!$A:$D,4,0),IFERROR(VLOOKUP($C493,'5-COMP. PROPRIA'!$B$13:$I$518,8,0),""))</f>
        <v>1.52</v>
      </c>
      <c r="I493" s="440">
        <f>H493*'4-BDI'!$E$29</f>
        <v>1.9492480000000001</v>
      </c>
      <c r="J493" s="63">
        <f t="shared" si="254"/>
        <v>20.94</v>
      </c>
      <c r="K493" s="190">
        <f t="shared" si="255"/>
        <v>26.86</v>
      </c>
    </row>
    <row r="494" spans="2:11" ht="15">
      <c r="B494" s="362" t="s">
        <v>13114</v>
      </c>
      <c r="C494" s="363"/>
      <c r="D494" s="363"/>
      <c r="E494" s="363" t="str">
        <f>QUANT!E1479</f>
        <v xml:space="preserve">SUPERESTRUTURA </v>
      </c>
      <c r="F494" s="364"/>
      <c r="G494" s="365"/>
      <c r="H494" s="366"/>
      <c r="I494" s="367"/>
      <c r="J494" s="368"/>
      <c r="K494" s="369"/>
    </row>
    <row r="495" spans="2:11" ht="15">
      <c r="B495" s="314" t="s">
        <v>13115</v>
      </c>
      <c r="C495" s="96"/>
      <c r="D495" s="96"/>
      <c r="E495" s="96" t="str">
        <f>QUANT!E1481</f>
        <v>PILARES</v>
      </c>
      <c r="F495" s="178"/>
      <c r="G495" s="146"/>
      <c r="H495" s="145"/>
      <c r="I495" s="219"/>
      <c r="J495" s="65"/>
      <c r="K495" s="191"/>
    </row>
    <row r="496" spans="2:11" ht="30">
      <c r="B496" s="13" t="s">
        <v>13116</v>
      </c>
      <c r="C496" s="435">
        <f>QUANT!C1483</f>
        <v>94965</v>
      </c>
      <c r="D496" s="435" t="str">
        <f>QUANT!D1483</f>
        <v>SINAPI</v>
      </c>
      <c r="E496" s="436" t="str">
        <f>IFERROR(VLOOKUP($C496,'SINAPI JULHO 2018'!$1:$1048576,2,0),IFERROR(VLOOKUP($C496,'5-COMP. PROPRIA'!$B$13:$I$518,4,0),""))</f>
        <v>CONCRETO FCK = 25MPA, TRAÇO 1:2,3:2,7 (CIMENTO/ AREIA MÉDIA/ BRITA 1)  - PREPARO MECÂNICO COM BETONEIRA 400 L. AF_07/2016</v>
      </c>
      <c r="F496" s="437" t="str">
        <f>IFERROR(VLOOKUP($C496,'SINAPI JULHO 2018'!$A:$D,3,0),IFERROR(VLOOKUP($C496,'5-COMP. PROPRIA'!$B$13:$I$518,5,0),""))</f>
        <v>M3</v>
      </c>
      <c r="G496" s="438">
        <f>QUANT!K1483</f>
        <v>1.4742000000000004</v>
      </c>
      <c r="H496" s="439">
        <f>IFERROR(VLOOKUP($C496,'SINAPI JULHO 2018'!$A:$D,4,0),IFERROR(VLOOKUP($C496,'5-COMP. PROPRIA'!$B$13:$I$518,8,0),""))</f>
        <v>323.45</v>
      </c>
      <c r="I496" s="440">
        <f>H496*'4-BDI'!$E$29</f>
        <v>414.79228000000001</v>
      </c>
      <c r="J496" s="63">
        <f t="shared" ref="J496" si="256">TRUNC(G496*H496,2)</f>
        <v>476.82</v>
      </c>
      <c r="K496" s="190">
        <f t="shared" ref="K496" si="257">TRUNC(G496*I496,2)</f>
        <v>611.48</v>
      </c>
    </row>
    <row r="497" spans="2:11" ht="30">
      <c r="B497" s="13" t="s">
        <v>13117</v>
      </c>
      <c r="C497" s="435">
        <f>QUANT!C1488</f>
        <v>92873</v>
      </c>
      <c r="D497" s="435" t="str">
        <f>QUANT!D1488</f>
        <v>SINAPI</v>
      </c>
      <c r="E497" s="436" t="str">
        <f>IFERROR(VLOOKUP($C497,'SINAPI JULHO 2018'!$1:$1048576,2,0),IFERROR(VLOOKUP($C497,'5-COMP. PROPRIA'!$B$13:$I$518,4,0),""))</f>
        <v>LANÇAMENTO COM USO DE BALDES, ADENSAMENTO E ACABAMENTO DE CONCRETO EM ESTRUTURAS. AF_12/2015</v>
      </c>
      <c r="F497" s="437" t="str">
        <f>IFERROR(VLOOKUP($C497,'SINAPI JULHO 2018'!$A:$D,3,0),IFERROR(VLOOKUP($C497,'5-COMP. PROPRIA'!$B$13:$I$518,5,0),""))</f>
        <v>M3</v>
      </c>
      <c r="G497" s="438">
        <f>QUANT!K1488</f>
        <v>1.4742000000000004</v>
      </c>
      <c r="H497" s="439">
        <f>IFERROR(VLOOKUP($C497,'SINAPI JULHO 2018'!$A:$D,4,0),IFERROR(VLOOKUP($C497,'5-COMP. PROPRIA'!$B$13:$I$518,8,0),""))</f>
        <v>145.12</v>
      </c>
      <c r="I497" s="440">
        <f>H497*'4-BDI'!$E$29</f>
        <v>186.101888</v>
      </c>
      <c r="J497" s="63">
        <f t="shared" ref="J497:J500" si="258">TRUNC(G497*H497,2)</f>
        <v>213.93</v>
      </c>
      <c r="K497" s="190">
        <f t="shared" ref="K497:K500" si="259">TRUNC(G497*I497,2)</f>
        <v>274.35000000000002</v>
      </c>
    </row>
    <row r="498" spans="2:11" ht="45">
      <c r="B498" s="13" t="s">
        <v>13118</v>
      </c>
      <c r="C498" s="435">
        <f>QUANT!C1490</f>
        <v>92775</v>
      </c>
      <c r="D498" s="435" t="str">
        <f>QUANT!D1490</f>
        <v>SINAPI</v>
      </c>
      <c r="E498" s="436" t="str">
        <f>IFERROR(VLOOKUP($C498,'SINAPI JULHO 2018'!$1:$1048576,2,0),IFERROR(VLOOKUP($C498,'5-COMP. PROPRIA'!$B$13:$I$518,4,0),""))</f>
        <v>ARMAÇÃO DE PILAR OU VIGA DE UMA ESTRUTURA CONVENCIONAL DE CONCRETO ARMADO EM UMA EDIFICAÇÃO TÉRREA OU SOBRADO UTILIZANDO AÇO CA-60 DE 5,0 MM - MONTAGEM. AF_12/2015</v>
      </c>
      <c r="F498" s="437" t="str">
        <f>IFERROR(VLOOKUP($C498,'SINAPI JULHO 2018'!$A:$D,3,0),IFERROR(VLOOKUP($C498,'5-COMP. PROPRIA'!$B$13:$I$518,5,0),""))</f>
        <v>KG</v>
      </c>
      <c r="G498" s="438">
        <f>QUANT!K1490</f>
        <v>27.452823750000007</v>
      </c>
      <c r="H498" s="439">
        <f>IFERROR(VLOOKUP($C498,'SINAPI JULHO 2018'!$A:$D,4,0),IFERROR(VLOOKUP($C498,'5-COMP. PROPRIA'!$B$13:$I$518,8,0),""))</f>
        <v>11.07</v>
      </c>
      <c r="I498" s="440">
        <f>H498*'4-BDI'!$E$29</f>
        <v>14.196168</v>
      </c>
      <c r="J498" s="63">
        <f t="shared" si="258"/>
        <v>303.89999999999998</v>
      </c>
      <c r="K498" s="190">
        <f t="shared" si="259"/>
        <v>389.72</v>
      </c>
    </row>
    <row r="499" spans="2:11" ht="45">
      <c r="B499" s="13" t="s">
        <v>13119</v>
      </c>
      <c r="C499" s="435">
        <f>QUANT!C1496</f>
        <v>92778</v>
      </c>
      <c r="D499" s="435" t="str">
        <f>QUANT!D1496</f>
        <v>SINAPI</v>
      </c>
      <c r="E499" s="436" t="str">
        <f>IFERROR(VLOOKUP($C499,'SINAPI JULHO 2018'!$1:$1048576,2,0),IFERROR(VLOOKUP($C499,'5-COMP. PROPRIA'!$B$13:$I$518,4,0),""))</f>
        <v>ARMAÇÃO DE PILAR OU VIGA DE UMA ESTRUTURA CONVENCIONAL DE CONCRETO ARMADO EM UMA EDIFICAÇÃO TÉRREA OU SOBRADO UTILIZANDO AÇO CA-50 DE 10,0 MM - MONTAGEM. AF_12/2015</v>
      </c>
      <c r="F499" s="437" t="str">
        <f>IFERROR(VLOOKUP($C499,'SINAPI JULHO 2018'!$A:$D,3,0),IFERROR(VLOOKUP($C499,'5-COMP. PROPRIA'!$B$13:$I$518,5,0),""))</f>
        <v>KG</v>
      </c>
      <c r="G499" s="438">
        <f>QUANT!K1496</f>
        <v>99.828450000000032</v>
      </c>
      <c r="H499" s="439">
        <f>IFERROR(VLOOKUP($C499,'SINAPI JULHO 2018'!$A:$D,4,0),IFERROR(VLOOKUP($C499,'5-COMP. PROPRIA'!$B$13:$I$518,8,0),""))</f>
        <v>7.43</v>
      </c>
      <c r="I499" s="440">
        <f>H499*'4-BDI'!$E$29</f>
        <v>9.5282319999999991</v>
      </c>
      <c r="J499" s="63">
        <f t="shared" si="258"/>
        <v>741.72</v>
      </c>
      <c r="K499" s="190">
        <f t="shared" si="259"/>
        <v>951.18</v>
      </c>
    </row>
    <row r="500" spans="2:11" ht="45">
      <c r="B500" s="13" t="s">
        <v>13120</v>
      </c>
      <c r="C500" s="435">
        <f>QUANT!C1502</f>
        <v>92412</v>
      </c>
      <c r="D500" s="435" t="str">
        <f>QUANT!D1502</f>
        <v>SINAPI</v>
      </c>
      <c r="E500" s="436" t="str">
        <f>IFERROR(VLOOKUP($C500,'SINAPI JULHO 2018'!$1:$1048576,2,0),IFERROR(VLOOKUP($C500,'5-COMP. PROPRIA'!$B$13:$I$518,4,0),""))</f>
        <v>MONTAGEM E DESMONTAGEM DE FÔRMA DE PILARES RETANGULARES E ESTRUTURAS SIMILARES COM ÁREA MÉDIA DAS SEÇÕES MENOR OU IGUAL A 0,25 M², PÉ-DIREITO SIMPLES, EM MADEIRA SERRADA, 4 UTILIZAÇÕES. AF_12/2015</v>
      </c>
      <c r="F500" s="437" t="str">
        <f>IFERROR(VLOOKUP($C500,'SINAPI JULHO 2018'!$A:$D,3,0),IFERROR(VLOOKUP($C500,'5-COMP. PROPRIA'!$B$13:$I$518,5,0),""))</f>
        <v>M2</v>
      </c>
      <c r="G500" s="438">
        <f>QUANT!K1502</f>
        <v>32.400000000000006</v>
      </c>
      <c r="H500" s="439">
        <f>IFERROR(VLOOKUP($C500,'SINAPI JULHO 2018'!$A:$D,4,0),IFERROR(VLOOKUP($C500,'5-COMP. PROPRIA'!$B$13:$I$518,8,0),""))</f>
        <v>61.12</v>
      </c>
      <c r="I500" s="440">
        <f>H500*'4-BDI'!$E$29</f>
        <v>78.380287999999993</v>
      </c>
      <c r="J500" s="63">
        <f t="shared" si="258"/>
        <v>1980.28</v>
      </c>
      <c r="K500" s="190">
        <f t="shared" si="259"/>
        <v>2539.52</v>
      </c>
    </row>
    <row r="501" spans="2:11" ht="15">
      <c r="B501" s="314" t="s">
        <v>13121</v>
      </c>
      <c r="C501" s="96"/>
      <c r="D501" s="96"/>
      <c r="E501" s="96" t="str">
        <f>QUANT!E1507</f>
        <v>VIGAS DE AMARRAÇÃO</v>
      </c>
      <c r="F501" s="178"/>
      <c r="G501" s="146"/>
      <c r="H501" s="145"/>
      <c r="I501" s="219"/>
      <c r="J501" s="65"/>
      <c r="K501" s="191"/>
    </row>
    <row r="502" spans="2:11" ht="30">
      <c r="B502" s="13" t="s">
        <v>13122</v>
      </c>
      <c r="C502" s="435">
        <f>QUANT!C1509</f>
        <v>94965</v>
      </c>
      <c r="D502" s="435" t="str">
        <f>QUANT!D1509</f>
        <v>SINAPI</v>
      </c>
      <c r="E502" s="436" t="str">
        <f>IFERROR(VLOOKUP($C502,'SINAPI JULHO 2018'!$1:$1048576,2,0),IFERROR(VLOOKUP($C502,'5-COMP. PROPRIA'!$B$13:$I$518,4,0),""))</f>
        <v>CONCRETO FCK = 25MPA, TRAÇO 1:2,3:2,7 (CIMENTO/ AREIA MÉDIA/ BRITA 1)  - PREPARO MECÂNICO COM BETONEIRA 400 L. AF_07/2016</v>
      </c>
      <c r="F502" s="437" t="str">
        <f>IFERROR(VLOOKUP($C502,'SINAPI JULHO 2018'!$A:$D,3,0),IFERROR(VLOOKUP($C502,'5-COMP. PROPRIA'!$B$13:$I$518,5,0),""))</f>
        <v>M3</v>
      </c>
      <c r="G502" s="438">
        <f>QUANT!K1509</f>
        <v>0.99959999999999993</v>
      </c>
      <c r="H502" s="439">
        <f>IFERROR(VLOOKUP($C502,'SINAPI JULHO 2018'!$A:$D,4,0),IFERROR(VLOOKUP($C502,'5-COMP. PROPRIA'!$B$13:$I$518,8,0),""))</f>
        <v>323.45</v>
      </c>
      <c r="I502" s="440">
        <f>H502*'4-BDI'!$E$29</f>
        <v>414.79228000000001</v>
      </c>
      <c r="J502" s="63">
        <f t="shared" ref="J502" si="260">TRUNC(G502*H502,2)</f>
        <v>323.32</v>
      </c>
      <c r="K502" s="190">
        <f t="shared" ref="K502" si="261">TRUNC(G502*I502,2)</f>
        <v>414.62</v>
      </c>
    </row>
    <row r="503" spans="2:11" ht="15">
      <c r="B503" s="13" t="s">
        <v>13123</v>
      </c>
      <c r="C503" s="435" t="str">
        <f>QUANT!C1513</f>
        <v>74157/4</v>
      </c>
      <c r="D503" s="435" t="str">
        <f>QUANT!D1513</f>
        <v>SINAPI</v>
      </c>
      <c r="E503" s="436" t="str">
        <f>IFERROR(VLOOKUP($C503,'SINAPI JULHO 2018'!$1:$1048576,2,0),IFERROR(VLOOKUP($C503,'5-COMP. PROPRIA'!$B$13:$I$518,4,0),""))</f>
        <v>LANCAMENTO/APLICACAO MANUAL DE CONCRETO EM FUNDACOES</v>
      </c>
      <c r="F503" s="437" t="str">
        <f>IFERROR(VLOOKUP($C503,'SINAPI JULHO 2018'!$A:$D,3,0),IFERROR(VLOOKUP($C503,'5-COMP. PROPRIA'!$B$13:$I$518,5,0),""))</f>
        <v>M3</v>
      </c>
      <c r="G503" s="438">
        <f>QUANT!K1513</f>
        <v>0.99959999999999993</v>
      </c>
      <c r="H503" s="439">
        <f>IFERROR(VLOOKUP($C503,'SINAPI JULHO 2018'!$A:$D,4,0),IFERROR(VLOOKUP($C503,'5-COMP. PROPRIA'!$B$13:$I$518,8,0),""))</f>
        <v>93.76</v>
      </c>
      <c r="I503" s="440">
        <f>H503*'4-BDI'!$E$29</f>
        <v>120.237824</v>
      </c>
      <c r="J503" s="63">
        <f t="shared" ref="J503:J506" si="262">TRUNC(G503*H503,2)</f>
        <v>93.72</v>
      </c>
      <c r="K503" s="190">
        <f t="shared" ref="K503:K506" si="263">TRUNC(G503*I503,2)</f>
        <v>120.18</v>
      </c>
    </row>
    <row r="504" spans="2:11" ht="45">
      <c r="B504" s="13" t="s">
        <v>13124</v>
      </c>
      <c r="C504" s="435">
        <f>QUANT!C1515</f>
        <v>92775</v>
      </c>
      <c r="D504" s="435" t="str">
        <f>QUANT!D1515</f>
        <v>SINAPI</v>
      </c>
      <c r="E504" s="436" t="str">
        <f>IFERROR(VLOOKUP($C504,'SINAPI JULHO 2018'!$1:$1048576,2,0),IFERROR(VLOOKUP($C504,'5-COMP. PROPRIA'!$B$13:$I$518,4,0),""))</f>
        <v>ARMAÇÃO DE PILAR OU VIGA DE UMA ESTRUTURA CONVENCIONAL DE CONCRETO ARMADO EM UMA EDIFICAÇÃO TÉRREA OU SOBRADO UTILIZANDO AÇO CA-60 DE 5,0 MM - MONTAGEM. AF_12/2015</v>
      </c>
      <c r="F504" s="437" t="str">
        <f>IFERROR(VLOOKUP($C504,'SINAPI JULHO 2018'!$A:$D,3,0),IFERROR(VLOOKUP($C504,'5-COMP. PROPRIA'!$B$13:$I$518,5,0),""))</f>
        <v>KG</v>
      </c>
      <c r="G504" s="438">
        <f>QUANT!K1515</f>
        <v>13.566193375000001</v>
      </c>
      <c r="H504" s="439">
        <f>IFERROR(VLOOKUP($C504,'SINAPI JULHO 2018'!$A:$D,4,0),IFERROR(VLOOKUP($C504,'5-COMP. PROPRIA'!$B$13:$I$518,8,0),""))</f>
        <v>11.07</v>
      </c>
      <c r="I504" s="440">
        <f>H504*'4-BDI'!$E$29</f>
        <v>14.196168</v>
      </c>
      <c r="J504" s="63">
        <f t="shared" si="262"/>
        <v>150.16999999999999</v>
      </c>
      <c r="K504" s="190">
        <f t="shared" si="263"/>
        <v>192.58</v>
      </c>
    </row>
    <row r="505" spans="2:11" ht="45">
      <c r="B505" s="13" t="s">
        <v>13125</v>
      </c>
      <c r="C505" s="435">
        <f>QUANT!C1520</f>
        <v>92761</v>
      </c>
      <c r="D505" s="435" t="str">
        <f>QUANT!D1520</f>
        <v>SINAPI</v>
      </c>
      <c r="E505" s="436" t="str">
        <f>IFERROR(VLOOKUP($C505,'SINAPI JULHO 2018'!$1:$1048576,2,0),IFERROR(VLOOKUP($C505,'5-COMP. PROPRIA'!$B$13:$I$518,4,0),""))</f>
        <v>ARMAÇÃO DE PILAR OU VIGA DE UMA ESTRUTURA CONVENCIONAL DE CONCRETO ARMADO EM UM EDIFÍCIO DE MÚLTIPLOS PAVIMENTOS UTILIZANDO AÇO CA-50 DE 8,0 MM - MONTAGEM. AF_12/2015</v>
      </c>
      <c r="F505" s="437" t="str">
        <f>IFERROR(VLOOKUP($C505,'SINAPI JULHO 2018'!$A:$D,3,0),IFERROR(VLOOKUP($C505,'5-COMP. PROPRIA'!$B$13:$I$518,5,0),""))</f>
        <v>KG</v>
      </c>
      <c r="G505" s="438">
        <f>QUANT!K1520</f>
        <v>37.545356799999993</v>
      </c>
      <c r="H505" s="439">
        <f>IFERROR(VLOOKUP($C505,'SINAPI JULHO 2018'!$A:$D,4,0),IFERROR(VLOOKUP($C505,'5-COMP. PROPRIA'!$B$13:$I$518,8,0),""))</f>
        <v>8.0399999999999991</v>
      </c>
      <c r="I505" s="440">
        <f>H505*'4-BDI'!$E$29</f>
        <v>10.310495999999999</v>
      </c>
      <c r="J505" s="63">
        <f t="shared" si="262"/>
        <v>301.86</v>
      </c>
      <c r="K505" s="190">
        <f t="shared" si="263"/>
        <v>387.11</v>
      </c>
    </row>
    <row r="506" spans="2:11" ht="45">
      <c r="B506" s="13" t="s">
        <v>13126</v>
      </c>
      <c r="C506" s="435">
        <f>QUANT!C1525</f>
        <v>92412</v>
      </c>
      <c r="D506" s="435" t="str">
        <f>QUANT!D1525</f>
        <v>SINAPI</v>
      </c>
      <c r="E506" s="436" t="str">
        <f>IFERROR(VLOOKUP($C506,'SINAPI JULHO 2018'!$1:$1048576,2,0),IFERROR(VLOOKUP($C506,'5-COMP. PROPRIA'!$B$13:$I$518,4,0),""))</f>
        <v>MONTAGEM E DESMONTAGEM DE FÔRMA DE PILARES RETANGULARES E ESTRUTURAS SIMILARES COM ÁREA MÉDIA DAS SEÇÕES MENOR OU IGUAL A 0,25 M², PÉ-DIREITO SIMPLES, EM MADEIRA SERRADA, 4 UTILIZAÇÕES. AF_12/2015</v>
      </c>
      <c r="F506" s="437" t="str">
        <f>IFERROR(VLOOKUP($C506,'SINAPI JULHO 2018'!$A:$D,3,0),IFERROR(VLOOKUP($C506,'5-COMP. PROPRIA'!$B$13:$I$518,5,0),""))</f>
        <v>M2</v>
      </c>
      <c r="G506" s="438">
        <f>QUANT!K1525</f>
        <v>14.279999999999998</v>
      </c>
      <c r="H506" s="439">
        <f>IFERROR(VLOOKUP($C506,'SINAPI JULHO 2018'!$A:$D,4,0),IFERROR(VLOOKUP($C506,'5-COMP. PROPRIA'!$B$13:$I$518,8,0),""))</f>
        <v>61.12</v>
      </c>
      <c r="I506" s="440">
        <f>H506*'4-BDI'!$E$29</f>
        <v>78.380287999999993</v>
      </c>
      <c r="J506" s="63">
        <f t="shared" si="262"/>
        <v>872.79</v>
      </c>
      <c r="K506" s="190">
        <f t="shared" si="263"/>
        <v>1119.27</v>
      </c>
    </row>
    <row r="507" spans="2:11" ht="15">
      <c r="B507" s="362" t="s">
        <v>13127</v>
      </c>
      <c r="C507" s="363"/>
      <c r="D507" s="363"/>
      <c r="E507" s="363" t="str">
        <f>QUANT!E1529</f>
        <v>ALVENARIA DE VEDAÇÃO E REVESTIMENTOS</v>
      </c>
      <c r="F507" s="364"/>
      <c r="G507" s="365"/>
      <c r="H507" s="366"/>
      <c r="I507" s="367"/>
      <c r="J507" s="368"/>
      <c r="K507" s="369"/>
    </row>
    <row r="508" spans="2:11" ht="60">
      <c r="B508" s="13" t="s">
        <v>13128</v>
      </c>
      <c r="C508" s="435">
        <f>QUANT!C1531</f>
        <v>89977</v>
      </c>
      <c r="D508" s="435" t="str">
        <f>QUANT!D1531</f>
        <v>SINAPI</v>
      </c>
      <c r="E508" s="436" t="str">
        <f>IFERROR(VLOOKUP($C508,'SINAPI JULHO 2018'!$1:$1048576,2,0),IFERROR(VLOOKUP($C508,'5-COMP. PROPRIA'!$B$13:$I$518,4,0),""))</f>
        <v>(COMPOSIÇÃO REPRESENTATIVA) DO SERVIÇO DE ALVENARIA DE VEDAÇÃO DE BLOCOS VAZADOS DE CERÂMICA DE 14X9X19CM (ESPESSURA 14CM, BLOCO DEITADO), PARA EDIFICAÇÃO HABITACIONAL UNIFAMILIAR (CASA) E EDIFICAÇÃO PÚBLICA PADRÃO. AF_12/2014</v>
      </c>
      <c r="F508" s="437" t="str">
        <f>IFERROR(VLOOKUP($C508,'SINAPI JULHO 2018'!$A:$D,3,0),IFERROR(VLOOKUP($C508,'5-COMP. PROPRIA'!$B$13:$I$518,5,0),""))</f>
        <v>M2</v>
      </c>
      <c r="G508" s="438">
        <f>QUANT!K1531</f>
        <v>112.10999999999999</v>
      </c>
      <c r="H508" s="439">
        <f>IFERROR(VLOOKUP($C508,'SINAPI JULHO 2018'!$A:$D,4,0),IFERROR(VLOOKUP($C508,'5-COMP. PROPRIA'!$B$13:$I$518,8,0),""))</f>
        <v>101.04</v>
      </c>
      <c r="I508" s="440">
        <f>H508*'4-BDI'!$E$29</f>
        <v>129.57369600000001</v>
      </c>
      <c r="J508" s="63">
        <f t="shared" ref="J508" si="264">TRUNC(G508*H508,2)</f>
        <v>11327.59</v>
      </c>
      <c r="K508" s="190">
        <f t="shared" ref="K508" si="265">TRUNC(G508*I508,2)</f>
        <v>14526.5</v>
      </c>
    </row>
    <row r="509" spans="2:11" ht="45">
      <c r="B509" s="13" t="s">
        <v>13129</v>
      </c>
      <c r="C509" s="435">
        <f>QUANT!C1533</f>
        <v>87894</v>
      </c>
      <c r="D509" s="435" t="str">
        <f>QUANT!D1533</f>
        <v>SINAPI</v>
      </c>
      <c r="E509" s="436" t="str">
        <f>IFERROR(VLOOKUP($C509,'SINAPI JULHO 2018'!$1:$1048576,2,0),IFERROR(VLOOKUP($C509,'5-COMP. PROPRIA'!$B$13:$I$518,4,0),""))</f>
        <v>CHAPISCO APLICADO EM ALVENARIA (SEM PRESENÇA DE VÃOS) E ESTRUTURAS DE CONCRETO DE FACHADA, COM COLHER DE PEDREIRO.  ARGAMASSA TRAÇO 1:3 COM PREPARO EM BETONEIRA 400L. AF_06/2014</v>
      </c>
      <c r="F509" s="437" t="str">
        <f>IFERROR(VLOOKUP($C509,'SINAPI JULHO 2018'!$A:$D,3,0),IFERROR(VLOOKUP($C509,'5-COMP. PROPRIA'!$B$13:$I$518,5,0),""))</f>
        <v>M2</v>
      </c>
      <c r="G509" s="438">
        <f>QUANT!K1533</f>
        <v>224.21999999999997</v>
      </c>
      <c r="H509" s="439">
        <f>IFERROR(VLOOKUP($C509,'SINAPI JULHO 2018'!$A:$D,4,0),IFERROR(VLOOKUP($C509,'5-COMP. PROPRIA'!$B$13:$I$518,8,0),""))</f>
        <v>4.41</v>
      </c>
      <c r="I509" s="440">
        <f>H509*'4-BDI'!$E$29</f>
        <v>5.6553839999999997</v>
      </c>
      <c r="J509" s="63">
        <f t="shared" ref="J509:J515" si="266">TRUNC(G509*H509,2)</f>
        <v>988.81</v>
      </c>
      <c r="K509" s="190">
        <f t="shared" ref="K509:K515" si="267">TRUNC(G509*I509,2)</f>
        <v>1268.05</v>
      </c>
    </row>
    <row r="510" spans="2:11" ht="60">
      <c r="B510" s="13" t="s">
        <v>13130</v>
      </c>
      <c r="C510" s="435">
        <f>QUANT!C1535</f>
        <v>87529</v>
      </c>
      <c r="D510" s="435" t="str">
        <f>QUANT!D1535</f>
        <v>SINAPI</v>
      </c>
      <c r="E510" s="436" t="str">
        <f>IFERROR(VLOOKUP($C510,'SINAPI JULHO 2018'!$1:$1048576,2,0),IFERROR(VLOOKUP($C510,'5-COMP. PROPRIA'!$B$13:$I$518,4,0),""))</f>
        <v>MASSA ÚNICA, PARA RECEBIMENTO DE PINTURA, EM ARGAMASSA TRAÇO 1:2:8, PREPARO MECÂNICO COM BETONEIRA 400L, APLICADA MANUALMENTE EM FACES INTERNAS DE PAREDES, ESPESSURA DE 20MM, COM EXECUÇÃO DE TALISCAS. AF_06/2014</v>
      </c>
      <c r="F510" s="437" t="str">
        <f>IFERROR(VLOOKUP($C510,'SINAPI JULHO 2018'!$A:$D,3,0),IFERROR(VLOOKUP($C510,'5-COMP. PROPRIA'!$B$13:$I$518,5,0),""))</f>
        <v>M2</v>
      </c>
      <c r="G510" s="438">
        <f>QUANT!K1535</f>
        <v>224.21999999999997</v>
      </c>
      <c r="H510" s="439">
        <f>IFERROR(VLOOKUP($C510,'SINAPI JULHO 2018'!$A:$D,4,0),IFERROR(VLOOKUP($C510,'5-COMP. PROPRIA'!$B$13:$I$518,8,0),""))</f>
        <v>23.86</v>
      </c>
      <c r="I510" s="440">
        <f>H510*'4-BDI'!$E$29</f>
        <v>30.598063999999997</v>
      </c>
      <c r="J510" s="63">
        <f t="shared" si="266"/>
        <v>5349.88</v>
      </c>
      <c r="K510" s="190">
        <f t="shared" si="267"/>
        <v>6860.69</v>
      </c>
    </row>
    <row r="511" spans="2:11" ht="30">
      <c r="B511" s="13" t="s">
        <v>13131</v>
      </c>
      <c r="C511" s="435">
        <f>QUANT!C1537</f>
        <v>88485</v>
      </c>
      <c r="D511" s="435" t="str">
        <f>QUANT!D1537</f>
        <v>SINAPI</v>
      </c>
      <c r="E511" s="436" t="str">
        <f>IFERROR(VLOOKUP($C511,'SINAPI JULHO 2018'!$1:$1048576,2,0),IFERROR(VLOOKUP($C511,'5-COMP. PROPRIA'!$B$13:$I$518,4,0),""))</f>
        <v>APLICAÇÃO DE FUNDO SELADOR ACRÍLICO EM PAREDES, UMA DEMÃO. AF_06/2014</v>
      </c>
      <c r="F511" s="437" t="str">
        <f>IFERROR(VLOOKUP($C511,'SINAPI JULHO 2018'!$A:$D,3,0),IFERROR(VLOOKUP($C511,'5-COMP. PROPRIA'!$B$13:$I$518,5,0),""))</f>
        <v>M2</v>
      </c>
      <c r="G511" s="438">
        <f>QUANT!K1537</f>
        <v>90.72</v>
      </c>
      <c r="H511" s="439">
        <f>IFERROR(VLOOKUP($C511,'SINAPI JULHO 2018'!$A:$D,4,0),IFERROR(VLOOKUP($C511,'5-COMP. PROPRIA'!$B$13:$I$518,8,0),""))</f>
        <v>1.6</v>
      </c>
      <c r="I511" s="440">
        <f>H511*'4-BDI'!$E$29</f>
        <v>2.0518399999999999</v>
      </c>
      <c r="J511" s="63">
        <f t="shared" si="266"/>
        <v>145.15</v>
      </c>
      <c r="K511" s="190">
        <f t="shared" si="267"/>
        <v>186.14</v>
      </c>
    </row>
    <row r="512" spans="2:11" ht="30">
      <c r="B512" s="13" t="s">
        <v>13132</v>
      </c>
      <c r="C512" s="435">
        <f>QUANT!C1539</f>
        <v>88489</v>
      </c>
      <c r="D512" s="435" t="str">
        <f>QUANT!D1539</f>
        <v>SINAPI</v>
      </c>
      <c r="E512" s="436" t="str">
        <f>IFERROR(VLOOKUP($C512,'SINAPI JULHO 2018'!$1:$1048576,2,0),IFERROR(VLOOKUP($C512,'5-COMP. PROPRIA'!$B$13:$I$518,4,0),""))</f>
        <v>APLICAÇÃO MANUAL DE PINTURA COM TINTA LÁTEX ACRÍLICA EM PAREDES, DUAS DEMÃOS. AF_06/2014</v>
      </c>
      <c r="F512" s="437" t="str">
        <f>IFERROR(VLOOKUP($C512,'SINAPI JULHO 2018'!$A:$D,3,0),IFERROR(VLOOKUP($C512,'5-COMP. PROPRIA'!$B$13:$I$518,5,0),""))</f>
        <v>M2</v>
      </c>
      <c r="G512" s="438">
        <f>QUANT!K1539</f>
        <v>67.92</v>
      </c>
      <c r="H512" s="439">
        <f>IFERROR(VLOOKUP($C512,'SINAPI JULHO 2018'!$A:$D,4,0),IFERROR(VLOOKUP($C512,'5-COMP. PROPRIA'!$B$13:$I$518,8,0),""))</f>
        <v>9.69</v>
      </c>
      <c r="I512" s="440">
        <f>H512*'4-BDI'!$E$29</f>
        <v>12.426456</v>
      </c>
      <c r="J512" s="63">
        <f t="shared" si="266"/>
        <v>658.14</v>
      </c>
      <c r="K512" s="190">
        <f t="shared" si="267"/>
        <v>844</v>
      </c>
    </row>
    <row r="513" spans="2:11" ht="15">
      <c r="B513" s="13" t="s">
        <v>13133</v>
      </c>
      <c r="C513" s="435" t="str">
        <f>QUANT!C1541</f>
        <v>CP-PIN-02</v>
      </c>
      <c r="D513" s="435" t="str">
        <f>QUANT!D1541</f>
        <v>PRÓRPIA</v>
      </c>
      <c r="E513" s="436" t="str">
        <f>IFERROR(VLOOKUP($C513,'SINAPI JULHO 2018'!$1:$1048576,2,0),IFERROR(VLOOKUP($C513,'5-COMP. PROPRIA'!$B$13:$I$518,4,0),""))</f>
        <v xml:space="preserve">PINTURA COM TINTA ESMALTE SINTÉTICO </v>
      </c>
      <c r="F513" s="437" t="str">
        <f>IFERROR(VLOOKUP($C513,'SINAPI JULHO 2018'!$A:$D,3,0),IFERROR(VLOOKUP($C513,'5-COMP. PROPRIA'!$B$13:$I$518,5,0),""))</f>
        <v>M2</v>
      </c>
      <c r="G513" s="438">
        <f>QUANT!K1541</f>
        <v>27.36</v>
      </c>
      <c r="H513" s="439">
        <f>IFERROR(VLOOKUP($C513,'SINAPI JULHO 2018'!$A:$D,4,0),IFERROR(VLOOKUP($C513,'5-COMP. PROPRIA'!$B$13:$I$518,8,0),""))</f>
        <v>10.93</v>
      </c>
      <c r="I513" s="440">
        <f>H513*'4-BDI'!$E$29</f>
        <v>14.016632</v>
      </c>
      <c r="J513" s="63">
        <f t="shared" ref="J513" si="268">TRUNC(G513*H513,2)</f>
        <v>299.04000000000002</v>
      </c>
      <c r="K513" s="190">
        <f t="shared" ref="K513" si="269">TRUNC(G513*I513,2)</f>
        <v>383.49</v>
      </c>
    </row>
    <row r="514" spans="2:11" ht="30">
      <c r="B514" s="13" t="s">
        <v>13134</v>
      </c>
      <c r="C514" s="435">
        <f>QUANT!C1543</f>
        <v>88483</v>
      </c>
      <c r="D514" s="435" t="str">
        <f>QUANT!D1543</f>
        <v>SINAPI</v>
      </c>
      <c r="E514" s="436" t="str">
        <f>IFERROR(VLOOKUP($C514,'SINAPI JULHO 2018'!$1:$1048576,2,0),IFERROR(VLOOKUP($C514,'5-COMP. PROPRIA'!$B$13:$I$518,4,0),""))</f>
        <v>APLICAÇÃO DE FUNDO SELADOR LÁTEX PVA EM PAREDES, UMA DEMÃO. AF_06/2014</v>
      </c>
      <c r="F514" s="437" t="str">
        <f>IFERROR(VLOOKUP($C514,'SINAPI JULHO 2018'!$A:$D,3,0),IFERROR(VLOOKUP($C514,'5-COMP. PROPRIA'!$B$13:$I$518,5,0),""))</f>
        <v>M2</v>
      </c>
      <c r="G514" s="438">
        <f>QUANT!K1543</f>
        <v>145.80000000000001</v>
      </c>
      <c r="H514" s="439">
        <f>IFERROR(VLOOKUP($C514,'SINAPI JULHO 2018'!$A:$D,4,0),IFERROR(VLOOKUP($C514,'5-COMP. PROPRIA'!$B$13:$I$518,8,0),""))</f>
        <v>1.98</v>
      </c>
      <c r="I514" s="440">
        <f>H514*'4-BDI'!$E$29</f>
        <v>2.5391520000000001</v>
      </c>
      <c r="J514" s="63">
        <f t="shared" si="266"/>
        <v>288.68</v>
      </c>
      <c r="K514" s="190">
        <f t="shared" si="267"/>
        <v>370.2</v>
      </c>
    </row>
    <row r="515" spans="2:11" ht="30">
      <c r="B515" s="13" t="s">
        <v>13135</v>
      </c>
      <c r="C515" s="435">
        <f>QUANT!C1545</f>
        <v>88487</v>
      </c>
      <c r="D515" s="435" t="str">
        <f>QUANT!D1545</f>
        <v>SINAPI</v>
      </c>
      <c r="E515" s="436" t="str">
        <f>IFERROR(VLOOKUP($C515,'SINAPI JULHO 2018'!$1:$1048576,2,0),IFERROR(VLOOKUP($C515,'5-COMP. PROPRIA'!$B$13:$I$518,4,0),""))</f>
        <v>APLICAÇÃO MANUAL DE PINTURA COM TINTA LÁTEX PVA EM PAREDES, DUAS DEMÃOS. AF_06/2014</v>
      </c>
      <c r="F515" s="437" t="str">
        <f>IFERROR(VLOOKUP($C515,'SINAPI JULHO 2018'!$A:$D,3,0),IFERROR(VLOOKUP($C515,'5-COMP. PROPRIA'!$B$13:$I$518,5,0),""))</f>
        <v>M2</v>
      </c>
      <c r="G515" s="438">
        <f>QUANT!K1545</f>
        <v>97.2</v>
      </c>
      <c r="H515" s="439">
        <f>IFERROR(VLOOKUP($C515,'SINAPI JULHO 2018'!$A:$D,4,0),IFERROR(VLOOKUP($C515,'5-COMP. PROPRIA'!$B$13:$I$518,8,0),""))</f>
        <v>7.66</v>
      </c>
      <c r="I515" s="440">
        <f>H515*'4-BDI'!$E$29</f>
        <v>9.8231839999999995</v>
      </c>
      <c r="J515" s="63">
        <f t="shared" si="266"/>
        <v>744.55</v>
      </c>
      <c r="K515" s="190">
        <f t="shared" si="267"/>
        <v>954.81</v>
      </c>
    </row>
    <row r="516" spans="2:11" ht="15">
      <c r="B516" s="13" t="s">
        <v>13136</v>
      </c>
      <c r="C516" s="435" t="str">
        <f>QUANT!C1547</f>
        <v>CP-PIN-02</v>
      </c>
      <c r="D516" s="435" t="str">
        <f>QUANT!D1547</f>
        <v>PRÓRPIA</v>
      </c>
      <c r="E516" s="436" t="str">
        <f>IFERROR(VLOOKUP($C516,'SINAPI JULHO 2018'!$1:$1048576,2,0),IFERROR(VLOOKUP($C516,'5-COMP. PROPRIA'!$B$13:$I$518,4,0),""))</f>
        <v xml:space="preserve">PINTURA COM TINTA ESMALTE SINTÉTICO </v>
      </c>
      <c r="F516" s="437" t="str">
        <f>IFERROR(VLOOKUP($C516,'SINAPI JULHO 2018'!$A:$D,3,0),IFERROR(VLOOKUP($C516,'5-COMP. PROPRIA'!$B$13:$I$518,5,0),""))</f>
        <v>M2</v>
      </c>
      <c r="G516" s="438">
        <f>QUANT!K1547</f>
        <v>58.32</v>
      </c>
      <c r="H516" s="439">
        <f>IFERROR(VLOOKUP($C516,'SINAPI JULHO 2018'!$A:$D,4,0),IFERROR(VLOOKUP($C516,'5-COMP. PROPRIA'!$B$13:$I$518,8,0),""))</f>
        <v>10.93</v>
      </c>
      <c r="I516" s="440">
        <f>H516*'4-BDI'!$E$29</f>
        <v>14.016632</v>
      </c>
      <c r="J516" s="63">
        <f t="shared" ref="J516" si="270">TRUNC(G516*H516,2)</f>
        <v>637.42999999999995</v>
      </c>
      <c r="K516" s="190">
        <f t="shared" ref="K516" si="271">TRUNC(G516*I516,2)</f>
        <v>817.44</v>
      </c>
    </row>
    <row r="517" spans="2:11" ht="15">
      <c r="B517" s="362" t="s">
        <v>13137</v>
      </c>
      <c r="C517" s="363"/>
      <c r="D517" s="363"/>
      <c r="E517" s="363" t="str">
        <f>QUANT!E1549</f>
        <v>ESQUADRIAS</v>
      </c>
      <c r="F517" s="364"/>
      <c r="G517" s="365"/>
      <c r="H517" s="366"/>
      <c r="I517" s="367"/>
      <c r="J517" s="368"/>
      <c r="K517" s="369"/>
    </row>
    <row r="518" spans="2:11" ht="30">
      <c r="B518" s="13" t="s">
        <v>13138</v>
      </c>
      <c r="C518" s="435">
        <f>QUANT!C1551</f>
        <v>91341</v>
      </c>
      <c r="D518" s="435" t="str">
        <f>QUANT!D1551</f>
        <v>SINAPI</v>
      </c>
      <c r="E518" s="436" t="str">
        <f>IFERROR(VLOOKUP($C518,'SINAPI JULHO 2018'!$1:$1048576,2,0),IFERROR(VLOOKUP($C518,'5-COMP. PROPRIA'!$B$13:$I$518,4,0),""))</f>
        <v>PORTA EM ALUMÍNIO DE ABRIR TIPO VENEZIANA COM GUARNIÇÃO, FIXAÇÃO COM PARAFUSOS - FORNECIMENTO E INSTALAÇÃO. AF_08/2015</v>
      </c>
      <c r="F518" s="437" t="str">
        <f>IFERROR(VLOOKUP($C518,'SINAPI JULHO 2018'!$A:$D,3,0),IFERROR(VLOOKUP($C518,'5-COMP. PROPRIA'!$B$13:$I$518,5,0),""))</f>
        <v>M2</v>
      </c>
      <c r="G518" s="438">
        <f>QUANT!K1551</f>
        <v>11.73</v>
      </c>
      <c r="H518" s="439">
        <f>IFERROR(VLOOKUP($C518,'SINAPI JULHO 2018'!$A:$D,4,0),IFERROR(VLOOKUP($C518,'5-COMP. PROPRIA'!$B$13:$I$518,8,0),""))</f>
        <v>654.62</v>
      </c>
      <c r="I518" s="440">
        <f>H518*'4-BDI'!$E$29</f>
        <v>839.48468800000001</v>
      </c>
      <c r="J518" s="63">
        <f t="shared" ref="J518" si="272">TRUNC(G518*H518,2)</f>
        <v>7678.69</v>
      </c>
      <c r="K518" s="190">
        <f t="shared" ref="K518" si="273">TRUNC(G518*I518,2)</f>
        <v>9847.15</v>
      </c>
    </row>
    <row r="519" spans="2:11" ht="30">
      <c r="B519" s="13" t="s">
        <v>13139</v>
      </c>
      <c r="C519" s="435">
        <f>QUANT!C1553</f>
        <v>94575</v>
      </c>
      <c r="D519" s="435" t="str">
        <f>QUANT!D1553</f>
        <v>SINAPI</v>
      </c>
      <c r="E519" s="436" t="str">
        <f>IFERROR(VLOOKUP($C519,'SINAPI JULHO 2018'!$1:$1048576,2,0),IFERROR(VLOOKUP($C519,'5-COMP. PROPRIA'!$B$13:$I$518,4,0),""))</f>
        <v>JANELA DE ALUMÍNIO MAXIM-AR, FIXAÇÃO COM PARAFUSO, VEDAÇÃO COM ESPUMA EXPANSIVA PU, COM VIDROS, PADRONIZADA. AF_07/2016</v>
      </c>
      <c r="F519" s="437" t="str">
        <f>IFERROR(VLOOKUP($C519,'SINAPI JULHO 2018'!$A:$D,3,0),IFERROR(VLOOKUP($C519,'5-COMP. PROPRIA'!$B$13:$I$518,5,0),""))</f>
        <v>M2</v>
      </c>
      <c r="G519" s="438">
        <f>QUANT!K1553</f>
        <v>3.5999999999999996</v>
      </c>
      <c r="H519" s="439">
        <f>IFERROR(VLOOKUP($C519,'SINAPI JULHO 2018'!$A:$D,4,0),IFERROR(VLOOKUP($C519,'5-COMP. PROPRIA'!$B$13:$I$518,8,0),""))</f>
        <v>680.31</v>
      </c>
      <c r="I519" s="440">
        <f>H519*'4-BDI'!$E$29</f>
        <v>872.42954399999996</v>
      </c>
      <c r="J519" s="63">
        <f t="shared" ref="J519:J521" si="274">TRUNC(G519*H519,2)</f>
        <v>2449.11</v>
      </c>
      <c r="K519" s="190">
        <f t="shared" ref="K519:K521" si="275">TRUNC(G519*I519,2)</f>
        <v>3140.74</v>
      </c>
    </row>
    <row r="520" spans="2:11" ht="15">
      <c r="B520" s="13" t="s">
        <v>13140</v>
      </c>
      <c r="C520" s="435" t="str">
        <f>QUANT!C1555</f>
        <v>CP-LIX-02</v>
      </c>
      <c r="D520" s="435" t="str">
        <f>QUANT!D1555</f>
        <v>PRÓRPIA</v>
      </c>
      <c r="E520" s="436" t="str">
        <f>IFERROR(VLOOKUP($C520,'SINAPI JULHO 2018'!$1:$1048576,2,0),IFERROR(VLOOKUP($C520,'5-COMP. PROPRIA'!$B$13:$I$518,4,0),""))</f>
        <v xml:space="preserve">LIXAMENTO DE SUPERFICIE METÁLICA </v>
      </c>
      <c r="F520" s="437" t="str">
        <f>IFERROR(VLOOKUP($C520,'SINAPI JULHO 2018'!$A:$D,3,0),IFERROR(VLOOKUP($C520,'5-COMP. PROPRIA'!$B$13:$I$518,5,0),""))</f>
        <v>M2</v>
      </c>
      <c r="G520" s="438">
        <f>QUANT!K1555</f>
        <v>30.66</v>
      </c>
      <c r="H520" s="439">
        <f>IFERROR(VLOOKUP($C520,'SINAPI JULHO 2018'!$A:$D,4,0),IFERROR(VLOOKUP($C520,'5-COMP. PROPRIA'!$B$13:$I$518,8,0),""))</f>
        <v>4.66</v>
      </c>
      <c r="I520" s="440">
        <f>H520*'4-BDI'!$E$29</f>
        <v>5.9759840000000004</v>
      </c>
      <c r="J520" s="63">
        <f t="shared" si="274"/>
        <v>142.87</v>
      </c>
      <c r="K520" s="190">
        <f t="shared" si="275"/>
        <v>183.22</v>
      </c>
    </row>
    <row r="521" spans="2:11" ht="15">
      <c r="B521" s="13" t="s">
        <v>13141</v>
      </c>
      <c r="C521" s="435" t="str">
        <f>QUANT!C1557</f>
        <v>73924/1</v>
      </c>
      <c r="D521" s="435" t="str">
        <f>QUANT!D1557</f>
        <v>SINAPI</v>
      </c>
      <c r="E521" s="436" t="str">
        <f>IFERROR(VLOOKUP($C521,'SINAPI JULHO 2018'!$1:$1048576,2,0),IFERROR(VLOOKUP($C521,'5-COMP. PROPRIA'!$B$13:$I$518,4,0),""))</f>
        <v>PINTURA ESMALTE ALTO BRILHO, DUAS DEMAOS, SOBRE SUPERFICIE METALICA</v>
      </c>
      <c r="F521" s="437" t="str">
        <f>IFERROR(VLOOKUP($C521,'SINAPI JULHO 2018'!$A:$D,3,0),IFERROR(VLOOKUP($C521,'5-COMP. PROPRIA'!$B$13:$I$518,5,0),""))</f>
        <v>M2</v>
      </c>
      <c r="G521" s="438">
        <f>QUANT!K1557</f>
        <v>30.66</v>
      </c>
      <c r="H521" s="439">
        <f>IFERROR(VLOOKUP($C521,'SINAPI JULHO 2018'!$A:$D,4,0),IFERROR(VLOOKUP($C521,'5-COMP. PROPRIA'!$B$13:$I$518,8,0),""))</f>
        <v>21.24</v>
      </c>
      <c r="I521" s="440">
        <f>H521*'4-BDI'!$E$29</f>
        <v>27.238175999999999</v>
      </c>
      <c r="J521" s="63">
        <f t="shared" si="274"/>
        <v>651.21</v>
      </c>
      <c r="K521" s="190">
        <f t="shared" si="275"/>
        <v>835.12</v>
      </c>
    </row>
    <row r="522" spans="2:11" ht="15">
      <c r="B522" s="362" t="s">
        <v>13142</v>
      </c>
      <c r="C522" s="363"/>
      <c r="D522" s="363"/>
      <c r="E522" s="363" t="str">
        <f>QUANT!E1559</f>
        <v>PISO</v>
      </c>
      <c r="F522" s="364"/>
      <c r="G522" s="365"/>
      <c r="H522" s="366"/>
      <c r="I522" s="367"/>
      <c r="J522" s="368"/>
      <c r="K522" s="369"/>
    </row>
    <row r="523" spans="2:11" ht="30">
      <c r="B523" s="13" t="s">
        <v>13143</v>
      </c>
      <c r="C523" s="435">
        <f>QUANT!C1561</f>
        <v>95241</v>
      </c>
      <c r="D523" s="435" t="str">
        <f>QUANT!D1561</f>
        <v>SINAPI</v>
      </c>
      <c r="E523" s="436" t="str">
        <f>IFERROR(VLOOKUP($C523,'SINAPI JULHO 2018'!$1:$1048576,2,0),IFERROR(VLOOKUP($C523,'5-COMP. PROPRIA'!$B$13:$I$518,4,0),""))</f>
        <v>LASTRO DE CONCRETO MAGRO, APLICADO EM PISOS OU RADIERS, ESPESSURA DE 5 CM. AF_07/2016</v>
      </c>
      <c r="F523" s="437" t="str">
        <f>IFERROR(VLOOKUP($C523,'SINAPI JULHO 2018'!$A:$D,3,0),IFERROR(VLOOKUP($C523,'5-COMP. PROPRIA'!$B$13:$I$518,5,0),""))</f>
        <v>M2</v>
      </c>
      <c r="G523" s="438">
        <f>QUANT!K1561</f>
        <v>33.349999999999994</v>
      </c>
      <c r="H523" s="439">
        <f>IFERROR(VLOOKUP($C523,'SINAPI JULHO 2018'!$A:$D,4,0),IFERROR(VLOOKUP($C523,'5-COMP. PROPRIA'!$B$13:$I$518,8,0),""))</f>
        <v>20.02</v>
      </c>
      <c r="I523" s="440">
        <f>H523*'4-BDI'!$E$29</f>
        <v>25.673648</v>
      </c>
      <c r="J523" s="63">
        <f t="shared" ref="J523:J527" si="276">TRUNC(G523*H523,2)</f>
        <v>667.66</v>
      </c>
      <c r="K523" s="190">
        <f t="shared" ref="K523:K527" si="277">TRUNC(G523*I523,2)</f>
        <v>856.21</v>
      </c>
    </row>
    <row r="524" spans="2:11" ht="45">
      <c r="B524" s="13" t="s">
        <v>13144</v>
      </c>
      <c r="C524" s="435">
        <f>QUANT!C1563</f>
        <v>87620</v>
      </c>
      <c r="D524" s="435" t="str">
        <f>QUANT!D1563</f>
        <v>SINAPI</v>
      </c>
      <c r="E524" s="436" t="str">
        <f>IFERROR(VLOOKUP($C524,'SINAPI JULHO 2018'!$1:$1048576,2,0),IFERROR(VLOOKUP($C524,'5-COMP. PROPRIA'!$B$13:$I$518,4,0),""))</f>
        <v>CONTRAPISO EM ARGAMASSA TRAÇO 1:4 (CIMENTO E AREIA), PREPARO MECÂNICO COM BETONEIRA 400 L, APLICADO EM ÁREAS SECAS SOBRE LAJE, ADERIDO, ESPESSURA 2CM. AF_06/2014</v>
      </c>
      <c r="F524" s="437" t="str">
        <f>IFERROR(VLOOKUP($C524,'SINAPI JULHO 2018'!$A:$D,3,0),IFERROR(VLOOKUP($C524,'5-COMP. PROPRIA'!$B$13:$I$518,5,0),""))</f>
        <v>M2</v>
      </c>
      <c r="G524" s="438">
        <f>QUANT!K1563</f>
        <v>33.349999999999994</v>
      </c>
      <c r="H524" s="439">
        <f>IFERROR(VLOOKUP($C524,'SINAPI JULHO 2018'!$A:$D,4,0),IFERROR(VLOOKUP($C524,'5-COMP. PROPRIA'!$B$13:$I$518,8,0),""))</f>
        <v>24.83</v>
      </c>
      <c r="I524" s="440">
        <f>H524*'4-BDI'!$E$29</f>
        <v>31.841991999999998</v>
      </c>
      <c r="J524" s="63">
        <f t="shared" si="276"/>
        <v>828.08</v>
      </c>
      <c r="K524" s="190">
        <f t="shared" si="277"/>
        <v>1061.93</v>
      </c>
    </row>
    <row r="525" spans="2:11" ht="30">
      <c r="B525" s="13" t="s">
        <v>13145</v>
      </c>
      <c r="C525" s="435">
        <f>QUANT!C1565</f>
        <v>84191</v>
      </c>
      <c r="D525" s="435" t="str">
        <f>QUANT!D1565</f>
        <v>SINAPI</v>
      </c>
      <c r="E525" s="436" t="str">
        <f>IFERROR(VLOOKUP($C525,'SINAPI JULHO 2018'!$1:$1048576,2,0),IFERROR(VLOOKUP($C525,'5-COMP. PROPRIA'!$B$13:$I$518,4,0),""))</f>
        <v>PISO EM GRANILITE, MARMORITE OU GRANITINA ESPESSURA 8 MM, INCLUSO JUNTAS DE DILATACAO PLASTICAS</v>
      </c>
      <c r="F525" s="437" t="str">
        <f>IFERROR(VLOOKUP($C525,'SINAPI JULHO 2018'!$A:$D,3,0),IFERROR(VLOOKUP($C525,'5-COMP. PROPRIA'!$B$13:$I$518,5,0),""))</f>
        <v>M2</v>
      </c>
      <c r="G525" s="438">
        <f>QUANT!K1565</f>
        <v>33.349999999999994</v>
      </c>
      <c r="H525" s="439">
        <f>IFERROR(VLOOKUP($C525,'SINAPI JULHO 2018'!$A:$D,4,0),IFERROR(VLOOKUP($C525,'5-COMP. PROPRIA'!$B$13:$I$518,8,0),""))</f>
        <v>95.34</v>
      </c>
      <c r="I525" s="440">
        <f>H525*'4-BDI'!$E$29</f>
        <v>122.264016</v>
      </c>
      <c r="J525" s="63">
        <f t="shared" si="276"/>
        <v>3179.58</v>
      </c>
      <c r="K525" s="190">
        <f t="shared" si="277"/>
        <v>4077.5</v>
      </c>
    </row>
    <row r="526" spans="2:11" ht="30">
      <c r="B526" s="13" t="s">
        <v>13146</v>
      </c>
      <c r="C526" s="435" t="str">
        <f>QUANT!C1567</f>
        <v>73872/1</v>
      </c>
      <c r="D526" s="435" t="str">
        <f>QUANT!D1567</f>
        <v>SINAPI</v>
      </c>
      <c r="E526" s="436" t="str">
        <f>IFERROR(VLOOKUP($C526,'SINAPI JULHO 2018'!$1:$1048576,2,0),IFERROR(VLOOKUP($C526,'5-COMP. PROPRIA'!$B$13:$I$518,4,0),""))</f>
        <v>IMPERMEABILIZACAO COM PINTURA A BASE DE RESINA EPOXI ALCATRAO, UMA DEMAO.</v>
      </c>
      <c r="F526" s="437" t="str">
        <f>IFERROR(VLOOKUP($C526,'SINAPI JULHO 2018'!$A:$D,3,0),IFERROR(VLOOKUP($C526,'5-COMP. PROPRIA'!$B$13:$I$518,5,0),""))</f>
        <v>M2</v>
      </c>
      <c r="G526" s="438">
        <f>QUANT!K1567</f>
        <v>33.349999999999994</v>
      </c>
      <c r="H526" s="439">
        <f>IFERROR(VLOOKUP($C526,'SINAPI JULHO 2018'!$A:$D,4,0),IFERROR(VLOOKUP($C526,'5-COMP. PROPRIA'!$B$13:$I$518,8,0),""))</f>
        <v>26</v>
      </c>
      <c r="I526" s="440">
        <f>H526*'4-BDI'!$E$29</f>
        <v>33.342399999999998</v>
      </c>
      <c r="J526" s="63">
        <f t="shared" si="276"/>
        <v>867.1</v>
      </c>
      <c r="K526" s="190">
        <f t="shared" si="277"/>
        <v>1111.96</v>
      </c>
    </row>
    <row r="527" spans="2:11" ht="15">
      <c r="B527" s="13" t="s">
        <v>13147</v>
      </c>
      <c r="C527" s="435" t="str">
        <f>QUANT!C1569</f>
        <v>73850/1</v>
      </c>
      <c r="D527" s="435" t="str">
        <f>QUANT!D1569</f>
        <v>SINAPI</v>
      </c>
      <c r="E527" s="436" t="str">
        <f>IFERROR(VLOOKUP($C527,'SINAPI JULHO 2018'!$1:$1048576,2,0),IFERROR(VLOOKUP($C527,'5-COMP. PROPRIA'!$B$13:$I$518,4,0),""))</f>
        <v>RODAPE EM MARMORITE, ALTURA 10CM</v>
      </c>
      <c r="F527" s="437" t="str">
        <f>IFERROR(VLOOKUP($C527,'SINAPI JULHO 2018'!$A:$D,3,0),IFERROR(VLOOKUP($C527,'5-COMP. PROPRIA'!$B$13:$I$518,5,0),""))</f>
        <v>M</v>
      </c>
      <c r="G527" s="438">
        <f>QUANT!K1569</f>
        <v>48.6</v>
      </c>
      <c r="H527" s="439">
        <f>IFERROR(VLOOKUP($C527,'SINAPI JULHO 2018'!$A:$D,4,0),IFERROR(VLOOKUP($C527,'5-COMP. PROPRIA'!$B$13:$I$518,8,0),""))</f>
        <v>22.15</v>
      </c>
      <c r="I527" s="440">
        <f>H527*'4-BDI'!$E$29</f>
        <v>28.405159999999999</v>
      </c>
      <c r="J527" s="63">
        <f t="shared" si="276"/>
        <v>1076.49</v>
      </c>
      <c r="K527" s="190">
        <f t="shared" si="277"/>
        <v>1380.49</v>
      </c>
    </row>
    <row r="528" spans="2:11" ht="15">
      <c r="B528" s="362" t="s">
        <v>13148</v>
      </c>
      <c r="C528" s="363"/>
      <c r="D528" s="363"/>
      <c r="E528" s="363" t="str">
        <f>QUANT!E1571</f>
        <v>LOUÇAS, METAIS, GRADIS E DIVISORIAS</v>
      </c>
      <c r="F528" s="364"/>
      <c r="G528" s="365"/>
      <c r="H528" s="366"/>
      <c r="I528" s="367"/>
      <c r="J528" s="368"/>
      <c r="K528" s="369"/>
    </row>
    <row r="529" spans="2:11" ht="30">
      <c r="B529" s="13" t="s">
        <v>13149</v>
      </c>
      <c r="C529" s="435" t="str">
        <f>QUANT!C1573</f>
        <v>CP-HID-05</v>
      </c>
      <c r="D529" s="435" t="str">
        <f>QUANT!D1573</f>
        <v>PRÓRPIA</v>
      </c>
      <c r="E529" s="436" t="str">
        <f>IFERROR(VLOOKUP($C529,'SINAPI JULHO 2018'!$1:$1048576,2,0),IFERROR(VLOOKUP($C529,'5-COMP. PROPRIA'!$B$13:$I$518,4,0),""))</f>
        <v xml:space="preserve">VASO SANITÁRIO CONVENCIONAL COM CONEXÕES DE INSTALAÇÃO E ASSENTO PLÁSTICO - FORNECIMENTO E INSTALAÇÃO </v>
      </c>
      <c r="F529" s="437" t="str">
        <f>IFERROR(VLOOKUP($C529,'SINAPI JULHO 2018'!$A:$D,3,0),IFERROR(VLOOKUP($C529,'5-COMP. PROPRIA'!$B$13:$I$518,5,0),""))</f>
        <v>UNI</v>
      </c>
      <c r="G529" s="438">
        <f>QUANT!K1573</f>
        <v>6</v>
      </c>
      <c r="H529" s="439">
        <f>IFERROR(VLOOKUP($C529,'SINAPI JULHO 2018'!$A:$D,4,0),IFERROR(VLOOKUP($C529,'5-COMP. PROPRIA'!$B$13:$I$518,8,0),""))</f>
        <v>245.87</v>
      </c>
      <c r="I529" s="440">
        <f>H529*'4-BDI'!$E$29</f>
        <v>315.30368800000002</v>
      </c>
      <c r="J529" s="63">
        <f t="shared" ref="J529" si="278">TRUNC(G529*H529,2)</f>
        <v>1475.22</v>
      </c>
      <c r="K529" s="190">
        <f t="shared" ref="K529" si="279">TRUNC(G529*I529,2)</f>
        <v>1891.82</v>
      </c>
    </row>
    <row r="530" spans="2:11" ht="45">
      <c r="B530" s="13" t="s">
        <v>13150</v>
      </c>
      <c r="C530" s="435">
        <f>QUANT!C1575</f>
        <v>95472</v>
      </c>
      <c r="D530" s="435" t="str">
        <f>QUANT!D1575</f>
        <v>SINAPI</v>
      </c>
      <c r="E530" s="436" t="str">
        <f>IFERROR(VLOOKUP($C530,'SINAPI JULHO 2018'!$1:$1048576,2,0),IFERROR(VLOOKUP($C530,'5-COMP. PROPRIA'!$B$13:$I$518,4,0),""))</f>
        <v>VASO SANITARIO SIFONADO CONVENCIONAL PARA PCD SEM FURO FRONTAL COM LOUÇA BRANCA SEM ASSENTO, INCLUSO CONJUNTO DE LIGAÇÃO PARA BACIA SANITÁRIA AJUSTÁVEL - FORNECIMENTO E INSTALAÇÃO. AF_10/2016</v>
      </c>
      <c r="F530" s="437" t="str">
        <f>IFERROR(VLOOKUP($C530,'SINAPI JULHO 2018'!$A:$D,3,0),IFERROR(VLOOKUP($C530,'5-COMP. PROPRIA'!$B$13:$I$518,5,0),""))</f>
        <v>UN</v>
      </c>
      <c r="G530" s="438">
        <f>QUANT!K1575</f>
        <v>1</v>
      </c>
      <c r="H530" s="439">
        <f>IFERROR(VLOOKUP($C530,'SINAPI JULHO 2018'!$A:$D,4,0),IFERROR(VLOOKUP($C530,'5-COMP. PROPRIA'!$B$13:$I$518,8,0),""))</f>
        <v>596.41</v>
      </c>
      <c r="I530" s="440">
        <f>H530*'4-BDI'!$E$29</f>
        <v>764.836184</v>
      </c>
      <c r="J530" s="63">
        <f t="shared" ref="J530:J537" si="280">TRUNC(G530*H530,2)</f>
        <v>596.41</v>
      </c>
      <c r="K530" s="190">
        <f t="shared" ref="K530:K537" si="281">TRUNC(G530*I530,2)</f>
        <v>764.83</v>
      </c>
    </row>
    <row r="531" spans="2:11" ht="60">
      <c r="B531" s="13" t="s">
        <v>13151</v>
      </c>
      <c r="C531" s="435">
        <f>QUANT!C1577</f>
        <v>86943</v>
      </c>
      <c r="D531" s="435" t="str">
        <f>QUANT!D1577</f>
        <v>SINAPI</v>
      </c>
      <c r="E531" s="436" t="str">
        <f>IFERROR(VLOOKUP($C531,'SINAPI JULHO 2018'!$1:$1048576,2,0),IFERROR(VLOOKUP($C531,'5-COMP. PROPRIA'!$B$13:$I$518,4,0),""))</f>
        <v>LAVATÓRIO LOUÇA BRANCA SUSPENSO, 29,5 X 39CM OU EQUIVALENTE, PADRÃO POPULAR, INCLUSO SIFÃO FLEXÍVEL EM PVC, VÁLVULA E ENGATE FLEXÍVEL 30CM EM PLÁSTICO E TORNEIRA CROMADA DE MESA, PADRÃO POPULAR - FORNECIMENTO E INSTALAÇÃO. AF_12/2013</v>
      </c>
      <c r="F531" s="437" t="str">
        <f>IFERROR(VLOOKUP($C531,'SINAPI JULHO 2018'!$A:$D,3,0),IFERROR(VLOOKUP($C531,'5-COMP. PROPRIA'!$B$13:$I$518,5,0),""))</f>
        <v>UN</v>
      </c>
      <c r="G531" s="438">
        <f>QUANT!K1577</f>
        <v>1</v>
      </c>
      <c r="H531" s="439">
        <f>IFERROR(VLOOKUP($C531,'SINAPI JULHO 2018'!$A:$D,4,0),IFERROR(VLOOKUP($C531,'5-COMP. PROPRIA'!$B$13:$I$518,8,0),""))</f>
        <v>170.11</v>
      </c>
      <c r="I531" s="440">
        <f>H531*'4-BDI'!$E$29</f>
        <v>218.14906400000001</v>
      </c>
      <c r="J531" s="63">
        <f t="shared" ref="J531" si="282">TRUNC(G531*H531,2)</f>
        <v>170.11</v>
      </c>
      <c r="K531" s="190">
        <f t="shared" ref="K531" si="283">TRUNC(G531*I531,2)</f>
        <v>218.14</v>
      </c>
    </row>
    <row r="532" spans="2:11" ht="30">
      <c r="B532" s="13" t="s">
        <v>13152</v>
      </c>
      <c r="C532" s="435" t="str">
        <f>QUANT!C1579</f>
        <v>CP-BAN-01</v>
      </c>
      <c r="D532" s="435" t="str">
        <f>QUANT!D1579</f>
        <v>PRÓRPIA</v>
      </c>
      <c r="E532" s="436" t="str">
        <f>IFERROR(VLOOKUP($C532,'SINAPI JULHO 2018'!$1:$1048576,2,0),IFERROR(VLOOKUP($C532,'5-COMP. PROPRIA'!$B$13:$I$518,4,0),""))</f>
        <v>BANCADA DE GRANITO CINZA POLIDO 2,0 X 0,60 M - FORNECIMENTO E INSTALAÇÃO</v>
      </c>
      <c r="F532" s="437" t="str">
        <f>IFERROR(VLOOKUP($C532,'SINAPI JULHO 2018'!$A:$D,3,0),IFERROR(VLOOKUP($C532,'5-COMP. PROPRIA'!$B$13:$I$518,5,0),""))</f>
        <v>UNI</v>
      </c>
      <c r="G532" s="438">
        <f>QUANT!K1579</f>
        <v>2</v>
      </c>
      <c r="H532" s="439">
        <f>IFERROR(VLOOKUP($C532,'SINAPI JULHO 2018'!$A:$D,4,0),IFERROR(VLOOKUP($C532,'5-COMP. PROPRIA'!$B$13:$I$518,8,0),""))</f>
        <v>852.25</v>
      </c>
      <c r="I532" s="440">
        <f>H532*'4-BDI'!$E$29</f>
        <v>1092.9254000000001</v>
      </c>
      <c r="J532" s="63">
        <f t="shared" ref="J532" si="284">TRUNC(G532*H532,2)</f>
        <v>1704.5</v>
      </c>
      <c r="K532" s="190">
        <f t="shared" ref="K532" si="285">TRUNC(G532*I532,2)</f>
        <v>2185.85</v>
      </c>
    </row>
    <row r="533" spans="2:11" ht="30">
      <c r="B533" s="13" t="s">
        <v>13153</v>
      </c>
      <c r="C533" s="435">
        <f>QUANT!C1581</f>
        <v>86901</v>
      </c>
      <c r="D533" s="435" t="str">
        <f>QUANT!D1581</f>
        <v>SINAPI</v>
      </c>
      <c r="E533" s="436" t="str">
        <f>IFERROR(VLOOKUP($C533,'SINAPI JULHO 2018'!$1:$1048576,2,0),IFERROR(VLOOKUP($C533,'5-COMP. PROPRIA'!$B$13:$I$518,4,0),""))</f>
        <v>CUBA DE EMBUTIR OVAL EM LOUÇA BRANCA, 35 X 50CM OU EQUIVALENTE - FORNECIMENTO E INSTALAÇÃO. AF_12/2013</v>
      </c>
      <c r="F533" s="437" t="str">
        <f>IFERROR(VLOOKUP($C533,'SINAPI JULHO 2018'!$A:$D,3,0),IFERROR(VLOOKUP($C533,'5-COMP. PROPRIA'!$B$13:$I$518,5,0),""))</f>
        <v>UN</v>
      </c>
      <c r="G533" s="438">
        <f>QUANT!K1581</f>
        <v>6</v>
      </c>
      <c r="H533" s="439">
        <f>IFERROR(VLOOKUP($C533,'SINAPI JULHO 2018'!$A:$D,4,0),IFERROR(VLOOKUP($C533,'5-COMP. PROPRIA'!$B$13:$I$518,8,0),""))</f>
        <v>105.11</v>
      </c>
      <c r="I533" s="440">
        <f>H533*'4-BDI'!$E$29</f>
        <v>134.79306399999999</v>
      </c>
      <c r="J533" s="63">
        <f t="shared" si="280"/>
        <v>630.66</v>
      </c>
      <c r="K533" s="190">
        <f t="shared" si="281"/>
        <v>808.75</v>
      </c>
    </row>
    <row r="534" spans="2:11" ht="30">
      <c r="B534" s="13" t="s">
        <v>13154</v>
      </c>
      <c r="C534" s="435">
        <f>QUANT!C1583</f>
        <v>86906</v>
      </c>
      <c r="D534" s="435" t="str">
        <f>QUANT!D1583</f>
        <v>SINAPI</v>
      </c>
      <c r="E534" s="436" t="str">
        <f>IFERROR(VLOOKUP($C534,'SINAPI JULHO 2018'!$1:$1048576,2,0),IFERROR(VLOOKUP($C534,'5-COMP. PROPRIA'!$B$13:$I$518,4,0),""))</f>
        <v>TORNEIRA CROMADA DE MESA, 1/2" OU 3/4", PARA LAVATÓRIO, PADRÃO POPULAR - FORNECIMENTO E INSTALAÇÃO. AF_12/2013</v>
      </c>
      <c r="F534" s="437" t="str">
        <f>IFERROR(VLOOKUP($C534,'SINAPI JULHO 2018'!$A:$D,3,0),IFERROR(VLOOKUP($C534,'5-COMP. PROPRIA'!$B$13:$I$518,5,0),""))</f>
        <v>UN</v>
      </c>
      <c r="G534" s="438">
        <f>QUANT!K1583</f>
        <v>7</v>
      </c>
      <c r="H534" s="439">
        <f>IFERROR(VLOOKUP($C534,'SINAPI JULHO 2018'!$A:$D,4,0),IFERROR(VLOOKUP($C534,'5-COMP. PROPRIA'!$B$13:$I$518,8,0),""))</f>
        <v>49.21</v>
      </c>
      <c r="I534" s="440">
        <f>H534*'4-BDI'!$E$29</f>
        <v>63.106904</v>
      </c>
      <c r="J534" s="63">
        <f t="shared" si="280"/>
        <v>344.47</v>
      </c>
      <c r="K534" s="190">
        <f t="shared" si="281"/>
        <v>441.74</v>
      </c>
    </row>
    <row r="535" spans="2:11" ht="45">
      <c r="B535" s="13" t="s">
        <v>13155</v>
      </c>
      <c r="C535" s="435" t="str">
        <f>QUANT!C1585</f>
        <v>74234/1</v>
      </c>
      <c r="D535" s="435" t="str">
        <f>QUANT!D1585</f>
        <v>SINAPI</v>
      </c>
      <c r="E535" s="436" t="str">
        <f>IFERROR(VLOOKUP($C535,'SINAPI JULHO 2018'!$1:$1048576,2,0),IFERROR(VLOOKUP($C535,'5-COMP. PROPRIA'!$B$13:$I$518,4,0),""))</f>
        <v>MICTORIO SIFONADO DE LOUCA BRANCA COM PERTENCES, COM REGISTRO DE PRESSAO 1/2" COM CANOPLA CROMADA ACABAMENTO SIMPLES E CONJUNTO PARA FIXACAO  - FORNECIMENTO E INSTALACAO</v>
      </c>
      <c r="F535" s="437" t="str">
        <f>IFERROR(VLOOKUP($C535,'SINAPI JULHO 2018'!$A:$D,3,0),IFERROR(VLOOKUP($C535,'5-COMP. PROPRIA'!$B$13:$I$518,5,0),""))</f>
        <v>UN</v>
      </c>
      <c r="G535" s="438">
        <f>QUANT!K1585</f>
        <v>3</v>
      </c>
      <c r="H535" s="439">
        <f>IFERROR(VLOOKUP($C535,'SINAPI JULHO 2018'!$A:$D,4,0),IFERROR(VLOOKUP($C535,'5-COMP. PROPRIA'!$B$13:$I$518,8,0),""))</f>
        <v>420.36</v>
      </c>
      <c r="I535" s="440">
        <f>H535*'4-BDI'!$E$29</f>
        <v>539.06966399999999</v>
      </c>
      <c r="J535" s="63">
        <f t="shared" si="280"/>
        <v>1261.08</v>
      </c>
      <c r="K535" s="190">
        <f t="shared" si="281"/>
        <v>1617.2</v>
      </c>
    </row>
    <row r="536" spans="2:11" ht="30">
      <c r="B536" s="13" t="s">
        <v>13156</v>
      </c>
      <c r="C536" s="435" t="str">
        <f>QUANT!C1587</f>
        <v>CP-HID-04</v>
      </c>
      <c r="D536" s="435" t="str">
        <f>QUANT!D1587</f>
        <v>PRÓRPIA</v>
      </c>
      <c r="E536" s="436" t="str">
        <f>IFERROR(VLOOKUP($C536,'SINAPI JULHO 2018'!$1:$1048576,2,0),IFERROR(VLOOKUP($C536,'5-COMP. PROPRIA'!$B$13:$I$518,4,0),""))</f>
        <v>FORNECIMENTO E INSTALAÇÃO BARRAS DE APOIO EM ACO INOX POLIDO, DIAMETRO MINIMO 3 CM</v>
      </c>
      <c r="F536" s="437" t="str">
        <f>IFERROR(VLOOKUP($C536,'SINAPI JULHO 2018'!$A:$D,3,0),IFERROR(VLOOKUP($C536,'5-COMP. PROPRIA'!$B$13:$I$518,5,0),""))</f>
        <v>UNI</v>
      </c>
      <c r="G536" s="438">
        <f>QUANT!K1587</f>
        <v>1</v>
      </c>
      <c r="H536" s="439">
        <f>IFERROR(VLOOKUP($C536,'SINAPI JULHO 2018'!$A:$D,4,0),IFERROR(VLOOKUP($C536,'5-COMP. PROPRIA'!$B$13:$I$518,8,0),""))</f>
        <v>706.13</v>
      </c>
      <c r="I536" s="440">
        <f>H536*'4-BDI'!$E$29</f>
        <v>905.541112</v>
      </c>
      <c r="J536" s="63">
        <f t="shared" si="280"/>
        <v>706.13</v>
      </c>
      <c r="K536" s="190">
        <f t="shared" si="281"/>
        <v>905.54</v>
      </c>
    </row>
    <row r="537" spans="2:11" ht="15">
      <c r="B537" s="13" t="s">
        <v>13157</v>
      </c>
      <c r="C537" s="435">
        <f>QUANT!C1589</f>
        <v>85096</v>
      </c>
      <c r="D537" s="435" t="str">
        <f>QUANT!D1589</f>
        <v>SINAPI</v>
      </c>
      <c r="E537" s="436" t="str">
        <f>IFERROR(VLOOKUP($C537,'SINAPI JULHO 2018'!$1:$1048576,2,0),IFERROR(VLOOKUP($C537,'5-COMP. PROPRIA'!$B$13:$I$518,4,0),""))</f>
        <v>GRADIL DE ALUMINIO ANODIZADO TIPO BARRA CHATA</v>
      </c>
      <c r="F537" s="437" t="str">
        <f>IFERROR(VLOOKUP($C537,'SINAPI JULHO 2018'!$A:$D,3,0),IFERROR(VLOOKUP($C537,'5-COMP. PROPRIA'!$B$13:$I$518,5,0),""))</f>
        <v>M2</v>
      </c>
      <c r="G537" s="438">
        <f>QUANT!K1589</f>
        <v>8.2740000000000009</v>
      </c>
      <c r="H537" s="439">
        <f>IFERROR(VLOOKUP($C537,'SINAPI JULHO 2018'!$A:$D,4,0),IFERROR(VLOOKUP($C537,'5-COMP. PROPRIA'!$B$13:$I$518,8,0),""))</f>
        <v>267.14</v>
      </c>
      <c r="I537" s="440">
        <f>H537*'4-BDI'!$E$29</f>
        <v>342.58033599999999</v>
      </c>
      <c r="J537" s="63">
        <f t="shared" si="280"/>
        <v>2210.31</v>
      </c>
      <c r="K537" s="190">
        <f t="shared" si="281"/>
        <v>2834.5</v>
      </c>
    </row>
    <row r="538" spans="2:11" ht="15">
      <c r="B538" s="13" t="s">
        <v>13158</v>
      </c>
      <c r="C538" s="435" t="str">
        <f>QUANT!C1591</f>
        <v>CP-LIX-02</v>
      </c>
      <c r="D538" s="435" t="str">
        <f>QUANT!D1591</f>
        <v>PRÓRPIA</v>
      </c>
      <c r="E538" s="436" t="str">
        <f>IFERROR(VLOOKUP($C538,'SINAPI JULHO 2018'!$1:$1048576,2,0),IFERROR(VLOOKUP($C538,'5-COMP. PROPRIA'!$B$13:$I$518,4,0),""))</f>
        <v xml:space="preserve">LIXAMENTO DE SUPERFICIE METÁLICA </v>
      </c>
      <c r="F538" s="437" t="str">
        <f>IFERROR(VLOOKUP($C538,'SINAPI JULHO 2018'!$A:$D,3,0),IFERROR(VLOOKUP($C538,'5-COMP. PROPRIA'!$B$13:$I$518,5,0),""))</f>
        <v>M2</v>
      </c>
      <c r="G538" s="438">
        <f>QUANT!K1591</f>
        <v>16.548000000000002</v>
      </c>
      <c r="H538" s="439">
        <f>IFERROR(VLOOKUP($C538,'SINAPI JULHO 2018'!$A:$D,4,0),IFERROR(VLOOKUP($C538,'5-COMP. PROPRIA'!$B$13:$I$518,8,0),""))</f>
        <v>4.66</v>
      </c>
      <c r="I538" s="440">
        <f>H538*'4-BDI'!$E$29</f>
        <v>5.9759840000000004</v>
      </c>
      <c r="J538" s="63">
        <f t="shared" ref="J538:J539" si="286">TRUNC(G538*H538,2)</f>
        <v>77.11</v>
      </c>
      <c r="K538" s="190">
        <f t="shared" ref="K538:K539" si="287">TRUNC(G538*I538,2)</f>
        <v>98.89</v>
      </c>
    </row>
    <row r="539" spans="2:11" ht="15">
      <c r="B539" s="13" t="s">
        <v>13159</v>
      </c>
      <c r="C539" s="435" t="str">
        <f>QUANT!C1593</f>
        <v>73924/1</v>
      </c>
      <c r="D539" s="435" t="str">
        <f>QUANT!D1593</f>
        <v>SINAPI</v>
      </c>
      <c r="E539" s="436" t="str">
        <f>IFERROR(VLOOKUP($C539,'SINAPI JULHO 2018'!$1:$1048576,2,0),IFERROR(VLOOKUP($C539,'5-COMP. PROPRIA'!$B$13:$I$518,4,0),""))</f>
        <v>PINTURA ESMALTE ALTO BRILHO, DUAS DEMAOS, SOBRE SUPERFICIE METALICA</v>
      </c>
      <c r="F539" s="437" t="str">
        <f>IFERROR(VLOOKUP($C539,'SINAPI JULHO 2018'!$A:$D,3,0),IFERROR(VLOOKUP($C539,'5-COMP. PROPRIA'!$B$13:$I$518,5,0),""))</f>
        <v>M2</v>
      </c>
      <c r="G539" s="438">
        <f>QUANT!K1593</f>
        <v>16.548000000000002</v>
      </c>
      <c r="H539" s="439">
        <f>IFERROR(VLOOKUP($C539,'SINAPI JULHO 2018'!$A:$D,4,0),IFERROR(VLOOKUP($C539,'5-COMP. PROPRIA'!$B$13:$I$518,8,0),""))</f>
        <v>21.24</v>
      </c>
      <c r="I539" s="440">
        <f>H539*'4-BDI'!$E$29</f>
        <v>27.238175999999999</v>
      </c>
      <c r="J539" s="63">
        <f t="shared" si="286"/>
        <v>351.47</v>
      </c>
      <c r="K539" s="190">
        <f t="shared" si="287"/>
        <v>450.73</v>
      </c>
    </row>
    <row r="540" spans="2:11" ht="45">
      <c r="B540" s="13" t="s">
        <v>13160</v>
      </c>
      <c r="C540" s="435" t="str">
        <f>QUANT!C1595</f>
        <v>73774/1</v>
      </c>
      <c r="D540" s="435" t="str">
        <f>QUANT!D1595</f>
        <v>SINAPI</v>
      </c>
      <c r="E540" s="436" t="str">
        <f>IFERROR(VLOOKUP($C540,'SINAPI JULHO 2018'!$1:$1048576,2,0),IFERROR(VLOOKUP($C540,'5-COMP. PROPRIA'!$B$13:$I$518,4,0),""))</f>
        <v>DIVISORIA EM MARMORITE ESPESSURA 35MM, CHUMBAMENTO NO PISO E PAREDE COM ARGAMASSA DE CIMENTO E AREIA, POLIMENTO MANUAL, EXCLUSIVE FERRAGENS</v>
      </c>
      <c r="F540" s="437" t="str">
        <f>IFERROR(VLOOKUP($C540,'SINAPI JULHO 2018'!$A:$D,3,0),IFERROR(VLOOKUP($C540,'5-COMP. PROPRIA'!$B$13:$I$518,5,0),""))</f>
        <v>M2</v>
      </c>
      <c r="G540" s="438">
        <f>QUANT!K1595</f>
        <v>18.755000000000003</v>
      </c>
      <c r="H540" s="439">
        <f>IFERROR(VLOOKUP($C540,'SINAPI JULHO 2018'!$A:$D,4,0),IFERROR(VLOOKUP($C540,'5-COMP. PROPRIA'!$B$13:$I$518,8,0),""))</f>
        <v>260.72000000000003</v>
      </c>
      <c r="I540" s="440">
        <f>H540*'4-BDI'!$E$29</f>
        <v>334.347328</v>
      </c>
      <c r="J540" s="63">
        <f t="shared" ref="J540" si="288">TRUNC(G540*H540,2)</f>
        <v>4889.8</v>
      </c>
      <c r="K540" s="190">
        <f t="shared" ref="K540" si="289">TRUNC(G540*I540,2)</f>
        <v>6270.68</v>
      </c>
    </row>
    <row r="541" spans="2:11" ht="15">
      <c r="B541" s="362" t="s">
        <v>13161</v>
      </c>
      <c r="C541" s="363"/>
      <c r="D541" s="363"/>
      <c r="E541" s="363" t="str">
        <f>QUANT!E1597</f>
        <v>RAMPA</v>
      </c>
      <c r="F541" s="364"/>
      <c r="G541" s="365"/>
      <c r="H541" s="366"/>
      <c r="I541" s="367"/>
      <c r="J541" s="368"/>
      <c r="K541" s="369"/>
    </row>
    <row r="542" spans="2:11" ht="15">
      <c r="B542" s="13" t="s">
        <v>13162</v>
      </c>
      <c r="C542" s="435" t="str">
        <f>QUANT!C1599</f>
        <v>CP-DEM-01</v>
      </c>
      <c r="D542" s="435" t="str">
        <f>QUANT!D1599</f>
        <v>PRÓRPIA</v>
      </c>
      <c r="E542" s="436" t="str">
        <f>IFERROR(VLOOKUP($C542,'SINAPI JULHO 2018'!$1:$1048576,2,0),IFERROR(VLOOKUP($C542,'5-COMP. PROPRIA'!$B$13:$I$518,4,0),""))</f>
        <v>DEMOLIÇÃO DE CONCRETO SIMPLES</v>
      </c>
      <c r="F542" s="437" t="str">
        <f>IFERROR(VLOOKUP($C542,'SINAPI JULHO 2018'!$A:$D,3,0),IFERROR(VLOOKUP($C542,'5-COMP. PROPRIA'!$B$13:$I$518,5,0),""))</f>
        <v>M3</v>
      </c>
      <c r="G542" s="438">
        <f>QUANT!K1599</f>
        <v>0.22785</v>
      </c>
      <c r="H542" s="439">
        <f>IFERROR(VLOOKUP($C542,'SINAPI JULHO 2018'!$A:$D,4,0),IFERROR(VLOOKUP($C542,'5-COMP. PROPRIA'!$B$13:$I$518,8,0),""))</f>
        <v>165.98</v>
      </c>
      <c r="I542" s="440">
        <f>H542*'4-BDI'!$E$29</f>
        <v>212.85275199999998</v>
      </c>
      <c r="J542" s="63">
        <f t="shared" ref="J542" si="290">TRUNC(G542*H542,2)</f>
        <v>37.81</v>
      </c>
      <c r="K542" s="190">
        <f t="shared" ref="K542" si="291">TRUNC(G542*I542,2)</f>
        <v>48.49</v>
      </c>
    </row>
    <row r="543" spans="2:11" ht="15">
      <c r="B543" s="13" t="s">
        <v>13163</v>
      </c>
      <c r="C543" s="435">
        <f>QUANT!C1601</f>
        <v>72897</v>
      </c>
      <c r="D543" s="435" t="str">
        <f>QUANT!D1601</f>
        <v>SINAPI</v>
      </c>
      <c r="E543" s="436" t="str">
        <f>IFERROR(VLOOKUP($C543,'SINAPI JULHO 2018'!$1:$1048576,2,0),IFERROR(VLOOKUP($C543,'5-COMP. PROPRIA'!$B$13:$I$518,4,0),""))</f>
        <v>CARGA MANUAL DE ENTULHO EM CAMINHAO BASCULANTE 6 M3</v>
      </c>
      <c r="F543" s="437" t="str">
        <f>IFERROR(VLOOKUP($C543,'SINAPI JULHO 2018'!$A:$D,3,0),IFERROR(VLOOKUP($C543,'5-COMP. PROPRIA'!$B$13:$I$518,5,0),""))</f>
        <v>M3</v>
      </c>
      <c r="G543" s="438">
        <f>QUANT!K1601</f>
        <v>0.45569999999999999</v>
      </c>
      <c r="H543" s="439">
        <f>IFERROR(VLOOKUP($C543,'SINAPI JULHO 2018'!$A:$D,4,0),IFERROR(VLOOKUP($C543,'5-COMP. PROPRIA'!$B$13:$I$518,8,0),""))</f>
        <v>17.34</v>
      </c>
      <c r="I543" s="440">
        <f>H543*'4-BDI'!$E$29</f>
        <v>22.236816000000001</v>
      </c>
      <c r="J543" s="63">
        <f t="shared" ref="J543:J551" si="292">TRUNC(G543*H543,2)</f>
        <v>7.9</v>
      </c>
      <c r="K543" s="190">
        <f t="shared" ref="K543:K551" si="293">TRUNC(G543*I543,2)</f>
        <v>10.130000000000001</v>
      </c>
    </row>
    <row r="544" spans="2:11" ht="30">
      <c r="B544" s="13" t="s">
        <v>13164</v>
      </c>
      <c r="C544" s="435">
        <f>QUANT!C1603</f>
        <v>97914</v>
      </c>
      <c r="D544" s="435" t="str">
        <f>QUANT!D1603</f>
        <v>SINAPI</v>
      </c>
      <c r="E544" s="436" t="str">
        <f>IFERROR(VLOOKUP($C544,'SINAPI JULHO 2018'!$1:$1048576,2,0),IFERROR(VLOOKUP($C544,'5-COMP. PROPRIA'!$B$13:$I$518,4,0),""))</f>
        <v>TRANSPORTE COM CAMINHÃO BASCULANTE DE 6 M3, EM VIA URBANA PAVIMENTADA, DMT ATÉ 30 KM (UNIDADE: M3XKM). AF_01/2018</v>
      </c>
      <c r="F544" s="437" t="str">
        <f>IFERROR(VLOOKUP($C544,'SINAPI JULHO 2018'!$A:$D,3,0),IFERROR(VLOOKUP($C544,'5-COMP. PROPRIA'!$B$13:$I$518,5,0),""))</f>
        <v>M3XKM</v>
      </c>
      <c r="G544" s="438">
        <f>QUANT!K1603</f>
        <v>3.4177499999999998</v>
      </c>
      <c r="H544" s="439">
        <f>IFERROR(VLOOKUP($C544,'SINAPI JULHO 2018'!$A:$D,4,0),IFERROR(VLOOKUP($C544,'5-COMP. PROPRIA'!$B$13:$I$518,8,0),""))</f>
        <v>1.52</v>
      </c>
      <c r="I544" s="440">
        <f>H544*'4-BDI'!$E$29</f>
        <v>1.9492480000000001</v>
      </c>
      <c r="J544" s="63">
        <f t="shared" si="292"/>
        <v>5.19</v>
      </c>
      <c r="K544" s="190">
        <f t="shared" si="293"/>
        <v>6.66</v>
      </c>
    </row>
    <row r="545" spans="2:11" ht="30">
      <c r="B545" s="13" t="s">
        <v>13165</v>
      </c>
      <c r="C545" s="435">
        <f>QUANT!C1605</f>
        <v>96617</v>
      </c>
      <c r="D545" s="435" t="str">
        <f>QUANT!D1605</f>
        <v>SINAPI</v>
      </c>
      <c r="E545" s="436" t="str">
        <f>IFERROR(VLOOKUP($C545,'SINAPI JULHO 2018'!$1:$1048576,2,0),IFERROR(VLOOKUP($C545,'5-COMP. PROPRIA'!$B$13:$I$518,4,0),""))</f>
        <v>LASTRO DE CONCRETO MAGRO, APLICADO EM BLOCOS DE COROAMENTO OU SAPATAS, ESPESSURA DE 3 CM. AF_08/2017</v>
      </c>
      <c r="F545" s="437" t="str">
        <f>IFERROR(VLOOKUP($C545,'SINAPI JULHO 2018'!$A:$D,3,0),IFERROR(VLOOKUP($C545,'5-COMP. PROPRIA'!$B$13:$I$518,5,0),""))</f>
        <v>M2</v>
      </c>
      <c r="G545" s="438">
        <f>QUANT!K1605</f>
        <v>7.75</v>
      </c>
      <c r="H545" s="439">
        <f>IFERROR(VLOOKUP($C545,'SINAPI JULHO 2018'!$A:$D,4,0),IFERROR(VLOOKUP($C545,'5-COMP. PROPRIA'!$B$13:$I$518,8,0),""))</f>
        <v>12.49</v>
      </c>
      <c r="I545" s="440">
        <f>H545*'4-BDI'!$E$29</f>
        <v>16.017175999999999</v>
      </c>
      <c r="J545" s="63">
        <f t="shared" si="292"/>
        <v>96.79</v>
      </c>
      <c r="K545" s="190">
        <f t="shared" si="293"/>
        <v>124.13</v>
      </c>
    </row>
    <row r="546" spans="2:11" ht="30">
      <c r="B546" s="13" t="s">
        <v>13166</v>
      </c>
      <c r="C546" s="435">
        <f>QUANT!C1607</f>
        <v>94965</v>
      </c>
      <c r="D546" s="435" t="str">
        <f>QUANT!D1607</f>
        <v>SINAPI</v>
      </c>
      <c r="E546" s="436" t="str">
        <f>IFERROR(VLOOKUP($C546,'SINAPI JULHO 2018'!$1:$1048576,2,0),IFERROR(VLOOKUP($C546,'5-COMP. PROPRIA'!$B$13:$I$518,4,0),""))</f>
        <v>CONCRETO FCK = 25MPA, TRAÇO 1:2,3:2,7 (CIMENTO/ AREIA MÉDIA/ BRITA 1)  - PREPARO MECÂNICO COM BETONEIRA 400 L. AF_07/2016</v>
      </c>
      <c r="F546" s="437" t="str">
        <f>IFERROR(VLOOKUP($C546,'SINAPI JULHO 2018'!$A:$D,3,0),IFERROR(VLOOKUP($C546,'5-COMP. PROPRIA'!$B$13:$I$518,5,0),""))</f>
        <v>M3</v>
      </c>
      <c r="G546" s="438">
        <f>QUANT!K1607</f>
        <v>2.2784999999999997</v>
      </c>
      <c r="H546" s="439">
        <f>IFERROR(VLOOKUP($C546,'SINAPI JULHO 2018'!$A:$D,4,0),IFERROR(VLOOKUP($C546,'5-COMP. PROPRIA'!$B$13:$I$518,8,0),""))</f>
        <v>323.45</v>
      </c>
      <c r="I546" s="440">
        <f>H546*'4-BDI'!$E$29</f>
        <v>414.79228000000001</v>
      </c>
      <c r="J546" s="63">
        <f t="shared" si="292"/>
        <v>736.98</v>
      </c>
      <c r="K546" s="190">
        <f t="shared" si="293"/>
        <v>945.1</v>
      </c>
    </row>
    <row r="547" spans="2:11" ht="15">
      <c r="B547" s="13" t="s">
        <v>13167</v>
      </c>
      <c r="C547" s="435" t="str">
        <f>QUANT!C1609</f>
        <v>74157/4</v>
      </c>
      <c r="D547" s="435" t="str">
        <f>QUANT!D1609</f>
        <v>SINAPI</v>
      </c>
      <c r="E547" s="436" t="str">
        <f>IFERROR(VLOOKUP($C547,'SINAPI JULHO 2018'!$1:$1048576,2,0),IFERROR(VLOOKUP($C547,'5-COMP. PROPRIA'!$B$13:$I$518,4,0),""))</f>
        <v>LANCAMENTO/APLICACAO MANUAL DE CONCRETO EM FUNDACOES</v>
      </c>
      <c r="F547" s="437" t="str">
        <f>IFERROR(VLOOKUP($C547,'SINAPI JULHO 2018'!$A:$D,3,0),IFERROR(VLOOKUP($C547,'5-COMP. PROPRIA'!$B$13:$I$518,5,0),""))</f>
        <v>M3</v>
      </c>
      <c r="G547" s="438">
        <f>QUANT!K1609</f>
        <v>2.2784999999999997</v>
      </c>
      <c r="H547" s="439">
        <f>IFERROR(VLOOKUP($C547,'SINAPI JULHO 2018'!$A:$D,4,0),IFERROR(VLOOKUP($C547,'5-COMP. PROPRIA'!$B$13:$I$518,8,0),""))</f>
        <v>93.76</v>
      </c>
      <c r="I547" s="440">
        <f>H547*'4-BDI'!$E$29</f>
        <v>120.237824</v>
      </c>
      <c r="J547" s="63">
        <f t="shared" si="292"/>
        <v>213.63</v>
      </c>
      <c r="K547" s="190">
        <f t="shared" si="293"/>
        <v>273.95999999999998</v>
      </c>
    </row>
    <row r="548" spans="2:11" ht="30">
      <c r="B548" s="13" t="s">
        <v>13168</v>
      </c>
      <c r="C548" s="435" t="str">
        <f>QUANT!C1611</f>
        <v>73994/1</v>
      </c>
      <c r="D548" s="435" t="str">
        <f>QUANT!D1611</f>
        <v>SINAPI</v>
      </c>
      <c r="E548" s="436" t="str">
        <f>IFERROR(VLOOKUP($C548,'SINAPI JULHO 2018'!$1:$1048576,2,0),IFERROR(VLOOKUP($C548,'5-COMP. PROPRIA'!$B$13:$I$518,4,0),""))</f>
        <v>ARMACAO EM TELA DE ACO SOLDADA NERVURADA Q-138, ACO CA-60, 4,2MM, MALHA 10X10CM</v>
      </c>
      <c r="F548" s="437" t="str">
        <f>IFERROR(VLOOKUP($C548,'SINAPI JULHO 2018'!$A:$D,3,0),IFERROR(VLOOKUP($C548,'5-COMP. PROPRIA'!$B$13:$I$518,5,0),""))</f>
        <v>KG</v>
      </c>
      <c r="G548" s="438">
        <f>QUANT!K1611</f>
        <v>1.9375</v>
      </c>
      <c r="H548" s="439">
        <f>IFERROR(VLOOKUP($C548,'SINAPI JULHO 2018'!$A:$D,4,0),IFERROR(VLOOKUP($C548,'5-COMP. PROPRIA'!$B$13:$I$518,8,0),""))</f>
        <v>6.41</v>
      </c>
      <c r="I548" s="440">
        <f>H548*'4-BDI'!$E$29</f>
        <v>8.2201839999999997</v>
      </c>
      <c r="J548" s="63">
        <f t="shared" si="292"/>
        <v>12.41</v>
      </c>
      <c r="K548" s="190">
        <f t="shared" si="293"/>
        <v>15.92</v>
      </c>
    </row>
    <row r="549" spans="2:11" ht="30">
      <c r="B549" s="13" t="s">
        <v>13169</v>
      </c>
      <c r="C549" s="435">
        <f>QUANT!C1613</f>
        <v>96536</v>
      </c>
      <c r="D549" s="435" t="str">
        <f>QUANT!D1613</f>
        <v>SINAPI</v>
      </c>
      <c r="E549" s="436" t="str">
        <f>IFERROR(VLOOKUP($C549,'SINAPI JULHO 2018'!$1:$1048576,2,0),IFERROR(VLOOKUP($C549,'5-COMP. PROPRIA'!$B$13:$I$518,4,0),""))</f>
        <v>FABRICAÇÃO, MONTAGEM E DESMONTAGEM DE FÔRMA PARA VIGA BALDRAME, EM MADEIRA SERRADA, E=25 MM, 4 UTILIZAÇÕES. AF_06/2017</v>
      </c>
      <c r="F549" s="437" t="str">
        <f>IFERROR(VLOOKUP($C549,'SINAPI JULHO 2018'!$A:$D,3,0),IFERROR(VLOOKUP($C549,'5-COMP. PROPRIA'!$B$13:$I$518,5,0),""))</f>
        <v>M2</v>
      </c>
      <c r="G549" s="438">
        <f>QUANT!K1613</f>
        <v>4.2</v>
      </c>
      <c r="H549" s="439">
        <f>IFERROR(VLOOKUP($C549,'SINAPI JULHO 2018'!$A:$D,4,0),IFERROR(VLOOKUP($C549,'5-COMP. PROPRIA'!$B$13:$I$518,8,0),""))</f>
        <v>37.81</v>
      </c>
      <c r="I549" s="440">
        <f>H549*'4-BDI'!$E$29</f>
        <v>48.487544</v>
      </c>
      <c r="J549" s="63">
        <f t="shared" si="292"/>
        <v>158.80000000000001</v>
      </c>
      <c r="K549" s="190">
        <f t="shared" si="293"/>
        <v>203.64</v>
      </c>
    </row>
    <row r="550" spans="2:11" ht="15">
      <c r="B550" s="13" t="s">
        <v>13170</v>
      </c>
      <c r="C550" s="435" t="str">
        <f>QUANT!C1615</f>
        <v>74195/1</v>
      </c>
      <c r="D550" s="435" t="str">
        <f>QUANT!D1615</f>
        <v>SINAPI</v>
      </c>
      <c r="E550" s="436" t="str">
        <f>IFERROR(VLOOKUP($C550,'SINAPI JULHO 2018'!$1:$1048576,2,0),IFERROR(VLOOKUP($C550,'5-COMP. PROPRIA'!$B$13:$I$518,4,0),""))</f>
        <v>GUARDA-CORPO  COM CORRIMAO EM FERRO BARRA CHATA 3/16"</v>
      </c>
      <c r="F550" s="437" t="str">
        <f>IFERROR(VLOOKUP($C550,'SINAPI JULHO 2018'!$A:$D,3,0),IFERROR(VLOOKUP($C550,'5-COMP. PROPRIA'!$B$13:$I$518,5,0),""))</f>
        <v>M</v>
      </c>
      <c r="G550" s="438">
        <f>QUANT!K1615</f>
        <v>5</v>
      </c>
      <c r="H550" s="439">
        <f>IFERROR(VLOOKUP($C550,'SINAPI JULHO 2018'!$A:$D,4,0),IFERROR(VLOOKUP($C550,'5-COMP. PROPRIA'!$B$13:$I$518,8,0),""))</f>
        <v>404.58</v>
      </c>
      <c r="I550" s="440">
        <f>H550*'4-BDI'!$E$29</f>
        <v>518.833392</v>
      </c>
      <c r="J550" s="63">
        <f t="shared" si="292"/>
        <v>2022.9</v>
      </c>
      <c r="K550" s="190">
        <f t="shared" si="293"/>
        <v>2594.16</v>
      </c>
    </row>
    <row r="551" spans="2:11" ht="15">
      <c r="B551" s="13" t="s">
        <v>13171</v>
      </c>
      <c r="C551" s="435" t="str">
        <f>QUANT!C1617</f>
        <v>79500/2</v>
      </c>
      <c r="D551" s="435" t="str">
        <f>QUANT!D1617</f>
        <v>SINAPI</v>
      </c>
      <c r="E551" s="436" t="str">
        <f>IFERROR(VLOOKUP($C551,'SINAPI JULHO 2018'!$1:$1048576,2,0),IFERROR(VLOOKUP($C551,'5-COMP. PROPRIA'!$B$13:$I$518,4,0),""))</f>
        <v>PINTURA ACRILICA EM PISO CIMENTADO, TRES DEMAOS</v>
      </c>
      <c r="F551" s="437" t="str">
        <f>IFERROR(VLOOKUP($C551,'SINAPI JULHO 2018'!$A:$D,3,0),IFERROR(VLOOKUP($C551,'5-COMP. PROPRIA'!$B$13:$I$518,5,0),""))</f>
        <v>M2</v>
      </c>
      <c r="G551" s="438">
        <f>QUANT!K1617</f>
        <v>8.5250000000000004</v>
      </c>
      <c r="H551" s="439">
        <f>IFERROR(VLOOKUP($C551,'SINAPI JULHO 2018'!$A:$D,4,0),IFERROR(VLOOKUP($C551,'5-COMP. PROPRIA'!$B$13:$I$518,8,0),""))</f>
        <v>16.12</v>
      </c>
      <c r="I551" s="440">
        <f>H551*'4-BDI'!$E$29</f>
        <v>20.672288000000002</v>
      </c>
      <c r="J551" s="63">
        <f t="shared" si="292"/>
        <v>137.41999999999999</v>
      </c>
      <c r="K551" s="190">
        <f t="shared" si="293"/>
        <v>176.23</v>
      </c>
    </row>
    <row r="552" spans="2:11" ht="15">
      <c r="B552" s="526" t="s">
        <v>12756</v>
      </c>
      <c r="C552" s="527"/>
      <c r="D552" s="527"/>
      <c r="E552" s="527"/>
      <c r="F552" s="527"/>
      <c r="G552" s="527"/>
      <c r="H552" s="527"/>
      <c r="I552" s="294"/>
      <c r="J552" s="189">
        <f>SUM(J462:J551)</f>
        <v>66251.380000000034</v>
      </c>
      <c r="K552" s="192">
        <f>SUM(K462:K551)</f>
        <v>84960.760000000024</v>
      </c>
    </row>
    <row r="553" spans="2:11" ht="15">
      <c r="B553" s="305" t="s">
        <v>13172</v>
      </c>
      <c r="C553" s="306"/>
      <c r="D553" s="307"/>
      <c r="E553" s="308" t="str">
        <f>QUANT!E1619</f>
        <v>RESTAURAÇÃO CANTINA E ACESSO</v>
      </c>
      <c r="F553" s="309"/>
      <c r="G553" s="310"/>
      <c r="H553" s="311"/>
      <c r="I553" s="311"/>
      <c r="J553" s="312"/>
      <c r="K553" s="313"/>
    </row>
    <row r="554" spans="2:11" ht="15">
      <c r="B554" s="362" t="s">
        <v>13173</v>
      </c>
      <c r="C554" s="363"/>
      <c r="D554" s="363"/>
      <c r="E554" s="363" t="str">
        <f>QUANT!E1621</f>
        <v>REVESTIMENTOS E PINTURA</v>
      </c>
      <c r="F554" s="364"/>
      <c r="G554" s="365"/>
      <c r="H554" s="366"/>
      <c r="I554" s="367"/>
      <c r="J554" s="368"/>
      <c r="K554" s="369"/>
    </row>
    <row r="555" spans="2:11" ht="15">
      <c r="B555" s="13" t="s">
        <v>13174</v>
      </c>
      <c r="C555" s="435">
        <f>QUANT!C1623</f>
        <v>84084</v>
      </c>
      <c r="D555" s="435" t="str">
        <f>QUANT!D1623</f>
        <v>SINAPI</v>
      </c>
      <c r="E555" s="436" t="str">
        <f>IFERROR(VLOOKUP($C555,'SINAPI JULHO 2018'!$1:$1048576,2,0),IFERROR(VLOOKUP($C555,'5-COMP. PROPRIA'!$B$13:$I$518,4,0),""))</f>
        <v>APICOAMENTO MANUAL DE SUPERFICIE DE CONCRETO</v>
      </c>
      <c r="F555" s="437" t="str">
        <f>IFERROR(VLOOKUP($C555,'SINAPI JULHO 2018'!$A:$D,3,0),IFERROR(VLOOKUP($C555,'5-COMP. PROPRIA'!$B$13:$I$518,5,0),""))</f>
        <v>M2</v>
      </c>
      <c r="G555" s="438">
        <f>QUANT!K1623</f>
        <v>116.97</v>
      </c>
      <c r="H555" s="439">
        <f>IFERROR(VLOOKUP($C555,'SINAPI JULHO 2018'!$A:$D,4,0),IFERROR(VLOOKUP($C555,'5-COMP. PROPRIA'!$B$13:$I$518,8,0),""))</f>
        <v>5.72</v>
      </c>
      <c r="I555" s="440">
        <f>H555*'4-BDI'!$E$29</f>
        <v>7.3353279999999996</v>
      </c>
      <c r="J555" s="63">
        <f t="shared" ref="J555" si="294">TRUNC(G555*H555,2)</f>
        <v>669.06</v>
      </c>
      <c r="K555" s="190">
        <f t="shared" ref="K555" si="295">TRUNC(G555*I555,2)</f>
        <v>858.01</v>
      </c>
    </row>
    <row r="556" spans="2:11" ht="60">
      <c r="B556" s="13" t="s">
        <v>13175</v>
      </c>
      <c r="C556" s="435">
        <f>QUANT!C1625</f>
        <v>87529</v>
      </c>
      <c r="D556" s="435" t="str">
        <f>QUANT!D1625</f>
        <v>SINAPI</v>
      </c>
      <c r="E556" s="436" t="str">
        <f>IFERROR(VLOOKUP($C556,'SINAPI JULHO 2018'!$1:$1048576,2,0),IFERROR(VLOOKUP($C556,'5-COMP. PROPRIA'!$B$13:$I$518,4,0),""))</f>
        <v>MASSA ÚNICA, PARA RECEBIMENTO DE PINTURA, EM ARGAMASSA TRAÇO 1:2:8, PREPARO MECÂNICO COM BETONEIRA 400L, APLICADA MANUALMENTE EM FACES INTERNAS DE PAREDES, ESPESSURA DE 20MM, COM EXECUÇÃO DE TALISCAS. AF_06/2014</v>
      </c>
      <c r="F556" s="437" t="str">
        <f>IFERROR(VLOOKUP($C556,'SINAPI JULHO 2018'!$A:$D,3,0),IFERROR(VLOOKUP($C556,'5-COMP. PROPRIA'!$B$13:$I$518,5,0),""))</f>
        <v>M2</v>
      </c>
      <c r="G556" s="438">
        <f>QUANT!K1625</f>
        <v>116.97</v>
      </c>
      <c r="H556" s="439">
        <f>IFERROR(VLOOKUP($C556,'SINAPI JULHO 2018'!$A:$D,4,0),IFERROR(VLOOKUP($C556,'5-COMP. PROPRIA'!$B$13:$I$518,8,0),""))</f>
        <v>23.86</v>
      </c>
      <c r="I556" s="440">
        <f>H556*'4-BDI'!$E$29</f>
        <v>30.598063999999997</v>
      </c>
      <c r="J556" s="63">
        <f t="shared" ref="J556:J560" si="296">TRUNC(G556*H556,2)</f>
        <v>2790.9</v>
      </c>
      <c r="K556" s="190">
        <f t="shared" ref="K556:K560" si="297">TRUNC(G556*I556,2)</f>
        <v>3579.05</v>
      </c>
    </row>
    <row r="557" spans="2:11" ht="30">
      <c r="B557" s="13" t="s">
        <v>13176</v>
      </c>
      <c r="C557" s="435">
        <f>QUANT!C1627</f>
        <v>88485</v>
      </c>
      <c r="D557" s="435" t="str">
        <f>QUANT!D1627</f>
        <v>SINAPI</v>
      </c>
      <c r="E557" s="436" t="str">
        <f>IFERROR(VLOOKUP($C557,'SINAPI JULHO 2018'!$1:$1048576,2,0),IFERROR(VLOOKUP($C557,'5-COMP. PROPRIA'!$B$13:$I$518,4,0),""))</f>
        <v>APLICAÇÃO DE FUNDO SELADOR ACRÍLICO EM PAREDES, UMA DEMÃO. AF_06/2014</v>
      </c>
      <c r="F557" s="437" t="str">
        <f>IFERROR(VLOOKUP($C557,'SINAPI JULHO 2018'!$A:$D,3,0),IFERROR(VLOOKUP($C557,'5-COMP. PROPRIA'!$B$13:$I$518,5,0),""))</f>
        <v>M2</v>
      </c>
      <c r="G557" s="438">
        <f>QUANT!K1627</f>
        <v>55.02</v>
      </c>
      <c r="H557" s="439">
        <f>IFERROR(VLOOKUP($C557,'SINAPI JULHO 2018'!$A:$D,4,0),IFERROR(VLOOKUP($C557,'5-COMP. PROPRIA'!$B$13:$I$518,8,0),""))</f>
        <v>1.6</v>
      </c>
      <c r="I557" s="440">
        <f>H557*'4-BDI'!$E$29</f>
        <v>2.0518399999999999</v>
      </c>
      <c r="J557" s="63">
        <f t="shared" si="296"/>
        <v>88.03</v>
      </c>
      <c r="K557" s="190">
        <f t="shared" si="297"/>
        <v>112.89</v>
      </c>
    </row>
    <row r="558" spans="2:11" ht="30">
      <c r="B558" s="13" t="s">
        <v>13177</v>
      </c>
      <c r="C558" s="435">
        <f>QUANT!C1629</f>
        <v>88489</v>
      </c>
      <c r="D558" s="435" t="str">
        <f>QUANT!D1629</f>
        <v>SINAPI</v>
      </c>
      <c r="E558" s="436" t="str">
        <f>IFERROR(VLOOKUP($C558,'SINAPI JULHO 2018'!$1:$1048576,2,0),IFERROR(VLOOKUP($C558,'5-COMP. PROPRIA'!$B$13:$I$518,4,0),""))</f>
        <v>APLICAÇÃO MANUAL DE PINTURA COM TINTA LÁTEX ACRÍLICA EM PAREDES, DUAS DEMÃOS. AF_06/2014</v>
      </c>
      <c r="F558" s="437" t="str">
        <f>IFERROR(VLOOKUP($C558,'SINAPI JULHO 2018'!$A:$D,3,0),IFERROR(VLOOKUP($C558,'5-COMP. PROPRIA'!$B$13:$I$518,5,0),""))</f>
        <v>M2</v>
      </c>
      <c r="G558" s="438">
        <f>QUANT!K1629</f>
        <v>41.92</v>
      </c>
      <c r="H558" s="439">
        <f>IFERROR(VLOOKUP($C558,'SINAPI JULHO 2018'!$A:$D,4,0),IFERROR(VLOOKUP($C558,'5-COMP. PROPRIA'!$B$13:$I$518,8,0),""))</f>
        <v>9.69</v>
      </c>
      <c r="I558" s="440">
        <f>H558*'4-BDI'!$E$29</f>
        <v>12.426456</v>
      </c>
      <c r="J558" s="63">
        <f t="shared" si="296"/>
        <v>406.2</v>
      </c>
      <c r="K558" s="190">
        <f t="shared" si="297"/>
        <v>520.91</v>
      </c>
    </row>
    <row r="559" spans="2:11" ht="15">
      <c r="B559" s="13" t="s">
        <v>13178</v>
      </c>
      <c r="C559" s="435" t="str">
        <f>QUANT!C1631</f>
        <v>CP-PIN-02</v>
      </c>
      <c r="D559" s="435" t="str">
        <f>QUANT!D1631</f>
        <v>PRÓRPIA</v>
      </c>
      <c r="E559" s="436" t="str">
        <f>IFERROR(VLOOKUP($C559,'SINAPI JULHO 2018'!$1:$1048576,2,0),IFERROR(VLOOKUP($C559,'5-COMP. PROPRIA'!$B$13:$I$518,4,0),""))</f>
        <v xml:space="preserve">PINTURA COM TINTA ESMALTE SINTÉTICO </v>
      </c>
      <c r="F559" s="437" t="str">
        <f>IFERROR(VLOOKUP($C559,'SINAPI JULHO 2018'!$A:$D,3,0),IFERROR(VLOOKUP($C559,'5-COMP. PROPRIA'!$B$13:$I$518,5,0),""))</f>
        <v>M2</v>
      </c>
      <c r="G559" s="438">
        <f>QUANT!K1631</f>
        <v>15.720000000000002</v>
      </c>
      <c r="H559" s="439">
        <f>IFERROR(VLOOKUP($C559,'SINAPI JULHO 2018'!$A:$D,4,0),IFERROR(VLOOKUP($C559,'5-COMP. PROPRIA'!$B$13:$I$518,8,0),""))</f>
        <v>10.93</v>
      </c>
      <c r="I559" s="440">
        <f>H559*'4-BDI'!$E$29</f>
        <v>14.016632</v>
      </c>
      <c r="J559" s="63">
        <f t="shared" si="296"/>
        <v>171.81</v>
      </c>
      <c r="K559" s="190">
        <f t="shared" si="297"/>
        <v>220.34</v>
      </c>
    </row>
    <row r="560" spans="2:11" ht="30">
      <c r="B560" s="13" t="s">
        <v>13179</v>
      </c>
      <c r="C560" s="435">
        <f>QUANT!C1633</f>
        <v>88483</v>
      </c>
      <c r="D560" s="435" t="str">
        <f>QUANT!D1633</f>
        <v>SINAPI</v>
      </c>
      <c r="E560" s="436" t="str">
        <f>IFERROR(VLOOKUP($C560,'SINAPI JULHO 2018'!$1:$1048576,2,0),IFERROR(VLOOKUP($C560,'5-COMP. PROPRIA'!$B$13:$I$518,4,0),""))</f>
        <v>APLICAÇÃO DE FUNDO SELADOR LÁTEX PVA EM PAREDES, UMA DEMÃO. AF_06/2014</v>
      </c>
      <c r="F560" s="437" t="str">
        <f>IFERROR(VLOOKUP($C560,'SINAPI JULHO 2018'!$A:$D,3,0),IFERROR(VLOOKUP($C560,'5-COMP. PROPRIA'!$B$13:$I$518,5,0),""))</f>
        <v>M2</v>
      </c>
      <c r="G560" s="438">
        <f>QUANT!K1633</f>
        <v>116.97</v>
      </c>
      <c r="H560" s="439">
        <f>IFERROR(VLOOKUP($C560,'SINAPI JULHO 2018'!$A:$D,4,0),IFERROR(VLOOKUP($C560,'5-COMP. PROPRIA'!$B$13:$I$518,8,0),""))</f>
        <v>1.98</v>
      </c>
      <c r="I560" s="440">
        <f>H560*'4-BDI'!$E$29</f>
        <v>2.5391520000000001</v>
      </c>
      <c r="J560" s="63">
        <f t="shared" si="296"/>
        <v>231.6</v>
      </c>
      <c r="K560" s="190">
        <f t="shared" si="297"/>
        <v>297</v>
      </c>
    </row>
    <row r="561" spans="2:11" ht="30">
      <c r="B561" s="13" t="s">
        <v>13180</v>
      </c>
      <c r="C561" s="435">
        <f>QUANT!C1635</f>
        <v>88487</v>
      </c>
      <c r="D561" s="435" t="str">
        <f>QUANT!D1635</f>
        <v>SINAPI</v>
      </c>
      <c r="E561" s="436" t="str">
        <f>IFERROR(VLOOKUP($C561,'SINAPI JULHO 2018'!$1:$1048576,2,0),IFERROR(VLOOKUP($C561,'5-COMP. PROPRIA'!$B$13:$I$518,4,0),""))</f>
        <v>APLICAÇÃO MANUAL DE PINTURA COM TINTA LÁTEX PVA EM PAREDES, DUAS DEMÃOS. AF_06/2014</v>
      </c>
      <c r="F561" s="437" t="str">
        <f>IFERROR(VLOOKUP($C561,'SINAPI JULHO 2018'!$A:$D,3,0),IFERROR(VLOOKUP($C561,'5-COMP. PROPRIA'!$B$13:$I$518,5,0),""))</f>
        <v>M2</v>
      </c>
      <c r="G561" s="438">
        <f>QUANT!K1635</f>
        <v>116.97</v>
      </c>
      <c r="H561" s="439">
        <f>IFERROR(VLOOKUP($C561,'SINAPI JULHO 2018'!$A:$D,4,0),IFERROR(VLOOKUP($C561,'5-COMP. PROPRIA'!$B$13:$I$518,8,0),""))</f>
        <v>7.66</v>
      </c>
      <c r="I561" s="440">
        <f>H561*'4-BDI'!$E$29</f>
        <v>9.8231839999999995</v>
      </c>
      <c r="J561" s="63">
        <f t="shared" ref="J561" si="298">TRUNC(G561*H561,2)</f>
        <v>895.99</v>
      </c>
      <c r="K561" s="190">
        <f t="shared" ref="K561" si="299">TRUNC(G561*I561,2)</f>
        <v>1149.01</v>
      </c>
    </row>
    <row r="562" spans="2:11" ht="15">
      <c r="B562" s="362" t="s">
        <v>13181</v>
      </c>
      <c r="C562" s="363"/>
      <c r="D562" s="363"/>
      <c r="E562" s="363" t="str">
        <f>QUANT!E1637</f>
        <v>COBERTURA DE CANTINA E BANHEIRO PUBLICO 01</v>
      </c>
      <c r="F562" s="364"/>
      <c r="G562" s="365"/>
      <c r="H562" s="366"/>
      <c r="I562" s="367"/>
      <c r="J562" s="368"/>
      <c r="K562" s="369"/>
    </row>
    <row r="563" spans="2:11" ht="60">
      <c r="B563" s="13" t="s">
        <v>13182</v>
      </c>
      <c r="C563" s="435">
        <f>QUANT!C1639</f>
        <v>72110</v>
      </c>
      <c r="D563" s="435" t="str">
        <f>QUANT!D1639</f>
        <v>SINAPI</v>
      </c>
      <c r="E563" s="436" t="str">
        <f>IFERROR(VLOOKUP($C563,'SINAPI JULHO 2018'!$1:$1048576,2,0),IFERROR(VLOOKUP($C563,'5-COMP. PROPRIA'!$B$13:$I$518,4,0),""))</f>
        <v>ESTRUTURA METALICA EM TESOURAS OU TRELICAS, VAO LIVRE DE 12M, FORNECIMENTO E MONTAGEM, NAO SENDO CONSIDERADOS OS FECHAMENTOS METALICOS, AS COLUNAS, OS SERVICOS GERAIS EM ALVENARIA E CONCRETO, AS TELHAS DE COBERTURA E A PINTURA DE ACABAMENTO</v>
      </c>
      <c r="F563" s="437" t="str">
        <f>IFERROR(VLOOKUP($C563,'SINAPI JULHO 2018'!$A:$D,3,0),IFERROR(VLOOKUP($C563,'5-COMP. PROPRIA'!$B$13:$I$518,5,0),""))</f>
        <v>M2</v>
      </c>
      <c r="G563" s="438">
        <f>QUANT!K1639</f>
        <v>83.5</v>
      </c>
      <c r="H563" s="439">
        <f>IFERROR(VLOOKUP($C563,'SINAPI JULHO 2018'!$A:$D,4,0),IFERROR(VLOOKUP($C563,'5-COMP. PROPRIA'!$B$13:$I$518,8,0),""))</f>
        <v>68.239999999999995</v>
      </c>
      <c r="I563" s="440">
        <f>H563*'4-BDI'!$E$29</f>
        <v>87.510975999999999</v>
      </c>
      <c r="J563" s="63">
        <f t="shared" ref="J563" si="300">TRUNC(G563*H563,2)</f>
        <v>5698.04</v>
      </c>
      <c r="K563" s="190">
        <f t="shared" ref="K563" si="301">TRUNC(G563*I563,2)</f>
        <v>7307.16</v>
      </c>
    </row>
    <row r="564" spans="2:11" ht="45">
      <c r="B564" s="13" t="s">
        <v>13183</v>
      </c>
      <c r="C564" s="435">
        <f>QUANT!C1641</f>
        <v>92569</v>
      </c>
      <c r="D564" s="435" t="str">
        <f>QUANT!D1641</f>
        <v>SINAPI</v>
      </c>
      <c r="E564" s="436" t="str">
        <f>IFERROR(VLOOKUP($C564,'SINAPI JULHO 2018'!$1:$1048576,2,0),IFERROR(VLOOKUP($C564,'5-COMP. PROPRIA'!$B$13:$I$518,4,0),""))</f>
        <v>TRAMA DE AÇO COMPOSTA POR RIPAS E CAIBROS PARA TELHADOS DE ATÉ 2 ÁGUAS PARA TELHA DE ENCAIXE DE CERÂMICA OU DE CONCRETO, INCLUSO TRANSPORTE VERTICAL. AF_12/2015</v>
      </c>
      <c r="F564" s="437" t="str">
        <f>IFERROR(VLOOKUP($C564,'SINAPI JULHO 2018'!$A:$D,3,0),IFERROR(VLOOKUP($C564,'5-COMP. PROPRIA'!$B$13:$I$518,5,0),""))</f>
        <v>M2</v>
      </c>
      <c r="G564" s="438">
        <f>QUANT!K1641</f>
        <v>83.5</v>
      </c>
      <c r="H564" s="439">
        <f>IFERROR(VLOOKUP($C564,'SINAPI JULHO 2018'!$A:$D,4,0),IFERROR(VLOOKUP($C564,'5-COMP. PROPRIA'!$B$13:$I$518,8,0),""))</f>
        <v>26.73</v>
      </c>
      <c r="I564" s="440">
        <f>H564*'4-BDI'!$E$29</f>
        <v>34.278551999999998</v>
      </c>
      <c r="J564" s="63">
        <f t="shared" ref="J564:J567" si="302">TRUNC(G564*H564,2)</f>
        <v>2231.9499999999998</v>
      </c>
      <c r="K564" s="190">
        <f t="shared" ref="K564:K567" si="303">TRUNC(G564*I564,2)</f>
        <v>2862.25</v>
      </c>
    </row>
    <row r="565" spans="2:11" ht="15">
      <c r="B565" s="13" t="s">
        <v>13184</v>
      </c>
      <c r="C565" s="435" t="str">
        <f>QUANT!C1643</f>
        <v>CP-LIX-02</v>
      </c>
      <c r="D565" s="435" t="str">
        <f>QUANT!D1643</f>
        <v>PRÓRPIA</v>
      </c>
      <c r="E565" s="436" t="str">
        <f>IFERROR(VLOOKUP($C565,'SINAPI JULHO 2018'!$1:$1048576,2,0),IFERROR(VLOOKUP($C565,'5-COMP. PROPRIA'!$B$13:$I$518,4,0),""))</f>
        <v xml:space="preserve">LIXAMENTO DE SUPERFICIE METÁLICA </v>
      </c>
      <c r="F565" s="437" t="str">
        <f>IFERROR(VLOOKUP($C565,'SINAPI JULHO 2018'!$A:$D,3,0),IFERROR(VLOOKUP($C565,'5-COMP. PROPRIA'!$B$13:$I$518,5,0),""))</f>
        <v>M2</v>
      </c>
      <c r="G565" s="438">
        <f>QUANT!K1643</f>
        <v>167</v>
      </c>
      <c r="H565" s="439">
        <f>IFERROR(VLOOKUP($C565,'SINAPI JULHO 2018'!$A:$D,4,0),IFERROR(VLOOKUP($C565,'5-COMP. PROPRIA'!$B$13:$I$518,8,0),""))</f>
        <v>4.66</v>
      </c>
      <c r="I565" s="440">
        <f>H565*'4-BDI'!$E$29</f>
        <v>5.9759840000000004</v>
      </c>
      <c r="J565" s="63">
        <f t="shared" si="302"/>
        <v>778.22</v>
      </c>
      <c r="K565" s="190">
        <f t="shared" si="303"/>
        <v>997.98</v>
      </c>
    </row>
    <row r="566" spans="2:11" ht="15">
      <c r="B566" s="13" t="s">
        <v>13185</v>
      </c>
      <c r="C566" s="435" t="str">
        <f>QUANT!C1645</f>
        <v>73924/1</v>
      </c>
      <c r="D566" s="435" t="str">
        <f>QUANT!D1645</f>
        <v>SINAPI</v>
      </c>
      <c r="E566" s="436" t="str">
        <f>IFERROR(VLOOKUP($C566,'SINAPI JULHO 2018'!$1:$1048576,2,0),IFERROR(VLOOKUP($C566,'5-COMP. PROPRIA'!$B$13:$I$518,4,0),""))</f>
        <v>PINTURA ESMALTE ALTO BRILHO, DUAS DEMAOS, SOBRE SUPERFICIE METALICA</v>
      </c>
      <c r="F566" s="437" t="str">
        <f>IFERROR(VLOOKUP($C566,'SINAPI JULHO 2018'!$A:$D,3,0),IFERROR(VLOOKUP($C566,'5-COMP. PROPRIA'!$B$13:$I$518,5,0),""))</f>
        <v>M2</v>
      </c>
      <c r="G566" s="438">
        <f>QUANT!K1645</f>
        <v>167</v>
      </c>
      <c r="H566" s="439">
        <f>IFERROR(VLOOKUP($C566,'SINAPI JULHO 2018'!$A:$D,4,0),IFERROR(VLOOKUP($C566,'5-COMP. PROPRIA'!$B$13:$I$518,8,0),""))</f>
        <v>21.24</v>
      </c>
      <c r="I566" s="440">
        <f>H566*'4-BDI'!$E$29</f>
        <v>27.238175999999999</v>
      </c>
      <c r="J566" s="63">
        <f t="shared" si="302"/>
        <v>3547.08</v>
      </c>
      <c r="K566" s="190">
        <f t="shared" si="303"/>
        <v>4548.7700000000004</v>
      </c>
    </row>
    <row r="567" spans="2:11" ht="45">
      <c r="B567" s="13" t="s">
        <v>13186</v>
      </c>
      <c r="C567" s="435">
        <f>QUANT!C1647</f>
        <v>94210</v>
      </c>
      <c r="D567" s="435" t="str">
        <f>QUANT!D1647</f>
        <v>SINAPI</v>
      </c>
      <c r="E567" s="436" t="str">
        <f>IFERROR(VLOOKUP($C567,'SINAPI JULHO 2018'!$1:$1048576,2,0),IFERROR(VLOOKUP($C567,'5-COMP. PROPRIA'!$B$13:$I$518,4,0),""))</f>
        <v>TELHAMENTO COM TELHA ONDULADA DE FIBROCIMENTO E = 6 MM, COM RECOBRIMENTO LATERAL DE 1 1/4 DE ONDA PARA TELHADO COM INCLINAÇÃO MÁXIMA DE 10°, COM ATÉ 2 ÁGUAS, INCLUSO IÇAMENTO. AF_06/2016</v>
      </c>
      <c r="F567" s="437" t="str">
        <f>IFERROR(VLOOKUP($C567,'SINAPI JULHO 2018'!$A:$D,3,0),IFERROR(VLOOKUP($C567,'5-COMP. PROPRIA'!$B$13:$I$518,5,0),""))</f>
        <v>M2</v>
      </c>
      <c r="G567" s="438">
        <f>QUANT!K1647</f>
        <v>83.5</v>
      </c>
      <c r="H567" s="439">
        <f>IFERROR(VLOOKUP($C567,'SINAPI JULHO 2018'!$A:$D,4,0),IFERROR(VLOOKUP($C567,'5-COMP. PROPRIA'!$B$13:$I$518,8,0),""))</f>
        <v>33.97</v>
      </c>
      <c r="I567" s="440">
        <f>H567*'4-BDI'!$E$29</f>
        <v>43.563127999999999</v>
      </c>
      <c r="J567" s="63">
        <f t="shared" si="302"/>
        <v>2836.49</v>
      </c>
      <c r="K567" s="190">
        <f t="shared" si="303"/>
        <v>3637.52</v>
      </c>
    </row>
    <row r="568" spans="2:11" ht="30">
      <c r="B568" s="13" t="s">
        <v>13187</v>
      </c>
      <c r="C568" s="435">
        <f>QUANT!C1649</f>
        <v>94231</v>
      </c>
      <c r="D568" s="435" t="str">
        <f>QUANT!D1649</f>
        <v>SINAPI</v>
      </c>
      <c r="E568" s="436" t="str">
        <f>IFERROR(VLOOKUP($C568,'SINAPI JULHO 2018'!$1:$1048576,2,0),IFERROR(VLOOKUP($C568,'5-COMP. PROPRIA'!$B$13:$I$518,4,0),""))</f>
        <v>RUFO EM CHAPA DE AÇO GALVANIZADO NÚMERO 24, CORTE DE 25 CM, INCLUSO TRANSPORTE VERTICAL. AF_06/2016</v>
      </c>
      <c r="F568" s="437" t="str">
        <f>IFERROR(VLOOKUP($C568,'SINAPI JULHO 2018'!$A:$D,3,0),IFERROR(VLOOKUP($C568,'5-COMP. PROPRIA'!$B$13:$I$518,5,0),""))</f>
        <v>M</v>
      </c>
      <c r="G568" s="438">
        <f>QUANT!K1649</f>
        <v>22.3</v>
      </c>
      <c r="H568" s="439">
        <f>IFERROR(VLOOKUP($C568,'SINAPI JULHO 2018'!$A:$D,4,0),IFERROR(VLOOKUP($C568,'5-COMP. PROPRIA'!$B$13:$I$518,8,0),""))</f>
        <v>24.35</v>
      </c>
      <c r="I568" s="440">
        <f>H568*'4-BDI'!$E$29</f>
        <v>31.22644</v>
      </c>
      <c r="J568" s="63">
        <f t="shared" ref="J568:J569" si="304">TRUNC(G568*H568,2)</f>
        <v>543</v>
      </c>
      <c r="K568" s="190">
        <f t="shared" ref="K568:K569" si="305">TRUNC(G568*I568,2)</f>
        <v>696.34</v>
      </c>
    </row>
    <row r="569" spans="2:11" ht="30">
      <c r="B569" s="13" t="s">
        <v>13188</v>
      </c>
      <c r="C569" s="435">
        <f>QUANT!C1651</f>
        <v>96116</v>
      </c>
      <c r="D569" s="435" t="str">
        <f>QUANT!D1651</f>
        <v>SINAPI</v>
      </c>
      <c r="E569" s="436" t="str">
        <f>IFERROR(VLOOKUP($C569,'SINAPI JULHO 2018'!$1:$1048576,2,0),IFERROR(VLOOKUP($C569,'5-COMP. PROPRIA'!$B$13:$I$518,4,0),""))</f>
        <v>FORRO EM RÉGUAS DE PVC, FRISADO, PARA AMBIENTES COMERCIAIS, INCLUSIVE ESTRUTURA DE FIXAÇÃO. AF_05/2017_P</v>
      </c>
      <c r="F569" s="437" t="str">
        <f>IFERROR(VLOOKUP($C569,'SINAPI JULHO 2018'!$A:$D,3,0),IFERROR(VLOOKUP($C569,'5-COMP. PROPRIA'!$B$13:$I$518,5,0),""))</f>
        <v>M2</v>
      </c>
      <c r="G569" s="438">
        <f>QUANT!K1651</f>
        <v>61</v>
      </c>
      <c r="H569" s="439">
        <f>IFERROR(VLOOKUP($C569,'SINAPI JULHO 2018'!$A:$D,4,0),IFERROR(VLOOKUP($C569,'5-COMP. PROPRIA'!$B$13:$I$518,8,0),""))</f>
        <v>42.15</v>
      </c>
      <c r="I569" s="440">
        <f>H569*'4-BDI'!$E$29</f>
        <v>54.053159999999998</v>
      </c>
      <c r="J569" s="63">
        <f t="shared" si="304"/>
        <v>2571.15</v>
      </c>
      <c r="K569" s="190">
        <f t="shared" si="305"/>
        <v>3297.24</v>
      </c>
    </row>
    <row r="570" spans="2:11" ht="15">
      <c r="B570" s="362" t="s">
        <v>13189</v>
      </c>
      <c r="C570" s="363"/>
      <c r="D570" s="363"/>
      <c r="E570" s="363" t="str">
        <f>QUANT!E1653</f>
        <v xml:space="preserve">PISO </v>
      </c>
      <c r="F570" s="364"/>
      <c r="G570" s="365"/>
      <c r="H570" s="366"/>
      <c r="I570" s="367"/>
      <c r="J570" s="368"/>
      <c r="K570" s="369"/>
    </row>
    <row r="571" spans="2:11" ht="15">
      <c r="B571" s="13" t="s">
        <v>13190</v>
      </c>
      <c r="C571" s="435" t="str">
        <f>QUANT!C1655</f>
        <v>CP-DEM-01</v>
      </c>
      <c r="D571" s="435" t="str">
        <f>QUANT!D1655</f>
        <v>PRÓRPIA</v>
      </c>
      <c r="E571" s="436" t="str">
        <f>IFERROR(VLOOKUP($C571,'SINAPI JULHO 2018'!$1:$1048576,2,0),IFERROR(VLOOKUP($C571,'5-COMP. PROPRIA'!$B$13:$I$518,4,0),""))</f>
        <v>DEMOLIÇÃO DE CONCRETO SIMPLES</v>
      </c>
      <c r="F571" s="437" t="str">
        <f>IFERROR(VLOOKUP($C571,'SINAPI JULHO 2018'!$A:$D,3,0),IFERROR(VLOOKUP($C571,'5-COMP. PROPRIA'!$B$13:$I$518,5,0),""))</f>
        <v>M3</v>
      </c>
      <c r="G571" s="438">
        <f>QUANT!K1655</f>
        <v>3.9</v>
      </c>
      <c r="H571" s="439">
        <f>IFERROR(VLOOKUP($C571,'SINAPI JULHO 2018'!$A:$D,4,0),IFERROR(VLOOKUP($C571,'5-COMP. PROPRIA'!$B$13:$I$518,8,0),""))</f>
        <v>165.98</v>
      </c>
      <c r="I571" s="440">
        <f>H571*'4-BDI'!$E$29</f>
        <v>212.85275199999998</v>
      </c>
      <c r="J571" s="63">
        <f t="shared" ref="J571" si="306">TRUNC(G571*H571,2)</f>
        <v>647.32000000000005</v>
      </c>
      <c r="K571" s="190">
        <f t="shared" ref="K571" si="307">TRUNC(G571*I571,2)</f>
        <v>830.12</v>
      </c>
    </row>
    <row r="572" spans="2:11" ht="15">
      <c r="B572" s="13" t="s">
        <v>13191</v>
      </c>
      <c r="C572" s="435">
        <f>QUANT!C1657</f>
        <v>72897</v>
      </c>
      <c r="D572" s="435" t="str">
        <f>QUANT!D1657</f>
        <v>SINAPI</v>
      </c>
      <c r="E572" s="436" t="str">
        <f>IFERROR(VLOOKUP($C572,'SINAPI JULHO 2018'!$1:$1048576,2,0),IFERROR(VLOOKUP($C572,'5-COMP. PROPRIA'!$B$13:$I$518,4,0),""))</f>
        <v>CARGA MANUAL DE ENTULHO EM CAMINHAO BASCULANTE 6 M3</v>
      </c>
      <c r="F572" s="437" t="str">
        <f>IFERROR(VLOOKUP($C572,'SINAPI JULHO 2018'!$A:$D,3,0),IFERROR(VLOOKUP($C572,'5-COMP. PROPRIA'!$B$13:$I$518,5,0),""))</f>
        <v>M3</v>
      </c>
      <c r="G572" s="438">
        <f>QUANT!K1657</f>
        <v>7.8</v>
      </c>
      <c r="H572" s="439">
        <f>IFERROR(VLOOKUP($C572,'SINAPI JULHO 2018'!$A:$D,4,0),IFERROR(VLOOKUP($C572,'5-COMP. PROPRIA'!$B$13:$I$518,8,0),""))</f>
        <v>17.34</v>
      </c>
      <c r="I572" s="440">
        <f>H572*'4-BDI'!$E$29</f>
        <v>22.236816000000001</v>
      </c>
      <c r="J572" s="63">
        <f t="shared" ref="J572:J578" si="308">TRUNC(G572*H572,2)</f>
        <v>135.25</v>
      </c>
      <c r="K572" s="190">
        <f t="shared" ref="K572:K578" si="309">TRUNC(G572*I572,2)</f>
        <v>173.44</v>
      </c>
    </row>
    <row r="573" spans="2:11" ht="30">
      <c r="B573" s="13" t="s">
        <v>13192</v>
      </c>
      <c r="C573" s="435">
        <f>QUANT!C1659</f>
        <v>97914</v>
      </c>
      <c r="D573" s="435" t="str">
        <f>QUANT!D1659</f>
        <v>SINAPI</v>
      </c>
      <c r="E573" s="436" t="str">
        <f>IFERROR(VLOOKUP($C573,'SINAPI JULHO 2018'!$1:$1048576,2,0),IFERROR(VLOOKUP($C573,'5-COMP. PROPRIA'!$B$13:$I$518,4,0),""))</f>
        <v>TRANSPORTE COM CAMINHÃO BASCULANTE DE 6 M3, EM VIA URBANA PAVIMENTADA, DMT ATÉ 30 KM (UNIDADE: M3XKM). AF_01/2018</v>
      </c>
      <c r="F573" s="437" t="str">
        <f>IFERROR(VLOOKUP($C573,'SINAPI JULHO 2018'!$A:$D,3,0),IFERROR(VLOOKUP($C573,'5-COMP. PROPRIA'!$B$13:$I$518,5,0),""))</f>
        <v>M3XKM</v>
      </c>
      <c r="G573" s="438">
        <f>QUANT!K1659</f>
        <v>58.5</v>
      </c>
      <c r="H573" s="439">
        <f>IFERROR(VLOOKUP($C573,'SINAPI JULHO 2018'!$A:$D,4,0),IFERROR(VLOOKUP($C573,'5-COMP. PROPRIA'!$B$13:$I$518,8,0),""))</f>
        <v>1.52</v>
      </c>
      <c r="I573" s="440">
        <f>H573*'4-BDI'!$E$29</f>
        <v>1.9492480000000001</v>
      </c>
      <c r="J573" s="63">
        <f t="shared" si="308"/>
        <v>88.92</v>
      </c>
      <c r="K573" s="190">
        <f t="shared" si="309"/>
        <v>114.03</v>
      </c>
    </row>
    <row r="574" spans="2:11" ht="30">
      <c r="B574" s="13" t="s">
        <v>13193</v>
      </c>
      <c r="C574" s="435">
        <f>QUANT!C1661</f>
        <v>95241</v>
      </c>
      <c r="D574" s="435" t="str">
        <f>QUANT!D1661</f>
        <v>SINAPI</v>
      </c>
      <c r="E574" s="436" t="str">
        <f>IFERROR(VLOOKUP($C574,'SINAPI JULHO 2018'!$1:$1048576,2,0),IFERROR(VLOOKUP($C574,'5-COMP. PROPRIA'!$B$13:$I$518,4,0),""))</f>
        <v>LASTRO DE CONCRETO MAGRO, APLICADO EM PISOS OU RADIERS, ESPESSURA DE 5 CM. AF_07/2016</v>
      </c>
      <c r="F574" s="437" t="str">
        <f>IFERROR(VLOOKUP($C574,'SINAPI JULHO 2018'!$A:$D,3,0),IFERROR(VLOOKUP($C574,'5-COMP. PROPRIA'!$B$13:$I$518,5,0),""))</f>
        <v>M2</v>
      </c>
      <c r="G574" s="438">
        <f>QUANT!K1661</f>
        <v>26</v>
      </c>
      <c r="H574" s="439">
        <f>IFERROR(VLOOKUP($C574,'SINAPI JULHO 2018'!$A:$D,4,0),IFERROR(VLOOKUP($C574,'5-COMP. PROPRIA'!$B$13:$I$518,8,0),""))</f>
        <v>20.02</v>
      </c>
      <c r="I574" s="440">
        <f>H574*'4-BDI'!$E$29</f>
        <v>25.673648</v>
      </c>
      <c r="J574" s="63">
        <f t="shared" si="308"/>
        <v>520.52</v>
      </c>
      <c r="K574" s="190">
        <f t="shared" si="309"/>
        <v>667.51</v>
      </c>
    </row>
    <row r="575" spans="2:11" ht="45">
      <c r="B575" s="13" t="s">
        <v>13194</v>
      </c>
      <c r="C575" s="435">
        <f>QUANT!C1663</f>
        <v>87620</v>
      </c>
      <c r="D575" s="435" t="str">
        <f>QUANT!D1663</f>
        <v>SINAPI</v>
      </c>
      <c r="E575" s="436" t="str">
        <f>IFERROR(VLOOKUP($C575,'SINAPI JULHO 2018'!$1:$1048576,2,0),IFERROR(VLOOKUP($C575,'5-COMP. PROPRIA'!$B$13:$I$518,4,0),""))</f>
        <v>CONTRAPISO EM ARGAMASSA TRAÇO 1:4 (CIMENTO E AREIA), PREPARO MECÂNICO COM BETONEIRA 400 L, APLICADO EM ÁREAS SECAS SOBRE LAJE, ADERIDO, ESPESSURA 2CM. AF_06/2014</v>
      </c>
      <c r="F575" s="437" t="str">
        <f>IFERROR(VLOOKUP($C575,'SINAPI JULHO 2018'!$A:$D,3,0),IFERROR(VLOOKUP($C575,'5-COMP. PROPRIA'!$B$13:$I$518,5,0),""))</f>
        <v>M2</v>
      </c>
      <c r="G575" s="438">
        <f>QUANT!K1663</f>
        <v>26</v>
      </c>
      <c r="H575" s="439">
        <f>IFERROR(VLOOKUP($C575,'SINAPI JULHO 2018'!$A:$D,4,0),IFERROR(VLOOKUP($C575,'5-COMP. PROPRIA'!$B$13:$I$518,8,0),""))</f>
        <v>24.83</v>
      </c>
      <c r="I575" s="440">
        <f>H575*'4-BDI'!$E$29</f>
        <v>31.841991999999998</v>
      </c>
      <c r="J575" s="63">
        <f t="shared" si="308"/>
        <v>645.58000000000004</v>
      </c>
      <c r="K575" s="190">
        <f t="shared" si="309"/>
        <v>827.89</v>
      </c>
    </row>
    <row r="576" spans="2:11" ht="30">
      <c r="B576" s="13" t="s">
        <v>13195</v>
      </c>
      <c r="C576" s="435">
        <f>QUANT!C1665</f>
        <v>84191</v>
      </c>
      <c r="D576" s="435" t="str">
        <f>QUANT!D1665</f>
        <v>SINAPI</v>
      </c>
      <c r="E576" s="436" t="str">
        <f>IFERROR(VLOOKUP($C576,'SINAPI JULHO 2018'!$1:$1048576,2,0),IFERROR(VLOOKUP($C576,'5-COMP. PROPRIA'!$B$13:$I$518,4,0),""))</f>
        <v>PISO EM GRANILITE, MARMORITE OU GRANITINA ESPESSURA 8 MM, INCLUSO JUNTAS DE DILATACAO PLASTICAS</v>
      </c>
      <c r="F576" s="437" t="str">
        <f>IFERROR(VLOOKUP($C576,'SINAPI JULHO 2018'!$A:$D,3,0),IFERROR(VLOOKUP($C576,'5-COMP. PROPRIA'!$B$13:$I$518,5,0),""))</f>
        <v>M2</v>
      </c>
      <c r="G576" s="438">
        <f>QUANT!K1665</f>
        <v>26</v>
      </c>
      <c r="H576" s="439">
        <f>IFERROR(VLOOKUP($C576,'SINAPI JULHO 2018'!$A:$D,4,0),IFERROR(VLOOKUP($C576,'5-COMP. PROPRIA'!$B$13:$I$518,8,0),""))</f>
        <v>95.34</v>
      </c>
      <c r="I576" s="440">
        <f>H576*'4-BDI'!$E$29</f>
        <v>122.264016</v>
      </c>
      <c r="J576" s="63">
        <f t="shared" si="308"/>
        <v>2478.84</v>
      </c>
      <c r="K576" s="190">
        <f t="shared" si="309"/>
        <v>3178.86</v>
      </c>
    </row>
    <row r="577" spans="2:11" ht="30">
      <c r="B577" s="13" t="s">
        <v>13196</v>
      </c>
      <c r="C577" s="435" t="str">
        <f>QUANT!C1667</f>
        <v>73872/1</v>
      </c>
      <c r="D577" s="435" t="str">
        <f>QUANT!D1667</f>
        <v>SINAPI</v>
      </c>
      <c r="E577" s="436" t="str">
        <f>IFERROR(VLOOKUP($C577,'SINAPI JULHO 2018'!$1:$1048576,2,0),IFERROR(VLOOKUP($C577,'5-COMP. PROPRIA'!$B$13:$I$518,4,0),""))</f>
        <v>IMPERMEABILIZACAO COM PINTURA A BASE DE RESINA EPOXI ALCATRAO, UMA DEMAO.</v>
      </c>
      <c r="F577" s="437" t="str">
        <f>IFERROR(VLOOKUP($C577,'SINAPI JULHO 2018'!$A:$D,3,0),IFERROR(VLOOKUP($C577,'5-COMP. PROPRIA'!$B$13:$I$518,5,0),""))</f>
        <v>M2</v>
      </c>
      <c r="G577" s="438">
        <f>QUANT!K1667</f>
        <v>26</v>
      </c>
      <c r="H577" s="439">
        <f>IFERROR(VLOOKUP($C577,'SINAPI JULHO 2018'!$A:$D,4,0),IFERROR(VLOOKUP($C577,'5-COMP. PROPRIA'!$B$13:$I$518,8,0),""))</f>
        <v>26</v>
      </c>
      <c r="I577" s="440">
        <f>H577*'4-BDI'!$E$29</f>
        <v>33.342399999999998</v>
      </c>
      <c r="J577" s="63">
        <f t="shared" si="308"/>
        <v>676</v>
      </c>
      <c r="K577" s="190">
        <f t="shared" si="309"/>
        <v>866.9</v>
      </c>
    </row>
    <row r="578" spans="2:11" ht="15">
      <c r="B578" s="13" t="s">
        <v>13197</v>
      </c>
      <c r="C578" s="435" t="str">
        <f>QUANT!C1669</f>
        <v>73850/1</v>
      </c>
      <c r="D578" s="435" t="str">
        <f>QUANT!D1669</f>
        <v>SINAPI</v>
      </c>
      <c r="E578" s="436" t="str">
        <f>IFERROR(VLOOKUP($C578,'SINAPI JULHO 2018'!$1:$1048576,2,0),IFERROR(VLOOKUP($C578,'5-COMP. PROPRIA'!$B$13:$I$518,4,0),""))</f>
        <v>RODAPE EM MARMORITE, ALTURA 10CM</v>
      </c>
      <c r="F578" s="437" t="str">
        <f>IFERROR(VLOOKUP($C578,'SINAPI JULHO 2018'!$A:$D,3,0),IFERROR(VLOOKUP($C578,'5-COMP. PROPRIA'!$B$13:$I$518,5,0),""))</f>
        <v>M</v>
      </c>
      <c r="G578" s="438">
        <f>QUANT!K1669</f>
        <v>29.4</v>
      </c>
      <c r="H578" s="439">
        <f>IFERROR(VLOOKUP($C578,'SINAPI JULHO 2018'!$A:$D,4,0),IFERROR(VLOOKUP($C578,'5-COMP. PROPRIA'!$B$13:$I$518,8,0),""))</f>
        <v>22.15</v>
      </c>
      <c r="I578" s="440">
        <f>H578*'4-BDI'!$E$29</f>
        <v>28.405159999999999</v>
      </c>
      <c r="J578" s="63">
        <f t="shared" si="308"/>
        <v>651.21</v>
      </c>
      <c r="K578" s="190">
        <f t="shared" si="309"/>
        <v>835.11</v>
      </c>
    </row>
    <row r="579" spans="2:11" ht="15">
      <c r="B579" s="362" t="s">
        <v>13198</v>
      </c>
      <c r="C579" s="363"/>
      <c r="D579" s="363"/>
      <c r="E579" s="363" t="str">
        <f>QUANT!E1671</f>
        <v>ESQUADRIAS</v>
      </c>
      <c r="F579" s="364"/>
      <c r="G579" s="365"/>
      <c r="H579" s="366"/>
      <c r="I579" s="367"/>
      <c r="J579" s="368"/>
      <c r="K579" s="369"/>
    </row>
    <row r="580" spans="2:11" ht="30">
      <c r="B580" s="13" t="s">
        <v>13199</v>
      </c>
      <c r="C580" s="435">
        <f>QUANT!C1673</f>
        <v>91341</v>
      </c>
      <c r="D580" s="435" t="str">
        <f>QUANT!D1673</f>
        <v>SINAPI</v>
      </c>
      <c r="E580" s="436" t="str">
        <f>IFERROR(VLOOKUP($C580,'SINAPI JULHO 2018'!$1:$1048576,2,0),IFERROR(VLOOKUP($C580,'5-COMP. PROPRIA'!$B$13:$I$518,4,0),""))</f>
        <v>PORTA EM ALUMÍNIO DE ABRIR TIPO VENEZIANA COM GUARNIÇÃO, FIXAÇÃO COM PARAFUSOS - FORNECIMENTO E INSTALAÇÃO. AF_08/2015</v>
      </c>
      <c r="F580" s="437" t="str">
        <f>IFERROR(VLOOKUP($C580,'SINAPI JULHO 2018'!$A:$D,3,0),IFERROR(VLOOKUP($C580,'5-COMP. PROPRIA'!$B$13:$I$518,5,0),""))</f>
        <v>M2</v>
      </c>
      <c r="G580" s="438">
        <f>QUANT!K1673</f>
        <v>1.8900000000000001</v>
      </c>
      <c r="H580" s="439">
        <f>IFERROR(VLOOKUP($C580,'SINAPI JULHO 2018'!$A:$D,4,0),IFERROR(VLOOKUP($C580,'5-COMP. PROPRIA'!$B$13:$I$518,8,0),""))</f>
        <v>654.62</v>
      </c>
      <c r="I580" s="440">
        <f>H580*'4-BDI'!$E$29</f>
        <v>839.48468800000001</v>
      </c>
      <c r="J580" s="63">
        <f t="shared" ref="J580" si="310">TRUNC(G580*H580,2)</f>
        <v>1237.23</v>
      </c>
      <c r="K580" s="190">
        <f t="shared" ref="K580" si="311">TRUNC(G580*I580,2)</f>
        <v>1586.62</v>
      </c>
    </row>
    <row r="581" spans="2:11" ht="45">
      <c r="B581" s="13" t="s">
        <v>13200</v>
      </c>
      <c r="C581" s="435">
        <f>QUANT!C1675</f>
        <v>94576</v>
      </c>
      <c r="D581" s="435" t="str">
        <f>QUANT!D1675</f>
        <v>SINAPI</v>
      </c>
      <c r="E581" s="436" t="str">
        <f>IFERROR(VLOOKUP($C581,'SINAPI JULHO 2018'!$1:$1048576,2,0),IFERROR(VLOOKUP($C581,'5-COMP. PROPRIA'!$B$13:$I$518,4,0),""))</f>
        <v>JANELA DE ALUMÍNIO DE CORRER, 2 FOLHAS, FIXAÇÃO COM PARAFUSO, VEDAÇÃO COM ESPUMA EXPANSIVA PU, COM VIDROS, PADRONIZADA. AF_07/2016</v>
      </c>
      <c r="F581" s="437" t="str">
        <f>IFERROR(VLOOKUP($C581,'SINAPI JULHO 2018'!$A:$D,3,0),IFERROR(VLOOKUP($C581,'5-COMP. PROPRIA'!$B$13:$I$518,5,0),""))</f>
        <v>M2</v>
      </c>
      <c r="G581" s="438">
        <f>QUANT!K1675</f>
        <v>3.9599999999999995</v>
      </c>
      <c r="H581" s="439">
        <f>IFERROR(VLOOKUP($C581,'SINAPI JULHO 2018'!$A:$D,4,0),IFERROR(VLOOKUP($C581,'5-COMP. PROPRIA'!$B$13:$I$518,8,0),""))</f>
        <v>426.12</v>
      </c>
      <c r="I581" s="440">
        <f>H581*'4-BDI'!$E$29</f>
        <v>546.45628799999997</v>
      </c>
      <c r="J581" s="63">
        <f t="shared" ref="J581:J584" si="312">TRUNC(G581*H581,2)</f>
        <v>1687.43</v>
      </c>
      <c r="K581" s="190">
        <f t="shared" ref="K581:K584" si="313">TRUNC(G581*I581,2)</f>
        <v>2163.96</v>
      </c>
    </row>
    <row r="582" spans="2:11" ht="15">
      <c r="B582" s="13" t="s">
        <v>13201</v>
      </c>
      <c r="C582" s="435" t="str">
        <f>QUANT!C1677</f>
        <v>CP-LIX-02</v>
      </c>
      <c r="D582" s="435" t="str">
        <f>QUANT!D1677</f>
        <v>PRÓRPIA</v>
      </c>
      <c r="E582" s="436" t="str">
        <f>IFERROR(VLOOKUP($C582,'SINAPI JULHO 2018'!$1:$1048576,2,0),IFERROR(VLOOKUP($C582,'5-COMP. PROPRIA'!$B$13:$I$518,4,0),""))</f>
        <v xml:space="preserve">LIXAMENTO DE SUPERFICIE METÁLICA </v>
      </c>
      <c r="F582" s="437" t="str">
        <f>IFERROR(VLOOKUP($C582,'SINAPI JULHO 2018'!$A:$D,3,0),IFERROR(VLOOKUP($C582,'5-COMP. PROPRIA'!$B$13:$I$518,5,0),""))</f>
        <v>M2</v>
      </c>
      <c r="G582" s="438">
        <f>QUANT!K1677</f>
        <v>23.287499999999998</v>
      </c>
      <c r="H582" s="439">
        <f>IFERROR(VLOOKUP($C582,'SINAPI JULHO 2018'!$A:$D,4,0),IFERROR(VLOOKUP($C582,'5-COMP. PROPRIA'!$B$13:$I$518,8,0),""))</f>
        <v>4.66</v>
      </c>
      <c r="I582" s="440">
        <f>H582*'4-BDI'!$E$29</f>
        <v>5.9759840000000004</v>
      </c>
      <c r="J582" s="63">
        <f t="shared" si="312"/>
        <v>108.51</v>
      </c>
      <c r="K582" s="190">
        <f t="shared" si="313"/>
        <v>139.16</v>
      </c>
    </row>
    <row r="583" spans="2:11" ht="15">
      <c r="B583" s="13" t="s">
        <v>13202</v>
      </c>
      <c r="C583" s="435" t="str">
        <f>QUANT!C1679</f>
        <v>73924/1</v>
      </c>
      <c r="D583" s="435" t="str">
        <f>QUANT!D1679</f>
        <v>SINAPI</v>
      </c>
      <c r="E583" s="436" t="str">
        <f>IFERROR(VLOOKUP($C583,'SINAPI JULHO 2018'!$1:$1048576,2,0),IFERROR(VLOOKUP($C583,'5-COMP. PROPRIA'!$B$13:$I$518,4,0),""))</f>
        <v>PINTURA ESMALTE ALTO BRILHO, DUAS DEMAOS, SOBRE SUPERFICIE METALICA</v>
      </c>
      <c r="F583" s="437" t="str">
        <f>IFERROR(VLOOKUP($C583,'SINAPI JULHO 2018'!$A:$D,3,0),IFERROR(VLOOKUP($C583,'5-COMP. PROPRIA'!$B$13:$I$518,5,0),""))</f>
        <v>M2</v>
      </c>
      <c r="G583" s="438">
        <f>QUANT!K1679</f>
        <v>23.287499999999998</v>
      </c>
      <c r="H583" s="439">
        <f>IFERROR(VLOOKUP($C583,'SINAPI JULHO 2018'!$A:$D,4,0),IFERROR(VLOOKUP($C583,'5-COMP. PROPRIA'!$B$13:$I$518,8,0),""))</f>
        <v>21.24</v>
      </c>
      <c r="I583" s="440">
        <f>H583*'4-BDI'!$E$29</f>
        <v>27.238175999999999</v>
      </c>
      <c r="J583" s="63">
        <f t="shared" si="312"/>
        <v>494.62</v>
      </c>
      <c r="K583" s="190">
        <f t="shared" si="313"/>
        <v>634.29999999999995</v>
      </c>
    </row>
    <row r="584" spans="2:11" ht="15">
      <c r="B584" s="13" t="s">
        <v>13203</v>
      </c>
      <c r="C584" s="435">
        <f>QUANT!C1681</f>
        <v>68054</v>
      </c>
      <c r="D584" s="435" t="str">
        <f>QUANT!D1681</f>
        <v>SINAPI</v>
      </c>
      <c r="E584" s="436" t="str">
        <f>IFERROR(VLOOKUP($C584,'SINAPI JULHO 2018'!$1:$1048576,2,0),IFERROR(VLOOKUP($C584,'5-COMP. PROPRIA'!$B$13:$I$518,4,0),""))</f>
        <v>PORTAO DE FERRO EM CHAPA GALVANIZADA PLANA 14 GSG</v>
      </c>
      <c r="F584" s="437" t="str">
        <f>IFERROR(VLOOKUP($C584,'SINAPI JULHO 2018'!$A:$D,3,0),IFERROR(VLOOKUP($C584,'5-COMP. PROPRIA'!$B$13:$I$518,5,0),""))</f>
        <v>M2</v>
      </c>
      <c r="G584" s="438">
        <f>QUANT!K1681</f>
        <v>3.4649999999999999</v>
      </c>
      <c r="H584" s="439">
        <f>IFERROR(VLOOKUP($C584,'SINAPI JULHO 2018'!$A:$D,4,0),IFERROR(VLOOKUP($C584,'5-COMP. PROPRIA'!$B$13:$I$518,8,0),""))</f>
        <v>214.29</v>
      </c>
      <c r="I584" s="440">
        <f>H584*'4-BDI'!$E$29</f>
        <v>274.80549600000001</v>
      </c>
      <c r="J584" s="63">
        <f t="shared" si="312"/>
        <v>742.51</v>
      </c>
      <c r="K584" s="190">
        <f t="shared" si="313"/>
        <v>952.2</v>
      </c>
    </row>
    <row r="585" spans="2:11" ht="15">
      <c r="B585" s="362" t="s">
        <v>13204</v>
      </c>
      <c r="C585" s="363"/>
      <c r="D585" s="363"/>
      <c r="E585" s="363" t="str">
        <f>QUANT!E1683</f>
        <v>LOUÇAS</v>
      </c>
      <c r="F585" s="364"/>
      <c r="G585" s="365"/>
      <c r="H585" s="366"/>
      <c r="I585" s="367"/>
      <c r="J585" s="368"/>
      <c r="K585" s="369"/>
    </row>
    <row r="586" spans="2:11" ht="60">
      <c r="B586" s="13" t="s">
        <v>13205</v>
      </c>
      <c r="C586" s="435">
        <f>QUANT!C1685</f>
        <v>86933</v>
      </c>
      <c r="D586" s="435" t="str">
        <f>QUANT!D1685</f>
        <v>SINAPI</v>
      </c>
      <c r="E586" s="436" t="str">
        <f>IFERROR(VLOOKUP($C586,'SINAPI JULHO 2018'!$1:$1048576,2,0),IFERROR(VLOOKUP($C586,'5-COMP. PROPRIA'!$B$13:$I$518,4,0),""))</f>
        <v>BANCADA DE MÁRMORE SINTÉTICO 120 X 60CM, COM CUBA INTEGRADA, INCLUSO SIFÃO TIPO GARRAFA EM PVC, VÁLVULA EM PLÁSTICO CROMADO TIPO AMERICANA E TORNEIRA CROMADA LONGA, DE PAREDE, PADRÃO POPULAR - FORNECIMENTO E INSTALAÇÃO. AF_12/2013</v>
      </c>
      <c r="F586" s="437" t="str">
        <f>IFERROR(VLOOKUP($C586,'SINAPI JULHO 2018'!$A:$D,3,0),IFERROR(VLOOKUP($C586,'5-COMP. PROPRIA'!$B$13:$I$518,5,0),""))</f>
        <v>UN</v>
      </c>
      <c r="G586" s="438">
        <f>QUANT!K1685</f>
        <v>1</v>
      </c>
      <c r="H586" s="439">
        <f>IFERROR(VLOOKUP($C586,'SINAPI JULHO 2018'!$A:$D,4,0),IFERROR(VLOOKUP($C586,'5-COMP. PROPRIA'!$B$13:$I$518,8,0),""))</f>
        <v>305.52</v>
      </c>
      <c r="I586" s="440">
        <f>H586*'4-BDI'!$E$29</f>
        <v>391.79884799999996</v>
      </c>
      <c r="J586" s="63">
        <f t="shared" ref="J586" si="314">TRUNC(G586*H586,2)</f>
        <v>305.52</v>
      </c>
      <c r="K586" s="190">
        <f t="shared" ref="K586" si="315">TRUNC(G586*I586,2)</f>
        <v>391.79</v>
      </c>
    </row>
    <row r="587" spans="2:11" ht="30">
      <c r="B587" s="13" t="s">
        <v>13206</v>
      </c>
      <c r="C587" s="435">
        <f>QUANT!C1687</f>
        <v>86910</v>
      </c>
      <c r="D587" s="435" t="str">
        <f>QUANT!D1687</f>
        <v>SINAPI</v>
      </c>
      <c r="E587" s="436" t="str">
        <f>IFERROR(VLOOKUP($C587,'SINAPI JULHO 2018'!$1:$1048576,2,0),IFERROR(VLOOKUP($C587,'5-COMP. PROPRIA'!$B$13:$I$518,4,0),""))</f>
        <v>TORNEIRA CROMADA TUBO MÓVEL, DE PAREDE, 1/2" OU 3/4", PARA PIA DE COZINHA, PADRÃO MÉDIO - FORNECIMENTO E INSTALAÇÃO. AF_12/2013</v>
      </c>
      <c r="F587" s="437" t="str">
        <f>IFERROR(VLOOKUP($C587,'SINAPI JULHO 2018'!$A:$D,3,0),IFERROR(VLOOKUP($C587,'5-COMP. PROPRIA'!$B$13:$I$518,5,0),""))</f>
        <v>UN</v>
      </c>
      <c r="G587" s="438">
        <f>QUANT!K1687</f>
        <v>1</v>
      </c>
      <c r="H587" s="439">
        <f>IFERROR(VLOOKUP($C587,'SINAPI JULHO 2018'!$A:$D,4,0),IFERROR(VLOOKUP($C587,'5-COMP. PROPRIA'!$B$13:$I$518,8,0),""))</f>
        <v>94.14</v>
      </c>
      <c r="I587" s="440">
        <f>H587*'4-BDI'!$E$29</f>
        <v>120.72513600000001</v>
      </c>
      <c r="J587" s="63">
        <f t="shared" ref="J587" si="316">TRUNC(G587*H587,2)</f>
        <v>94.14</v>
      </c>
      <c r="K587" s="190">
        <f t="shared" ref="K587" si="317">TRUNC(G587*I587,2)</f>
        <v>120.72</v>
      </c>
    </row>
    <row r="588" spans="2:11" ht="15">
      <c r="B588" s="521" t="s">
        <v>12756</v>
      </c>
      <c r="C588" s="522"/>
      <c r="D588" s="522"/>
      <c r="E588" s="522"/>
      <c r="F588" s="522"/>
      <c r="G588" s="522"/>
      <c r="H588" s="522"/>
      <c r="I588" s="218"/>
      <c r="J588" s="64">
        <f>TRUNC(SUM(J554:J587),2)</f>
        <v>33973.120000000003</v>
      </c>
      <c r="K588" s="434">
        <f>TRUNC(SUM(K554:K587),2)</f>
        <v>43567.08</v>
      </c>
    </row>
    <row r="589" spans="2:11" ht="15">
      <c r="B589" s="305" t="s">
        <v>13207</v>
      </c>
      <c r="C589" s="306"/>
      <c r="D589" s="307"/>
      <c r="E589" s="308" t="str">
        <f>QUANT!E1689</f>
        <v>BANHEIRO PUBLICO 02</v>
      </c>
      <c r="F589" s="309"/>
      <c r="G589" s="310"/>
      <c r="H589" s="311"/>
      <c r="I589" s="311"/>
      <c r="J589" s="312"/>
      <c r="K589" s="313"/>
    </row>
    <row r="590" spans="2:11" ht="15">
      <c r="B590" s="362" t="s">
        <v>13208</v>
      </c>
      <c r="C590" s="363"/>
      <c r="D590" s="363"/>
      <c r="E590" s="363" t="str">
        <f>QUANT!E1691</f>
        <v xml:space="preserve">FUNDAÇÃO </v>
      </c>
      <c r="F590" s="364"/>
      <c r="G590" s="365"/>
      <c r="H590" s="366"/>
      <c r="I590" s="367"/>
      <c r="J590" s="368"/>
      <c r="K590" s="369"/>
    </row>
    <row r="591" spans="2:11" ht="15">
      <c r="B591" s="314" t="s">
        <v>13209</v>
      </c>
      <c r="C591" s="96"/>
      <c r="D591" s="96"/>
      <c r="E591" s="96" t="str">
        <f>QUANT!E1693</f>
        <v xml:space="preserve">SAPATAS </v>
      </c>
      <c r="F591" s="178"/>
      <c r="G591" s="146"/>
      <c r="H591" s="145"/>
      <c r="I591" s="219"/>
      <c r="J591" s="65"/>
      <c r="K591" s="191"/>
    </row>
    <row r="592" spans="2:11" ht="30">
      <c r="B592" s="13" t="s">
        <v>13210</v>
      </c>
      <c r="C592" s="435">
        <f>QUANT!C1695</f>
        <v>96523</v>
      </c>
      <c r="D592" s="435" t="str">
        <f>QUANT!D1695</f>
        <v>SINAPI</v>
      </c>
      <c r="E592" s="436" t="str">
        <f>IFERROR(VLOOKUP($C592,'SINAPI JULHO 2018'!$1:$1048576,2,0),IFERROR(VLOOKUP($C592,'5-COMP. PROPRIA'!$B$13:$I$518,4,0),""))</f>
        <v>ESCAVAÇÃO MANUAL PARA BLOCO DE COROAMENTO OU SAPATA, COM PREVISÃO DE FÔRMA. AF_06/2017</v>
      </c>
      <c r="F592" s="437" t="str">
        <f>IFERROR(VLOOKUP($C592,'SINAPI JULHO 2018'!$A:$D,3,0),IFERROR(VLOOKUP($C592,'5-COMP. PROPRIA'!$B$13:$I$518,5,0),""))</f>
        <v>M3</v>
      </c>
      <c r="G592" s="438">
        <f>QUANT!K1695</f>
        <v>3.5437500000000002</v>
      </c>
      <c r="H592" s="439">
        <f>IFERROR(VLOOKUP($C592,'SINAPI JULHO 2018'!$A:$D,4,0),IFERROR(VLOOKUP($C592,'5-COMP. PROPRIA'!$B$13:$I$518,8,0),""))</f>
        <v>64.599999999999994</v>
      </c>
      <c r="I592" s="440">
        <f>H592*'4-BDI'!$E$29</f>
        <v>82.843039999999988</v>
      </c>
      <c r="J592" s="63">
        <f t="shared" ref="J592" si="318">TRUNC(G592*H592,2)</f>
        <v>228.92</v>
      </c>
      <c r="K592" s="190">
        <f t="shared" ref="K592" si="319">TRUNC(G592*I592,2)</f>
        <v>293.57</v>
      </c>
    </row>
    <row r="593" spans="2:11" ht="30">
      <c r="B593" s="13" t="s">
        <v>13211</v>
      </c>
      <c r="C593" s="435">
        <f>QUANT!C1699</f>
        <v>96617</v>
      </c>
      <c r="D593" s="435" t="str">
        <f>QUANT!D1699</f>
        <v>SINAPI</v>
      </c>
      <c r="E593" s="436" t="str">
        <f>IFERROR(VLOOKUP($C593,'SINAPI JULHO 2018'!$1:$1048576,2,0),IFERROR(VLOOKUP($C593,'5-COMP. PROPRIA'!$B$13:$I$518,4,0),""))</f>
        <v>LASTRO DE CONCRETO MAGRO, APLICADO EM BLOCOS DE COROAMENTO OU SAPATAS, ESPESSURA DE 3 CM. AF_08/2017</v>
      </c>
      <c r="F593" s="437" t="str">
        <f>IFERROR(VLOOKUP($C593,'SINAPI JULHO 2018'!$A:$D,3,0),IFERROR(VLOOKUP($C593,'5-COMP. PROPRIA'!$B$13:$I$518,5,0),""))</f>
        <v>M2</v>
      </c>
      <c r="G593" s="438">
        <f>QUANT!K1699</f>
        <v>2.1599999999999997</v>
      </c>
      <c r="H593" s="439">
        <f>IFERROR(VLOOKUP($C593,'SINAPI JULHO 2018'!$A:$D,4,0),IFERROR(VLOOKUP($C593,'5-COMP. PROPRIA'!$B$13:$I$518,8,0),""))</f>
        <v>12.49</v>
      </c>
      <c r="I593" s="440">
        <f>H593*'4-BDI'!$E$29</f>
        <v>16.017175999999999</v>
      </c>
      <c r="J593" s="63">
        <f t="shared" ref="J593:J600" si="320">TRUNC(G593*H593,2)</f>
        <v>26.97</v>
      </c>
      <c r="K593" s="190">
        <f t="shared" ref="K593:K600" si="321">TRUNC(G593*I593,2)</f>
        <v>34.590000000000003</v>
      </c>
    </row>
    <row r="594" spans="2:11" ht="30">
      <c r="B594" s="13" t="s">
        <v>13212</v>
      </c>
      <c r="C594" s="435">
        <f>QUANT!C1703</f>
        <v>94965</v>
      </c>
      <c r="D594" s="435" t="str">
        <f>QUANT!D1703</f>
        <v>SINAPI</v>
      </c>
      <c r="E594" s="436" t="str">
        <f>IFERROR(VLOOKUP($C594,'SINAPI JULHO 2018'!$1:$1048576,2,0),IFERROR(VLOOKUP($C594,'5-COMP. PROPRIA'!$B$13:$I$518,4,0),""))</f>
        <v>CONCRETO FCK = 25MPA, TRAÇO 1:2,3:2,7 (CIMENTO/ AREIA MÉDIA/ BRITA 1)  - PREPARO MECÂNICO COM BETONEIRA 400 L. AF_07/2016</v>
      </c>
      <c r="F594" s="437" t="str">
        <f>IFERROR(VLOOKUP($C594,'SINAPI JULHO 2018'!$A:$D,3,0),IFERROR(VLOOKUP($C594,'5-COMP. PROPRIA'!$B$13:$I$518,5,0),""))</f>
        <v>M3</v>
      </c>
      <c r="G594" s="438">
        <f>QUANT!K1703</f>
        <v>0.21599999999999997</v>
      </c>
      <c r="H594" s="439">
        <f>IFERROR(VLOOKUP($C594,'SINAPI JULHO 2018'!$A:$D,4,0),IFERROR(VLOOKUP($C594,'5-COMP. PROPRIA'!$B$13:$I$518,8,0),""))</f>
        <v>323.45</v>
      </c>
      <c r="I594" s="440">
        <f>H594*'4-BDI'!$E$29</f>
        <v>414.79228000000001</v>
      </c>
      <c r="J594" s="63">
        <f t="shared" si="320"/>
        <v>69.86</v>
      </c>
      <c r="K594" s="190">
        <f t="shared" si="321"/>
        <v>89.59</v>
      </c>
    </row>
    <row r="595" spans="2:11" ht="15">
      <c r="B595" s="13" t="s">
        <v>13213</v>
      </c>
      <c r="C595" s="435" t="str">
        <f>QUANT!C1707</f>
        <v>74157/4</v>
      </c>
      <c r="D595" s="435" t="str">
        <f>QUANT!D1707</f>
        <v>SINAPI</v>
      </c>
      <c r="E595" s="436" t="str">
        <f>IFERROR(VLOOKUP($C595,'SINAPI JULHO 2018'!$1:$1048576,2,0),IFERROR(VLOOKUP($C595,'5-COMP. PROPRIA'!$B$13:$I$518,4,0),""))</f>
        <v>LANCAMENTO/APLICACAO MANUAL DE CONCRETO EM FUNDACOES</v>
      </c>
      <c r="F595" s="437" t="str">
        <f>IFERROR(VLOOKUP($C595,'SINAPI JULHO 2018'!$A:$D,3,0),IFERROR(VLOOKUP($C595,'5-COMP. PROPRIA'!$B$13:$I$518,5,0),""))</f>
        <v>M3</v>
      </c>
      <c r="G595" s="438">
        <f>QUANT!K1707</f>
        <v>0.21599999999999997</v>
      </c>
      <c r="H595" s="439">
        <f>IFERROR(VLOOKUP($C595,'SINAPI JULHO 2018'!$A:$D,4,0),IFERROR(VLOOKUP($C595,'5-COMP. PROPRIA'!$B$13:$I$518,8,0),""))</f>
        <v>93.76</v>
      </c>
      <c r="I595" s="440">
        <f>H595*'4-BDI'!$E$29</f>
        <v>120.237824</v>
      </c>
      <c r="J595" s="63">
        <f t="shared" si="320"/>
        <v>20.25</v>
      </c>
      <c r="K595" s="190">
        <f t="shared" si="321"/>
        <v>25.97</v>
      </c>
    </row>
    <row r="596" spans="2:11" ht="30">
      <c r="B596" s="13" t="s">
        <v>13214</v>
      </c>
      <c r="C596" s="435">
        <f>QUANT!C1709</f>
        <v>96545</v>
      </c>
      <c r="D596" s="435" t="str">
        <f>QUANT!D1709</f>
        <v>SINAPI</v>
      </c>
      <c r="E596" s="436" t="str">
        <f>IFERROR(VLOOKUP($C596,'SINAPI JULHO 2018'!$1:$1048576,2,0),IFERROR(VLOOKUP($C596,'5-COMP. PROPRIA'!$B$13:$I$518,4,0),""))</f>
        <v>ARMAÇÃO DE BLOCO, VIGA BALDRAME OU SAPATA UTILIZANDO AÇO CA-50 DE 8 MM - MONTAGEM. AF_06/2017</v>
      </c>
      <c r="F596" s="437" t="str">
        <f>IFERROR(VLOOKUP($C596,'SINAPI JULHO 2018'!$A:$D,3,0),IFERROR(VLOOKUP($C596,'5-COMP. PROPRIA'!$B$13:$I$518,5,0),""))</f>
        <v>KG</v>
      </c>
      <c r="G596" s="438">
        <f>QUANT!K1709</f>
        <v>16.090867200000005</v>
      </c>
      <c r="H596" s="439">
        <f>IFERROR(VLOOKUP($C596,'SINAPI JULHO 2018'!$A:$D,4,0),IFERROR(VLOOKUP($C596,'5-COMP. PROPRIA'!$B$13:$I$518,8,0),""))</f>
        <v>9.19</v>
      </c>
      <c r="I596" s="440">
        <f>H596*'4-BDI'!$E$29</f>
        <v>11.785255999999999</v>
      </c>
      <c r="J596" s="63">
        <f t="shared" si="320"/>
        <v>147.87</v>
      </c>
      <c r="K596" s="190">
        <f t="shared" si="321"/>
        <v>189.63</v>
      </c>
    </row>
    <row r="597" spans="2:11" ht="30">
      <c r="B597" s="13" t="s">
        <v>13215</v>
      </c>
      <c r="C597" s="435">
        <f>QUANT!C1714</f>
        <v>96529</v>
      </c>
      <c r="D597" s="435" t="str">
        <f>QUANT!D1714</f>
        <v>SINAPI</v>
      </c>
      <c r="E597" s="436" t="str">
        <f>IFERROR(VLOOKUP($C597,'SINAPI JULHO 2018'!$1:$1048576,2,0),IFERROR(VLOOKUP($C597,'5-COMP. PROPRIA'!$B$13:$I$518,4,0),""))</f>
        <v>FABRICAÇÃO, MONTAGEM E DESMONTAGEM DE FÔRMA PARA SAPATA, EM MADEIRA SERRADA, E=25 MM, 1 UTILIZAÇÃO. AF_06/2017</v>
      </c>
      <c r="F597" s="437" t="str">
        <f>IFERROR(VLOOKUP($C597,'SINAPI JULHO 2018'!$A:$D,3,0),IFERROR(VLOOKUP($C597,'5-COMP. PROPRIA'!$B$13:$I$518,5,0),""))</f>
        <v>M2</v>
      </c>
      <c r="G597" s="438">
        <f>QUANT!K1714</f>
        <v>1.44</v>
      </c>
      <c r="H597" s="439">
        <f>IFERROR(VLOOKUP($C597,'SINAPI JULHO 2018'!$A:$D,4,0),IFERROR(VLOOKUP($C597,'5-COMP. PROPRIA'!$B$13:$I$518,8,0),""))</f>
        <v>156.33000000000001</v>
      </c>
      <c r="I597" s="440">
        <f>H597*'4-BDI'!$E$29</f>
        <v>200.47759200000002</v>
      </c>
      <c r="J597" s="63">
        <f t="shared" si="320"/>
        <v>225.11</v>
      </c>
      <c r="K597" s="190">
        <f t="shared" si="321"/>
        <v>288.68</v>
      </c>
    </row>
    <row r="598" spans="2:11" ht="15">
      <c r="B598" s="13" t="s">
        <v>13216</v>
      </c>
      <c r="C598" s="435">
        <f>QUANT!C1718</f>
        <v>93382</v>
      </c>
      <c r="D598" s="435" t="str">
        <f>QUANT!D1718</f>
        <v>SINAPI</v>
      </c>
      <c r="E598" s="436" t="str">
        <f>IFERROR(VLOOKUP($C598,'SINAPI JULHO 2018'!$1:$1048576,2,0),IFERROR(VLOOKUP($C598,'5-COMP. PROPRIA'!$B$13:$I$518,4,0),""))</f>
        <v>REATERRO MANUAL DE VALAS COM COMPACTAÇÃO MECANIZADA. AF_04/2016</v>
      </c>
      <c r="F598" s="437" t="str">
        <f>IFERROR(VLOOKUP($C598,'SINAPI JULHO 2018'!$A:$D,3,0),IFERROR(VLOOKUP($C598,'5-COMP. PROPRIA'!$B$13:$I$518,5,0),""))</f>
        <v>M3</v>
      </c>
      <c r="G598" s="438">
        <f>QUANT!K1718</f>
        <v>3.32775</v>
      </c>
      <c r="H598" s="439">
        <f>IFERROR(VLOOKUP($C598,'SINAPI JULHO 2018'!$A:$D,4,0),IFERROR(VLOOKUP($C598,'5-COMP. PROPRIA'!$B$13:$I$518,8,0),""))</f>
        <v>19.27</v>
      </c>
      <c r="I598" s="440">
        <f>H598*'4-BDI'!$E$29</f>
        <v>24.711848</v>
      </c>
      <c r="J598" s="63">
        <f t="shared" si="320"/>
        <v>64.12</v>
      </c>
      <c r="K598" s="190">
        <f t="shared" si="321"/>
        <v>82.23</v>
      </c>
    </row>
    <row r="599" spans="2:11" ht="15">
      <c r="B599" s="13" t="s">
        <v>13217</v>
      </c>
      <c r="C599" s="435">
        <f>QUANT!C1722</f>
        <v>72897</v>
      </c>
      <c r="D599" s="435" t="str">
        <f>QUANT!D1722</f>
        <v>SINAPI</v>
      </c>
      <c r="E599" s="436" t="str">
        <f>IFERROR(VLOOKUP($C599,'SINAPI JULHO 2018'!$1:$1048576,2,0),IFERROR(VLOOKUP($C599,'5-COMP. PROPRIA'!$B$13:$I$518,4,0),""))</f>
        <v>CARGA MANUAL DE ENTULHO EM CAMINHAO BASCULANTE 6 M3</v>
      </c>
      <c r="F599" s="437" t="str">
        <f>IFERROR(VLOOKUP($C599,'SINAPI JULHO 2018'!$A:$D,3,0),IFERROR(VLOOKUP($C599,'5-COMP. PROPRIA'!$B$13:$I$518,5,0),""))</f>
        <v>M3</v>
      </c>
      <c r="G599" s="438">
        <f>QUANT!K1722</f>
        <v>0.28079999999999999</v>
      </c>
      <c r="H599" s="439">
        <f>IFERROR(VLOOKUP($C599,'SINAPI JULHO 2018'!$A:$D,4,0),IFERROR(VLOOKUP($C599,'5-COMP. PROPRIA'!$B$13:$I$518,8,0),""))</f>
        <v>17.34</v>
      </c>
      <c r="I599" s="440">
        <f>H599*'4-BDI'!$E$29</f>
        <v>22.236816000000001</v>
      </c>
      <c r="J599" s="63">
        <f t="shared" si="320"/>
        <v>4.8600000000000003</v>
      </c>
      <c r="K599" s="190">
        <f t="shared" si="321"/>
        <v>6.24</v>
      </c>
    </row>
    <row r="600" spans="2:11" ht="30">
      <c r="B600" s="13" t="s">
        <v>13218</v>
      </c>
      <c r="C600" s="435">
        <f>QUANT!C1726</f>
        <v>97914</v>
      </c>
      <c r="D600" s="435" t="str">
        <f>QUANT!D1726</f>
        <v>SINAPI</v>
      </c>
      <c r="E600" s="436" t="str">
        <f>IFERROR(VLOOKUP($C600,'SINAPI JULHO 2018'!$1:$1048576,2,0),IFERROR(VLOOKUP($C600,'5-COMP. PROPRIA'!$B$13:$I$518,4,0),""))</f>
        <v>TRANSPORTE COM CAMINHÃO BASCULANTE DE 6 M3, EM VIA URBANA PAVIMENTADA, DMT ATÉ 30 KM (UNIDADE: M3XKM). AF_01/2018</v>
      </c>
      <c r="F600" s="437" t="str">
        <f>IFERROR(VLOOKUP($C600,'SINAPI JULHO 2018'!$A:$D,3,0),IFERROR(VLOOKUP($C600,'5-COMP. PROPRIA'!$B$13:$I$518,5,0),""))</f>
        <v>M3XKM</v>
      </c>
      <c r="G600" s="438">
        <f>QUANT!K1726</f>
        <v>2.1059999999999999</v>
      </c>
      <c r="H600" s="439">
        <f>IFERROR(VLOOKUP($C600,'SINAPI JULHO 2018'!$A:$D,4,0),IFERROR(VLOOKUP($C600,'5-COMP. PROPRIA'!$B$13:$I$518,8,0),""))</f>
        <v>1.52</v>
      </c>
      <c r="I600" s="440">
        <f>H600*'4-BDI'!$E$29</f>
        <v>1.9492480000000001</v>
      </c>
      <c r="J600" s="63">
        <f t="shared" si="320"/>
        <v>3.2</v>
      </c>
      <c r="K600" s="190">
        <f t="shared" si="321"/>
        <v>4.0999999999999996</v>
      </c>
    </row>
    <row r="601" spans="2:11" ht="15">
      <c r="B601" s="314" t="s">
        <v>13219</v>
      </c>
      <c r="C601" s="96"/>
      <c r="D601" s="96"/>
      <c r="E601" s="96" t="str">
        <f>QUANT!E1730</f>
        <v>BALDRAMES</v>
      </c>
      <c r="F601" s="178"/>
      <c r="G601" s="146"/>
      <c r="H601" s="145"/>
      <c r="I601" s="219"/>
      <c r="J601" s="65"/>
      <c r="K601" s="191"/>
    </row>
    <row r="602" spans="2:11" ht="30">
      <c r="B602" s="13" t="s">
        <v>13220</v>
      </c>
      <c r="C602" s="435">
        <f>QUANT!C1732</f>
        <v>96527</v>
      </c>
      <c r="D602" s="435" t="str">
        <f>QUANT!D1732</f>
        <v>SINAPI</v>
      </c>
      <c r="E602" s="436" t="str">
        <f>IFERROR(VLOOKUP($C602,'SINAPI JULHO 2018'!$1:$1048576,2,0),IFERROR(VLOOKUP($C602,'5-COMP. PROPRIA'!$B$13:$I$518,4,0),""))</f>
        <v>ESCAVAÇÃO MANUAL DE VALA PARA VIGA BALDRAME, COM PREVISÃO DE FÔRMA. AF_06/2017</v>
      </c>
      <c r="F602" s="437" t="str">
        <f>IFERROR(VLOOKUP($C602,'SINAPI JULHO 2018'!$A:$D,3,0),IFERROR(VLOOKUP($C602,'5-COMP. PROPRIA'!$B$13:$I$518,5,0),""))</f>
        <v>M3</v>
      </c>
      <c r="G602" s="438">
        <f>QUANT!K1732</f>
        <v>4.8416939999999995</v>
      </c>
      <c r="H602" s="439">
        <f>IFERROR(VLOOKUP($C602,'SINAPI JULHO 2018'!$A:$D,4,0),IFERROR(VLOOKUP($C602,'5-COMP. PROPRIA'!$B$13:$I$518,8,0),""))</f>
        <v>84.88</v>
      </c>
      <c r="I602" s="440">
        <f>H602*'4-BDI'!$E$29</f>
        <v>108.850112</v>
      </c>
      <c r="J602" s="63">
        <f t="shared" ref="J602" si="322">TRUNC(G602*H602,2)</f>
        <v>410.96</v>
      </c>
      <c r="K602" s="190">
        <f t="shared" ref="K602" si="323">TRUNC(G602*I602,2)</f>
        <v>527.01</v>
      </c>
    </row>
    <row r="603" spans="2:11" ht="30">
      <c r="B603" s="13" t="s">
        <v>13221</v>
      </c>
      <c r="C603" s="435">
        <f>QUANT!C1736</f>
        <v>96617</v>
      </c>
      <c r="D603" s="435" t="str">
        <f>QUANT!D1736</f>
        <v>SINAPI</v>
      </c>
      <c r="E603" s="436" t="str">
        <f>IFERROR(VLOOKUP($C603,'SINAPI JULHO 2018'!$1:$1048576,2,0),IFERROR(VLOOKUP($C603,'5-COMP. PROPRIA'!$B$13:$I$518,4,0),""))</f>
        <v>LASTRO DE CONCRETO MAGRO, APLICADO EM BLOCOS DE COROAMENTO OU SAPATAS, ESPESSURA DE 3 CM. AF_08/2017</v>
      </c>
      <c r="F603" s="437" t="str">
        <f>IFERROR(VLOOKUP($C603,'SINAPI JULHO 2018'!$A:$D,3,0),IFERROR(VLOOKUP($C603,'5-COMP. PROPRIA'!$B$13:$I$518,5,0),""))</f>
        <v>M2</v>
      </c>
      <c r="G603" s="438">
        <f>QUANT!K1736</f>
        <v>3.5910000000000002</v>
      </c>
      <c r="H603" s="439">
        <f>IFERROR(VLOOKUP($C603,'SINAPI JULHO 2018'!$A:$D,4,0),IFERROR(VLOOKUP($C603,'5-COMP. PROPRIA'!$B$13:$I$518,8,0),""))</f>
        <v>12.49</v>
      </c>
      <c r="I603" s="440">
        <f>H603*'4-BDI'!$E$29</f>
        <v>16.017175999999999</v>
      </c>
      <c r="J603" s="63">
        <f t="shared" ref="J603:J612" si="324">TRUNC(G603*H603,2)</f>
        <v>44.85</v>
      </c>
      <c r="K603" s="190">
        <f t="shared" ref="K603:K612" si="325">TRUNC(G603*I603,2)</f>
        <v>57.51</v>
      </c>
    </row>
    <row r="604" spans="2:11" ht="30">
      <c r="B604" s="13" t="s">
        <v>13222</v>
      </c>
      <c r="C604" s="435">
        <f>QUANT!C1740</f>
        <v>94965</v>
      </c>
      <c r="D604" s="435" t="str">
        <f>QUANT!D1740</f>
        <v>SINAPI</v>
      </c>
      <c r="E604" s="436" t="str">
        <f>IFERROR(VLOOKUP($C604,'SINAPI JULHO 2018'!$1:$1048576,2,0),IFERROR(VLOOKUP($C604,'5-COMP. PROPRIA'!$B$13:$I$518,4,0),""))</f>
        <v>CONCRETO FCK = 25MPA, TRAÇO 1:2,3:2,7 (CIMENTO/ AREIA MÉDIA/ BRITA 1)  - PREPARO MECÂNICO COM BETONEIRA 400 L. AF_07/2016</v>
      </c>
      <c r="F604" s="437" t="str">
        <f>IFERROR(VLOOKUP($C604,'SINAPI JULHO 2018'!$A:$D,3,0),IFERROR(VLOOKUP($C604,'5-COMP. PROPRIA'!$B$13:$I$518,5,0),""))</f>
        <v>M3</v>
      </c>
      <c r="G604" s="438">
        <f>QUANT!K1740</f>
        <v>1.0772999999999999</v>
      </c>
      <c r="H604" s="439">
        <f>IFERROR(VLOOKUP($C604,'SINAPI JULHO 2018'!$A:$D,4,0),IFERROR(VLOOKUP($C604,'5-COMP. PROPRIA'!$B$13:$I$518,8,0),""))</f>
        <v>323.45</v>
      </c>
      <c r="I604" s="440">
        <f>H604*'4-BDI'!$E$29</f>
        <v>414.79228000000001</v>
      </c>
      <c r="J604" s="63">
        <f t="shared" si="324"/>
        <v>348.45</v>
      </c>
      <c r="K604" s="190">
        <f t="shared" si="325"/>
        <v>446.85</v>
      </c>
    </row>
    <row r="605" spans="2:11" ht="15">
      <c r="B605" s="13" t="s">
        <v>13223</v>
      </c>
      <c r="C605" s="435" t="str">
        <f>QUANT!C1744</f>
        <v>74157/4</v>
      </c>
      <c r="D605" s="435" t="str">
        <f>QUANT!D1744</f>
        <v>SINAPI</v>
      </c>
      <c r="E605" s="436" t="str">
        <f>IFERROR(VLOOKUP($C605,'SINAPI JULHO 2018'!$1:$1048576,2,0),IFERROR(VLOOKUP($C605,'5-COMP. PROPRIA'!$B$13:$I$518,4,0),""))</f>
        <v>LANCAMENTO/APLICACAO MANUAL DE CONCRETO EM FUNDACOES</v>
      </c>
      <c r="F605" s="437" t="str">
        <f>IFERROR(VLOOKUP($C605,'SINAPI JULHO 2018'!$A:$D,3,0),IFERROR(VLOOKUP($C605,'5-COMP. PROPRIA'!$B$13:$I$518,5,0),""))</f>
        <v>M3</v>
      </c>
      <c r="G605" s="438">
        <f>QUANT!K1744</f>
        <v>1.0772999999999999</v>
      </c>
      <c r="H605" s="439">
        <f>IFERROR(VLOOKUP($C605,'SINAPI JULHO 2018'!$A:$D,4,0),IFERROR(VLOOKUP($C605,'5-COMP. PROPRIA'!$B$13:$I$518,8,0),""))</f>
        <v>93.76</v>
      </c>
      <c r="I605" s="440">
        <f>H605*'4-BDI'!$E$29</f>
        <v>120.237824</v>
      </c>
      <c r="J605" s="63">
        <f t="shared" si="324"/>
        <v>101</v>
      </c>
      <c r="K605" s="190">
        <f t="shared" si="325"/>
        <v>129.53</v>
      </c>
    </row>
    <row r="606" spans="2:11" ht="30">
      <c r="B606" s="13" t="s">
        <v>13224</v>
      </c>
      <c r="C606" s="435">
        <f>QUANT!C1746</f>
        <v>96543</v>
      </c>
      <c r="D606" s="435" t="str">
        <f>QUANT!D1746</f>
        <v>SINAPI</v>
      </c>
      <c r="E606" s="436" t="str">
        <f>IFERROR(VLOOKUP($C606,'SINAPI JULHO 2018'!$1:$1048576,2,0),IFERROR(VLOOKUP($C606,'5-COMP. PROPRIA'!$B$13:$I$518,4,0),""))</f>
        <v>ARMAÇÃO DE BLOCO, VIGA BALDRAME E SAPATA UTILIZANDO AÇO CA-60 DE 5 MM - MONTAGEM. AF_06/2017</v>
      </c>
      <c r="F606" s="437" t="str">
        <f>IFERROR(VLOOKUP($C606,'SINAPI JULHO 2018'!$A:$D,3,0),IFERROR(VLOOKUP($C606,'5-COMP. PROPRIA'!$B$13:$I$518,5,0),""))</f>
        <v>KG</v>
      </c>
      <c r="G606" s="438">
        <f>QUANT!K1746</f>
        <v>24.367847343750007</v>
      </c>
      <c r="H606" s="439">
        <f>IFERROR(VLOOKUP($C606,'SINAPI JULHO 2018'!$A:$D,4,0),IFERROR(VLOOKUP($C606,'5-COMP. PROPRIA'!$B$13:$I$518,8,0),""))</f>
        <v>11.01</v>
      </c>
      <c r="I606" s="440">
        <f>H606*'4-BDI'!$E$29</f>
        <v>14.119223999999999</v>
      </c>
      <c r="J606" s="63">
        <f t="shared" si="324"/>
        <v>268.27999999999997</v>
      </c>
      <c r="K606" s="190">
        <f t="shared" si="325"/>
        <v>344.05</v>
      </c>
    </row>
    <row r="607" spans="2:11" ht="30">
      <c r="B607" s="13" t="s">
        <v>13225</v>
      </c>
      <c r="C607" s="435">
        <f>QUANT!C1751</f>
        <v>96545</v>
      </c>
      <c r="D607" s="435" t="str">
        <f>QUANT!D1751</f>
        <v>SINAPI</v>
      </c>
      <c r="E607" s="436" t="str">
        <f>IFERROR(VLOOKUP($C607,'SINAPI JULHO 2018'!$1:$1048576,2,0),IFERROR(VLOOKUP($C607,'5-COMP. PROPRIA'!$B$13:$I$518,4,0),""))</f>
        <v>ARMAÇÃO DE BLOCO, VIGA BALDRAME OU SAPATA UTILIZANDO AÇO CA-50 DE 8 MM - MONTAGEM. AF_06/2017</v>
      </c>
      <c r="F607" s="437" t="str">
        <f>IFERROR(VLOOKUP($C607,'SINAPI JULHO 2018'!$A:$D,3,0),IFERROR(VLOOKUP($C607,'5-COMP. PROPRIA'!$B$13:$I$518,5,0),""))</f>
        <v>KG</v>
      </c>
      <c r="G607" s="438">
        <f>QUANT!K1751</f>
        <v>40.463798400000002</v>
      </c>
      <c r="H607" s="439">
        <f>IFERROR(VLOOKUP($C607,'SINAPI JULHO 2018'!$A:$D,4,0),IFERROR(VLOOKUP($C607,'5-COMP. PROPRIA'!$B$13:$I$518,8,0),""))</f>
        <v>9.19</v>
      </c>
      <c r="I607" s="440">
        <f>H607*'4-BDI'!$E$29</f>
        <v>11.785255999999999</v>
      </c>
      <c r="J607" s="63">
        <f t="shared" si="324"/>
        <v>371.86</v>
      </c>
      <c r="K607" s="190">
        <f t="shared" si="325"/>
        <v>476.87</v>
      </c>
    </row>
    <row r="608" spans="2:11" ht="30">
      <c r="B608" s="13" t="s">
        <v>13226</v>
      </c>
      <c r="C608" s="435">
        <f>QUANT!C1756</f>
        <v>96536</v>
      </c>
      <c r="D608" s="435" t="str">
        <f>QUANT!D1756</f>
        <v>SINAPI</v>
      </c>
      <c r="E608" s="436" t="str">
        <f>IFERROR(VLOOKUP($C608,'SINAPI JULHO 2018'!$1:$1048576,2,0),IFERROR(VLOOKUP($C608,'5-COMP. PROPRIA'!$B$13:$I$518,4,0),""))</f>
        <v>FABRICAÇÃO, MONTAGEM E DESMONTAGEM DE FÔRMA PARA VIGA BALDRAME, EM MADEIRA SERRADA, E=25 MM, 4 UTILIZAÇÕES. AF_06/2017</v>
      </c>
      <c r="F608" s="437" t="str">
        <f>IFERROR(VLOOKUP($C608,'SINAPI JULHO 2018'!$A:$D,3,0),IFERROR(VLOOKUP($C608,'5-COMP. PROPRIA'!$B$13:$I$518,5,0),""))</f>
        <v>M2</v>
      </c>
      <c r="G608" s="438">
        <f>QUANT!K1756</f>
        <v>15.389999999999999</v>
      </c>
      <c r="H608" s="439">
        <f>IFERROR(VLOOKUP($C608,'SINAPI JULHO 2018'!$A:$D,4,0),IFERROR(VLOOKUP($C608,'5-COMP. PROPRIA'!$B$13:$I$518,8,0),""))</f>
        <v>37.81</v>
      </c>
      <c r="I608" s="440">
        <f>H608*'4-BDI'!$E$29</f>
        <v>48.487544</v>
      </c>
      <c r="J608" s="63">
        <f t="shared" si="324"/>
        <v>581.89</v>
      </c>
      <c r="K608" s="190">
        <f t="shared" si="325"/>
        <v>746.22</v>
      </c>
    </row>
    <row r="609" spans="2:11" ht="15">
      <c r="B609" s="13" t="s">
        <v>13227</v>
      </c>
      <c r="C609" s="435">
        <f>QUANT!C1760</f>
        <v>93382</v>
      </c>
      <c r="D609" s="435" t="str">
        <f>QUANT!D1760</f>
        <v>SINAPI</v>
      </c>
      <c r="E609" s="436" t="str">
        <f>IFERROR(VLOOKUP($C609,'SINAPI JULHO 2018'!$1:$1048576,2,0),IFERROR(VLOOKUP($C609,'5-COMP. PROPRIA'!$B$13:$I$518,4,0),""))</f>
        <v>REATERRO MANUAL DE VALAS COM COMPACTAÇÃO MECANIZADA. AF_04/2016</v>
      </c>
      <c r="F609" s="437" t="str">
        <f>IFERROR(VLOOKUP($C609,'SINAPI JULHO 2018'!$A:$D,3,0),IFERROR(VLOOKUP($C609,'5-COMP. PROPRIA'!$B$13:$I$518,5,0),""))</f>
        <v>M3</v>
      </c>
      <c r="G609" s="438">
        <f>QUANT!K1760</f>
        <v>3.7643939999999994</v>
      </c>
      <c r="H609" s="439">
        <f>IFERROR(VLOOKUP($C609,'SINAPI JULHO 2018'!$A:$D,4,0),IFERROR(VLOOKUP($C609,'5-COMP. PROPRIA'!$B$13:$I$518,8,0),""))</f>
        <v>19.27</v>
      </c>
      <c r="I609" s="440">
        <f>H609*'4-BDI'!$E$29</f>
        <v>24.711848</v>
      </c>
      <c r="J609" s="63">
        <f t="shared" si="324"/>
        <v>72.53</v>
      </c>
      <c r="K609" s="190">
        <f t="shared" si="325"/>
        <v>93.02</v>
      </c>
    </row>
    <row r="610" spans="2:11" ht="30">
      <c r="B610" s="13" t="s">
        <v>13228</v>
      </c>
      <c r="C610" s="435" t="str">
        <f>QUANT!C1764</f>
        <v>74106/1</v>
      </c>
      <c r="D610" s="435" t="str">
        <f>QUANT!D1764</f>
        <v>SINAPI</v>
      </c>
      <c r="E610" s="436" t="str">
        <f>IFERROR(VLOOKUP($C610,'SINAPI JULHO 2018'!$1:$1048576,2,0),IFERROR(VLOOKUP($C610,'5-COMP. PROPRIA'!$B$13:$I$518,4,0),""))</f>
        <v>IMPERMEABILIZACAO DE ESTRUTURAS ENTERRADAS, COM TINTA ASFALTICA, DUAS DEMAOS.</v>
      </c>
      <c r="F610" s="437" t="str">
        <f>IFERROR(VLOOKUP($C610,'SINAPI JULHO 2018'!$A:$D,3,0),IFERROR(VLOOKUP($C610,'5-COMP. PROPRIA'!$B$13:$I$518,5,0),""))</f>
        <v>M2</v>
      </c>
      <c r="G610" s="438">
        <f>QUANT!K1764</f>
        <v>18.980999999999998</v>
      </c>
      <c r="H610" s="439">
        <f>IFERROR(VLOOKUP($C610,'SINAPI JULHO 2018'!$A:$D,4,0),IFERROR(VLOOKUP($C610,'5-COMP. PROPRIA'!$B$13:$I$518,8,0),""))</f>
        <v>9.5399999999999991</v>
      </c>
      <c r="I610" s="440">
        <f>H610*'4-BDI'!$E$29</f>
        <v>12.234095999999999</v>
      </c>
      <c r="J610" s="63">
        <f t="shared" si="324"/>
        <v>181.07</v>
      </c>
      <c r="K610" s="190">
        <f t="shared" si="325"/>
        <v>232.21</v>
      </c>
    </row>
    <row r="611" spans="2:11" ht="15">
      <c r="B611" s="13" t="s">
        <v>13229</v>
      </c>
      <c r="C611" s="435">
        <f>QUANT!C1766</f>
        <v>72897</v>
      </c>
      <c r="D611" s="435" t="str">
        <f>QUANT!D1766</f>
        <v>SINAPI</v>
      </c>
      <c r="E611" s="436" t="str">
        <f>IFERROR(VLOOKUP($C611,'SINAPI JULHO 2018'!$1:$1048576,2,0),IFERROR(VLOOKUP($C611,'5-COMP. PROPRIA'!$B$13:$I$518,4,0),""))</f>
        <v>CARGA MANUAL DE ENTULHO EM CAMINHAO BASCULANTE 6 M3</v>
      </c>
      <c r="F611" s="437" t="str">
        <f>IFERROR(VLOOKUP($C611,'SINAPI JULHO 2018'!$A:$D,3,0),IFERROR(VLOOKUP($C611,'5-COMP. PROPRIA'!$B$13:$I$518,5,0),""))</f>
        <v>M3</v>
      </c>
      <c r="G611" s="438">
        <f>QUANT!K1766</f>
        <v>1.40049</v>
      </c>
      <c r="H611" s="439">
        <f>IFERROR(VLOOKUP($C611,'SINAPI JULHO 2018'!$A:$D,4,0),IFERROR(VLOOKUP($C611,'5-COMP. PROPRIA'!$B$13:$I$518,8,0),""))</f>
        <v>17.34</v>
      </c>
      <c r="I611" s="440">
        <f>H611*'4-BDI'!$E$29</f>
        <v>22.236816000000001</v>
      </c>
      <c r="J611" s="63">
        <f t="shared" si="324"/>
        <v>24.28</v>
      </c>
      <c r="K611" s="190">
        <f t="shared" si="325"/>
        <v>31.14</v>
      </c>
    </row>
    <row r="612" spans="2:11" ht="30">
      <c r="B612" s="13" t="s">
        <v>13230</v>
      </c>
      <c r="C612" s="435">
        <f>QUANT!C1770</f>
        <v>97914</v>
      </c>
      <c r="D612" s="435" t="str">
        <f>QUANT!D1770</f>
        <v>SINAPI</v>
      </c>
      <c r="E612" s="436" t="str">
        <f>IFERROR(VLOOKUP($C612,'SINAPI JULHO 2018'!$1:$1048576,2,0),IFERROR(VLOOKUP($C612,'5-COMP. PROPRIA'!$B$13:$I$518,4,0),""))</f>
        <v>TRANSPORTE COM CAMINHÃO BASCULANTE DE 6 M3, EM VIA URBANA PAVIMENTADA, DMT ATÉ 30 KM (UNIDADE: M3XKM). AF_01/2018</v>
      </c>
      <c r="F612" s="437" t="str">
        <f>IFERROR(VLOOKUP($C612,'SINAPI JULHO 2018'!$A:$D,3,0),IFERROR(VLOOKUP($C612,'5-COMP. PROPRIA'!$B$13:$I$518,5,0),""))</f>
        <v>M3XKM</v>
      </c>
      <c r="G612" s="438">
        <f>QUANT!K1770</f>
        <v>14.004899999999999</v>
      </c>
      <c r="H612" s="439">
        <f>IFERROR(VLOOKUP($C612,'SINAPI JULHO 2018'!$A:$D,4,0),IFERROR(VLOOKUP($C612,'5-COMP. PROPRIA'!$B$13:$I$518,8,0),""))</f>
        <v>1.52</v>
      </c>
      <c r="I612" s="440">
        <f>H612*'4-BDI'!$E$29</f>
        <v>1.9492480000000001</v>
      </c>
      <c r="J612" s="63">
        <f t="shared" si="324"/>
        <v>21.28</v>
      </c>
      <c r="K612" s="190">
        <f t="shared" si="325"/>
        <v>27.29</v>
      </c>
    </row>
    <row r="613" spans="2:11" ht="15">
      <c r="B613" s="362" t="s">
        <v>13231</v>
      </c>
      <c r="C613" s="363"/>
      <c r="D613" s="363"/>
      <c r="E613" s="363" t="str">
        <f>QUANT!E1774</f>
        <v xml:space="preserve">SUPERESTRUTURA </v>
      </c>
      <c r="F613" s="364"/>
      <c r="G613" s="365"/>
      <c r="H613" s="366"/>
      <c r="I613" s="367"/>
      <c r="J613" s="368"/>
      <c r="K613" s="369"/>
    </row>
    <row r="614" spans="2:11" ht="15">
      <c r="B614" s="314" t="s">
        <v>13232</v>
      </c>
      <c r="C614" s="96"/>
      <c r="D614" s="96"/>
      <c r="E614" s="96" t="str">
        <f>QUANT!E1776</f>
        <v>PILARES</v>
      </c>
      <c r="F614" s="178"/>
      <c r="G614" s="146"/>
      <c r="H614" s="145"/>
      <c r="I614" s="219"/>
      <c r="J614" s="65"/>
      <c r="K614" s="191"/>
    </row>
    <row r="615" spans="2:11" ht="30">
      <c r="B615" s="13" t="s">
        <v>13233</v>
      </c>
      <c r="C615" s="435">
        <f>QUANT!C1778</f>
        <v>94965</v>
      </c>
      <c r="D615" s="435" t="str">
        <f>QUANT!D1778</f>
        <v>SINAPI</v>
      </c>
      <c r="E615" s="436" t="str">
        <f>IFERROR(VLOOKUP($C615,'SINAPI JULHO 2018'!$1:$1048576,2,0),IFERROR(VLOOKUP($C615,'5-COMP. PROPRIA'!$B$13:$I$518,4,0),""))</f>
        <v>CONCRETO FCK = 25MPA, TRAÇO 1:2,3:2,7 (CIMENTO/ AREIA MÉDIA/ BRITA 1)  - PREPARO MECÂNICO COM BETONEIRA 400 L. AF_07/2016</v>
      </c>
      <c r="F615" s="437" t="str">
        <f>IFERROR(VLOOKUP($C615,'SINAPI JULHO 2018'!$A:$D,3,0),IFERROR(VLOOKUP($C615,'5-COMP. PROPRIA'!$B$13:$I$518,5,0),""))</f>
        <v>M3</v>
      </c>
      <c r="G615" s="438">
        <f>QUANT!K1778</f>
        <v>0.72072000000000014</v>
      </c>
      <c r="H615" s="439">
        <f>IFERROR(VLOOKUP($C615,'SINAPI JULHO 2018'!$A:$D,4,0),IFERROR(VLOOKUP($C615,'5-COMP. PROPRIA'!$B$13:$I$518,8,0),""))</f>
        <v>323.45</v>
      </c>
      <c r="I615" s="440">
        <f>H615*'4-BDI'!$E$29</f>
        <v>414.79228000000001</v>
      </c>
      <c r="J615" s="63">
        <f t="shared" ref="J615" si="326">TRUNC(G615*H615,2)</f>
        <v>233.11</v>
      </c>
      <c r="K615" s="190">
        <f t="shared" ref="K615" si="327">TRUNC(G615*I615,2)</f>
        <v>298.94</v>
      </c>
    </row>
    <row r="616" spans="2:11" ht="30">
      <c r="B616" s="13" t="s">
        <v>13234</v>
      </c>
      <c r="C616" s="435">
        <f>QUANT!C1782</f>
        <v>92873</v>
      </c>
      <c r="D616" s="435" t="str">
        <f>QUANT!D1782</f>
        <v>SINAPI</v>
      </c>
      <c r="E616" s="436" t="str">
        <f>IFERROR(VLOOKUP($C616,'SINAPI JULHO 2018'!$1:$1048576,2,0),IFERROR(VLOOKUP($C616,'5-COMP. PROPRIA'!$B$13:$I$518,4,0),""))</f>
        <v>LANÇAMENTO COM USO DE BALDES, ADENSAMENTO E ACABAMENTO DE CONCRETO EM ESTRUTURAS. AF_12/2015</v>
      </c>
      <c r="F616" s="437" t="str">
        <f>IFERROR(VLOOKUP($C616,'SINAPI JULHO 2018'!$A:$D,3,0),IFERROR(VLOOKUP($C616,'5-COMP. PROPRIA'!$B$13:$I$518,5,0),""))</f>
        <v>M3</v>
      </c>
      <c r="G616" s="438">
        <f>QUANT!K1782</f>
        <v>0.72072000000000014</v>
      </c>
      <c r="H616" s="439">
        <f>IFERROR(VLOOKUP($C616,'SINAPI JULHO 2018'!$A:$D,4,0),IFERROR(VLOOKUP($C616,'5-COMP. PROPRIA'!$B$13:$I$518,8,0),""))</f>
        <v>145.12</v>
      </c>
      <c r="I616" s="440">
        <f>H616*'4-BDI'!$E$29</f>
        <v>186.101888</v>
      </c>
      <c r="J616" s="63">
        <f t="shared" ref="J616:J619" si="328">TRUNC(G616*H616,2)</f>
        <v>104.59</v>
      </c>
      <c r="K616" s="190">
        <f t="shared" ref="K616:K619" si="329">TRUNC(G616*I616,2)</f>
        <v>134.12</v>
      </c>
    </row>
    <row r="617" spans="2:11" ht="45">
      <c r="B617" s="13" t="s">
        <v>13235</v>
      </c>
      <c r="C617" s="435">
        <f>QUANT!C1784</f>
        <v>92775</v>
      </c>
      <c r="D617" s="435" t="str">
        <f>QUANT!D1784</f>
        <v>SINAPI</v>
      </c>
      <c r="E617" s="436" t="str">
        <f>IFERROR(VLOOKUP($C617,'SINAPI JULHO 2018'!$1:$1048576,2,0),IFERROR(VLOOKUP($C617,'5-COMP. PROPRIA'!$B$13:$I$518,4,0),""))</f>
        <v>ARMAÇÃO DE PILAR OU VIGA DE UMA ESTRUTURA CONVENCIONAL DE CONCRETO ARMADO EM UMA EDIFICAÇÃO TÉRREA OU SOBRADO UTILIZANDO AÇO CA-60 DE 5,0 MM - MONTAGEM. AF_12/2015</v>
      </c>
      <c r="F617" s="437" t="str">
        <f>IFERROR(VLOOKUP($C617,'SINAPI JULHO 2018'!$A:$D,3,0),IFERROR(VLOOKUP($C617,'5-COMP. PROPRIA'!$B$13:$I$518,5,0),""))</f>
        <v>KG</v>
      </c>
      <c r="G617" s="438">
        <f>QUANT!K1784</f>
        <v>13.421380500000003</v>
      </c>
      <c r="H617" s="439">
        <f>IFERROR(VLOOKUP($C617,'SINAPI JULHO 2018'!$A:$D,4,0),IFERROR(VLOOKUP($C617,'5-COMP. PROPRIA'!$B$13:$I$518,8,0),""))</f>
        <v>11.07</v>
      </c>
      <c r="I617" s="440">
        <f>H617*'4-BDI'!$E$29</f>
        <v>14.196168</v>
      </c>
      <c r="J617" s="63">
        <f t="shared" si="328"/>
        <v>148.57</v>
      </c>
      <c r="K617" s="190">
        <f t="shared" si="329"/>
        <v>190.53</v>
      </c>
    </row>
    <row r="618" spans="2:11" ht="45">
      <c r="B618" s="13" t="s">
        <v>13236</v>
      </c>
      <c r="C618" s="435">
        <f>QUANT!C1789</f>
        <v>92778</v>
      </c>
      <c r="D618" s="435" t="str">
        <f>QUANT!D1789</f>
        <v>SINAPI</v>
      </c>
      <c r="E618" s="436" t="str">
        <f>IFERROR(VLOOKUP($C618,'SINAPI JULHO 2018'!$1:$1048576,2,0),IFERROR(VLOOKUP($C618,'5-COMP. PROPRIA'!$B$13:$I$518,4,0),""))</f>
        <v>ARMAÇÃO DE PILAR OU VIGA DE UMA ESTRUTURA CONVENCIONAL DE CONCRETO ARMADO EM UMA EDIFICAÇÃO TÉRREA OU SOBRADO UTILIZANDO AÇO CA-50 DE 10,0 MM - MONTAGEM. AF_12/2015</v>
      </c>
      <c r="F618" s="437" t="str">
        <f>IFERROR(VLOOKUP($C618,'SINAPI JULHO 2018'!$A:$D,3,0),IFERROR(VLOOKUP($C618,'5-COMP. PROPRIA'!$B$13:$I$518,5,0),""))</f>
        <v>KG</v>
      </c>
      <c r="G618" s="438">
        <f>QUANT!K1789</f>
        <v>54.720780000000019</v>
      </c>
      <c r="H618" s="439">
        <f>IFERROR(VLOOKUP($C618,'SINAPI JULHO 2018'!$A:$D,4,0),IFERROR(VLOOKUP($C618,'5-COMP. PROPRIA'!$B$13:$I$518,8,0),""))</f>
        <v>7.43</v>
      </c>
      <c r="I618" s="440">
        <f>H618*'4-BDI'!$E$29</f>
        <v>9.5282319999999991</v>
      </c>
      <c r="J618" s="63">
        <f t="shared" si="328"/>
        <v>406.57</v>
      </c>
      <c r="K618" s="190">
        <f t="shared" si="329"/>
        <v>521.39</v>
      </c>
    </row>
    <row r="619" spans="2:11" ht="45">
      <c r="B619" s="13" t="s">
        <v>13237</v>
      </c>
      <c r="C619" s="435">
        <f>QUANT!C1794</f>
        <v>92412</v>
      </c>
      <c r="D619" s="435" t="str">
        <f>QUANT!D1794</f>
        <v>SINAPI</v>
      </c>
      <c r="E619" s="436" t="str">
        <f>IFERROR(VLOOKUP($C619,'SINAPI JULHO 2018'!$1:$1048576,2,0),IFERROR(VLOOKUP($C619,'5-COMP. PROPRIA'!$B$13:$I$518,4,0),""))</f>
        <v>MONTAGEM E DESMONTAGEM DE FÔRMA DE PILARES RETANGULARES E ESTRUTURAS SIMILARES COM ÁREA MÉDIA DAS SEÇÕES MENOR OU IGUAL A 0,25 M², PÉ-DIREITO SIMPLES, EM MADEIRA SERRADA, 4 UTILIZAÇÕES. AF_12/2015</v>
      </c>
      <c r="F619" s="437" t="str">
        <f>IFERROR(VLOOKUP($C619,'SINAPI JULHO 2018'!$A:$D,3,0),IFERROR(VLOOKUP($C619,'5-COMP. PROPRIA'!$B$13:$I$518,5,0),""))</f>
        <v>M2</v>
      </c>
      <c r="G619" s="438">
        <f>QUANT!K1794</f>
        <v>15.840000000000003</v>
      </c>
      <c r="H619" s="439">
        <f>IFERROR(VLOOKUP($C619,'SINAPI JULHO 2018'!$A:$D,4,0),IFERROR(VLOOKUP($C619,'5-COMP. PROPRIA'!$B$13:$I$518,8,0),""))</f>
        <v>61.12</v>
      </c>
      <c r="I619" s="440">
        <f>H619*'4-BDI'!$E$29</f>
        <v>78.380287999999993</v>
      </c>
      <c r="J619" s="63">
        <f t="shared" si="328"/>
        <v>968.14</v>
      </c>
      <c r="K619" s="190">
        <f t="shared" si="329"/>
        <v>1241.54</v>
      </c>
    </row>
    <row r="620" spans="2:11" ht="15">
      <c r="B620" s="314" t="s">
        <v>13238</v>
      </c>
      <c r="C620" s="96"/>
      <c r="D620" s="96"/>
      <c r="E620" s="96" t="str">
        <f>QUANT!E1798</f>
        <v>VIGAS DE AMARRAÇÃO</v>
      </c>
      <c r="F620" s="178"/>
      <c r="G620" s="146"/>
      <c r="H620" s="145"/>
      <c r="I620" s="219"/>
      <c r="J620" s="65"/>
      <c r="K620" s="191"/>
    </row>
    <row r="621" spans="2:11" ht="30">
      <c r="B621" s="13" t="s">
        <v>13239</v>
      </c>
      <c r="C621" s="435">
        <f>QUANT!C1800</f>
        <v>94965</v>
      </c>
      <c r="D621" s="435" t="str">
        <f>QUANT!D1800</f>
        <v>SINAPI</v>
      </c>
      <c r="E621" s="436" t="str">
        <f>IFERROR(VLOOKUP($C621,'SINAPI JULHO 2018'!$1:$1048576,2,0),IFERROR(VLOOKUP($C621,'5-COMP. PROPRIA'!$B$13:$I$518,4,0),""))</f>
        <v>CONCRETO FCK = 25MPA, TRAÇO 1:2,3:2,7 (CIMENTO/ AREIA MÉDIA/ BRITA 1)  - PREPARO MECÂNICO COM BETONEIRA 400 L. AF_07/2016</v>
      </c>
      <c r="F621" s="437" t="str">
        <f>IFERROR(VLOOKUP($C621,'SINAPI JULHO 2018'!$A:$D,3,0),IFERROR(VLOOKUP($C621,'5-COMP. PROPRIA'!$B$13:$I$518,5,0),""))</f>
        <v>M3</v>
      </c>
      <c r="G621" s="438">
        <f>QUANT!K1800</f>
        <v>0.84000000000000008</v>
      </c>
      <c r="H621" s="439">
        <f>IFERROR(VLOOKUP($C621,'SINAPI JULHO 2018'!$A:$D,4,0),IFERROR(VLOOKUP($C621,'5-COMP. PROPRIA'!$B$13:$I$518,8,0),""))</f>
        <v>323.45</v>
      </c>
      <c r="I621" s="440">
        <f>H621*'4-BDI'!$E$29</f>
        <v>414.79228000000001</v>
      </c>
      <c r="J621" s="63">
        <f t="shared" ref="J621" si="330">TRUNC(G621*H621,2)</f>
        <v>271.69</v>
      </c>
      <c r="K621" s="190">
        <f t="shared" ref="K621" si="331">TRUNC(G621*I621,2)</f>
        <v>348.42</v>
      </c>
    </row>
    <row r="622" spans="2:11" ht="15">
      <c r="B622" s="13" t="s">
        <v>13240</v>
      </c>
      <c r="C622" s="435" t="str">
        <f>QUANT!C1804</f>
        <v>74157/4</v>
      </c>
      <c r="D622" s="435" t="str">
        <f>QUANT!D1804</f>
        <v>SINAPI</v>
      </c>
      <c r="E622" s="436" t="str">
        <f>IFERROR(VLOOKUP($C622,'SINAPI JULHO 2018'!$1:$1048576,2,0),IFERROR(VLOOKUP($C622,'5-COMP. PROPRIA'!$B$13:$I$518,4,0),""))</f>
        <v>LANCAMENTO/APLICACAO MANUAL DE CONCRETO EM FUNDACOES</v>
      </c>
      <c r="F622" s="437" t="str">
        <f>IFERROR(VLOOKUP($C622,'SINAPI JULHO 2018'!$A:$D,3,0),IFERROR(VLOOKUP($C622,'5-COMP. PROPRIA'!$B$13:$I$518,5,0),""))</f>
        <v>M3</v>
      </c>
      <c r="G622" s="438">
        <f>QUANT!K1804</f>
        <v>0.84000000000000008</v>
      </c>
      <c r="H622" s="439">
        <f>IFERROR(VLOOKUP($C622,'SINAPI JULHO 2018'!$A:$D,4,0),IFERROR(VLOOKUP($C622,'5-COMP. PROPRIA'!$B$13:$I$518,8,0),""))</f>
        <v>93.76</v>
      </c>
      <c r="I622" s="440">
        <f>H622*'4-BDI'!$E$29</f>
        <v>120.237824</v>
      </c>
      <c r="J622" s="63">
        <f t="shared" ref="J622:J625" si="332">TRUNC(G622*H622,2)</f>
        <v>78.75</v>
      </c>
      <c r="K622" s="190">
        <f t="shared" ref="K622:K625" si="333">TRUNC(G622*I622,2)</f>
        <v>100.99</v>
      </c>
    </row>
    <row r="623" spans="2:11" ht="45">
      <c r="B623" s="13" t="s">
        <v>13241</v>
      </c>
      <c r="C623" s="435">
        <f>QUANT!C1806</f>
        <v>92775</v>
      </c>
      <c r="D623" s="435" t="str">
        <f>QUANT!D1806</f>
        <v>SINAPI</v>
      </c>
      <c r="E623" s="436" t="str">
        <f>IFERROR(VLOOKUP($C623,'SINAPI JULHO 2018'!$1:$1048576,2,0),IFERROR(VLOOKUP($C623,'5-COMP. PROPRIA'!$B$13:$I$518,4,0),""))</f>
        <v>ARMAÇÃO DE PILAR OU VIGA DE UMA ESTRUTURA CONVENCIONAL DE CONCRETO ARMADO EM UMA EDIFICAÇÃO TÉRREA OU SOBRADO UTILIZANDO AÇO CA-60 DE 5,0 MM - MONTAGEM. AF_12/2015</v>
      </c>
      <c r="F623" s="437" t="str">
        <f>IFERROR(VLOOKUP($C623,'SINAPI JULHO 2018'!$A:$D,3,0),IFERROR(VLOOKUP($C623,'5-COMP. PROPRIA'!$B$13:$I$518,5,0),""))</f>
        <v>KG</v>
      </c>
      <c r="G623" s="438">
        <f>QUANT!K1806</f>
        <v>15.200216666666671</v>
      </c>
      <c r="H623" s="439">
        <f>IFERROR(VLOOKUP($C623,'SINAPI JULHO 2018'!$A:$D,4,0),IFERROR(VLOOKUP($C623,'5-COMP. PROPRIA'!$B$13:$I$518,8,0),""))</f>
        <v>11.07</v>
      </c>
      <c r="I623" s="440">
        <f>H623*'4-BDI'!$E$29</f>
        <v>14.196168</v>
      </c>
      <c r="J623" s="63">
        <f t="shared" si="332"/>
        <v>168.26</v>
      </c>
      <c r="K623" s="190">
        <f t="shared" si="333"/>
        <v>215.78</v>
      </c>
    </row>
    <row r="624" spans="2:11" ht="45">
      <c r="B624" s="13" t="s">
        <v>13242</v>
      </c>
      <c r="C624" s="435">
        <f>QUANT!C1811</f>
        <v>92761</v>
      </c>
      <c r="D624" s="435" t="str">
        <f>QUANT!D1811</f>
        <v>SINAPI</v>
      </c>
      <c r="E624" s="436" t="str">
        <f>IFERROR(VLOOKUP($C624,'SINAPI JULHO 2018'!$1:$1048576,2,0),IFERROR(VLOOKUP($C624,'5-COMP. PROPRIA'!$B$13:$I$518,4,0),""))</f>
        <v>ARMAÇÃO DE PILAR OU VIGA DE UMA ESTRUTURA CONVENCIONAL DE CONCRETO ARMADO EM UM EDIFÍCIO DE MÚLTIPLOS PAVIMENTOS UTILIZANDO AÇO CA-50 DE 8,0 MM - MONTAGEM. AF_12/2015</v>
      </c>
      <c r="F624" s="437" t="str">
        <f>IFERROR(VLOOKUP($C624,'SINAPI JULHO 2018'!$A:$D,3,0),IFERROR(VLOOKUP($C624,'5-COMP. PROPRIA'!$B$13:$I$518,5,0),""))</f>
        <v>KG</v>
      </c>
      <c r="G624" s="438">
        <f>QUANT!K1811</f>
        <v>31.550720000000002</v>
      </c>
      <c r="H624" s="439">
        <f>IFERROR(VLOOKUP($C624,'SINAPI JULHO 2018'!$A:$D,4,0),IFERROR(VLOOKUP($C624,'5-COMP. PROPRIA'!$B$13:$I$518,8,0),""))</f>
        <v>8.0399999999999991</v>
      </c>
      <c r="I624" s="440">
        <f>H624*'4-BDI'!$E$29</f>
        <v>10.310495999999999</v>
      </c>
      <c r="J624" s="63">
        <f t="shared" si="332"/>
        <v>253.66</v>
      </c>
      <c r="K624" s="190">
        <f t="shared" si="333"/>
        <v>325.3</v>
      </c>
    </row>
    <row r="625" spans="2:11" ht="45">
      <c r="B625" s="13" t="s">
        <v>13243</v>
      </c>
      <c r="C625" s="435">
        <f>QUANT!C1816</f>
        <v>92412</v>
      </c>
      <c r="D625" s="435" t="str">
        <f>QUANT!D1816</f>
        <v>SINAPI</v>
      </c>
      <c r="E625" s="436" t="str">
        <f>IFERROR(VLOOKUP($C625,'SINAPI JULHO 2018'!$1:$1048576,2,0),IFERROR(VLOOKUP($C625,'5-COMP. PROPRIA'!$B$13:$I$518,4,0),""))</f>
        <v>MONTAGEM E DESMONTAGEM DE FÔRMA DE PILARES RETANGULARES E ESTRUTURAS SIMILARES COM ÁREA MÉDIA DAS SEÇÕES MENOR OU IGUAL A 0,25 M², PÉ-DIREITO SIMPLES, EM MADEIRA SERRADA, 4 UTILIZAÇÕES. AF_12/2015</v>
      </c>
      <c r="F625" s="437" t="str">
        <f>IFERROR(VLOOKUP($C625,'SINAPI JULHO 2018'!$A:$D,3,0),IFERROR(VLOOKUP($C625,'5-COMP. PROPRIA'!$B$13:$I$518,5,0),""))</f>
        <v>M2</v>
      </c>
      <c r="G625" s="438">
        <f>QUANT!K1816</f>
        <v>17.600000000000001</v>
      </c>
      <c r="H625" s="439">
        <f>IFERROR(VLOOKUP($C625,'SINAPI JULHO 2018'!$A:$D,4,0),IFERROR(VLOOKUP($C625,'5-COMP. PROPRIA'!$B$13:$I$518,8,0),""))</f>
        <v>61.12</v>
      </c>
      <c r="I625" s="440">
        <f>H625*'4-BDI'!$E$29</f>
        <v>78.380287999999993</v>
      </c>
      <c r="J625" s="63">
        <f t="shared" si="332"/>
        <v>1075.71</v>
      </c>
      <c r="K625" s="190">
        <f t="shared" si="333"/>
        <v>1379.49</v>
      </c>
    </row>
    <row r="626" spans="2:11" ht="15">
      <c r="B626" s="362" t="s">
        <v>13244</v>
      </c>
      <c r="C626" s="363"/>
      <c r="D626" s="363"/>
      <c r="E626" s="363" t="str">
        <f>QUANT!E1820</f>
        <v>ALVENARIA DE VEDAÇÃO E REVESTIMENTOS</v>
      </c>
      <c r="F626" s="364"/>
      <c r="G626" s="365"/>
      <c r="H626" s="366"/>
      <c r="I626" s="367"/>
      <c r="J626" s="368"/>
      <c r="K626" s="369"/>
    </row>
    <row r="627" spans="2:11" ht="60">
      <c r="B627" s="13" t="s">
        <v>13245</v>
      </c>
      <c r="C627" s="435">
        <f>QUANT!C1822</f>
        <v>89977</v>
      </c>
      <c r="D627" s="435" t="str">
        <f>QUANT!D1822</f>
        <v>SINAPI</v>
      </c>
      <c r="E627" s="436" t="str">
        <f>IFERROR(VLOOKUP($C627,'SINAPI JULHO 2018'!$1:$1048576,2,0),IFERROR(VLOOKUP($C627,'5-COMP. PROPRIA'!$B$13:$I$518,4,0),""))</f>
        <v>(COMPOSIÇÃO REPRESENTATIVA) DO SERVIÇO DE ALVENARIA DE VEDAÇÃO DE BLOCOS VAZADOS DE CERÂMICA DE 14X9X19CM (ESPESSURA 14CM, BLOCO DEITADO), PARA EDIFICAÇÃO HABITACIONAL UNIFAMILIAR (CASA) E EDIFICAÇÃO PÚBLICA PADRÃO. AF_12/2014</v>
      </c>
      <c r="F627" s="437" t="str">
        <f>IFERROR(VLOOKUP($C627,'SINAPI JULHO 2018'!$A:$D,3,0),IFERROR(VLOOKUP($C627,'5-COMP. PROPRIA'!$B$13:$I$518,5,0),""))</f>
        <v>M2</v>
      </c>
      <c r="G627" s="438">
        <f>QUANT!K1822</f>
        <v>76.949999999999989</v>
      </c>
      <c r="H627" s="439">
        <f>IFERROR(VLOOKUP($C627,'SINAPI JULHO 2018'!$A:$D,4,0),IFERROR(VLOOKUP($C627,'5-COMP. PROPRIA'!$B$13:$I$518,8,0),""))</f>
        <v>101.04</v>
      </c>
      <c r="I627" s="440">
        <f>H627*'4-BDI'!$E$29</f>
        <v>129.57369600000001</v>
      </c>
      <c r="J627" s="63">
        <f t="shared" ref="J627" si="334">TRUNC(G627*H627,2)</f>
        <v>7775.02</v>
      </c>
      <c r="K627" s="190">
        <f t="shared" ref="K627" si="335">TRUNC(G627*I627,2)</f>
        <v>9970.69</v>
      </c>
    </row>
    <row r="628" spans="2:11" ht="45">
      <c r="B628" s="13" t="s">
        <v>13246</v>
      </c>
      <c r="C628" s="435">
        <f>QUANT!C1824</f>
        <v>87894</v>
      </c>
      <c r="D628" s="435" t="str">
        <f>QUANT!D1824</f>
        <v>SINAPI</v>
      </c>
      <c r="E628" s="436" t="str">
        <f>IFERROR(VLOOKUP($C628,'SINAPI JULHO 2018'!$1:$1048576,2,0),IFERROR(VLOOKUP($C628,'5-COMP. PROPRIA'!$B$13:$I$518,4,0),""))</f>
        <v>CHAPISCO APLICADO EM ALVENARIA (SEM PRESENÇA DE VÃOS) E ESTRUTURAS DE CONCRETO DE FACHADA, COM COLHER DE PEDREIRO.  ARGAMASSA TRAÇO 1:3 COM PREPARO EM BETONEIRA 400L. AF_06/2014</v>
      </c>
      <c r="F628" s="437" t="str">
        <f>IFERROR(VLOOKUP($C628,'SINAPI JULHO 2018'!$A:$D,3,0),IFERROR(VLOOKUP($C628,'5-COMP. PROPRIA'!$B$13:$I$518,5,0),""))</f>
        <v>M2</v>
      </c>
      <c r="G628" s="438">
        <f>QUANT!K1824</f>
        <v>153.89999999999998</v>
      </c>
      <c r="H628" s="439">
        <f>IFERROR(VLOOKUP($C628,'SINAPI JULHO 2018'!$A:$D,4,0),IFERROR(VLOOKUP($C628,'5-COMP. PROPRIA'!$B$13:$I$518,8,0),""))</f>
        <v>4.41</v>
      </c>
      <c r="I628" s="440">
        <f>H628*'4-BDI'!$E$29</f>
        <v>5.6553839999999997</v>
      </c>
      <c r="J628" s="63">
        <f t="shared" ref="J628:J632" si="336">TRUNC(G628*H628,2)</f>
        <v>678.69</v>
      </c>
      <c r="K628" s="190">
        <f t="shared" ref="K628:K632" si="337">TRUNC(G628*I628,2)</f>
        <v>870.36</v>
      </c>
    </row>
    <row r="629" spans="2:11" ht="60">
      <c r="B629" s="13" t="s">
        <v>13247</v>
      </c>
      <c r="C629" s="435">
        <f>QUANT!C1826</f>
        <v>87529</v>
      </c>
      <c r="D629" s="435" t="str">
        <f>QUANT!D1826</f>
        <v>SINAPI</v>
      </c>
      <c r="E629" s="436" t="str">
        <f>IFERROR(VLOOKUP($C629,'SINAPI JULHO 2018'!$1:$1048576,2,0),IFERROR(VLOOKUP($C629,'5-COMP. PROPRIA'!$B$13:$I$518,4,0),""))</f>
        <v>MASSA ÚNICA, PARA RECEBIMENTO DE PINTURA, EM ARGAMASSA TRAÇO 1:2:8, PREPARO MECÂNICO COM BETONEIRA 400L, APLICADA MANUALMENTE EM FACES INTERNAS DE PAREDES, ESPESSURA DE 20MM, COM EXECUÇÃO DE TALISCAS. AF_06/2014</v>
      </c>
      <c r="F629" s="437" t="str">
        <f>IFERROR(VLOOKUP($C629,'SINAPI JULHO 2018'!$A:$D,3,0),IFERROR(VLOOKUP($C629,'5-COMP. PROPRIA'!$B$13:$I$518,5,0),""))</f>
        <v>M2</v>
      </c>
      <c r="G629" s="438">
        <f>QUANT!K1826</f>
        <v>153.89999999999998</v>
      </c>
      <c r="H629" s="439">
        <f>IFERROR(VLOOKUP($C629,'SINAPI JULHO 2018'!$A:$D,4,0),IFERROR(VLOOKUP($C629,'5-COMP. PROPRIA'!$B$13:$I$518,8,0),""))</f>
        <v>23.86</v>
      </c>
      <c r="I629" s="440">
        <f>H629*'4-BDI'!$E$29</f>
        <v>30.598063999999997</v>
      </c>
      <c r="J629" s="63">
        <f t="shared" si="336"/>
        <v>3672.05</v>
      </c>
      <c r="K629" s="190">
        <f t="shared" si="337"/>
        <v>4709.04</v>
      </c>
    </row>
    <row r="630" spans="2:11" ht="30">
      <c r="B630" s="13" t="s">
        <v>13248</v>
      </c>
      <c r="C630" s="435">
        <f>QUANT!C1828</f>
        <v>88483</v>
      </c>
      <c r="D630" s="435" t="str">
        <f>QUANT!D1828</f>
        <v>SINAPI</v>
      </c>
      <c r="E630" s="436" t="str">
        <f>IFERROR(VLOOKUP($C630,'SINAPI JULHO 2018'!$1:$1048576,2,0),IFERROR(VLOOKUP($C630,'5-COMP. PROPRIA'!$B$13:$I$518,4,0),""))</f>
        <v>APLICAÇÃO DE FUNDO SELADOR LÁTEX PVA EM PAREDES, UMA DEMÃO. AF_06/2014</v>
      </c>
      <c r="F630" s="437" t="str">
        <f>IFERROR(VLOOKUP($C630,'SINAPI JULHO 2018'!$A:$D,3,0),IFERROR(VLOOKUP($C630,'5-COMP. PROPRIA'!$B$13:$I$518,5,0),""))</f>
        <v>M2</v>
      </c>
      <c r="G630" s="438">
        <f>QUANT!K1828</f>
        <v>60</v>
      </c>
      <c r="H630" s="439">
        <f>IFERROR(VLOOKUP($C630,'SINAPI JULHO 2018'!$A:$D,4,0),IFERROR(VLOOKUP($C630,'5-COMP. PROPRIA'!$B$13:$I$518,8,0),""))</f>
        <v>1.98</v>
      </c>
      <c r="I630" s="440">
        <f>H630*'4-BDI'!$E$29</f>
        <v>2.5391520000000001</v>
      </c>
      <c r="J630" s="63">
        <f t="shared" si="336"/>
        <v>118.8</v>
      </c>
      <c r="K630" s="190">
        <f t="shared" si="337"/>
        <v>152.34</v>
      </c>
    </row>
    <row r="631" spans="2:11" ht="30">
      <c r="B631" s="13" t="s">
        <v>13249</v>
      </c>
      <c r="C631" s="435">
        <f>QUANT!C1830</f>
        <v>88487</v>
      </c>
      <c r="D631" s="435" t="str">
        <f>QUANT!D1830</f>
        <v>SINAPI</v>
      </c>
      <c r="E631" s="436" t="str">
        <f>IFERROR(VLOOKUP($C631,'SINAPI JULHO 2018'!$1:$1048576,2,0),IFERROR(VLOOKUP($C631,'5-COMP. PROPRIA'!$B$13:$I$518,4,0),""))</f>
        <v>APLICAÇÃO MANUAL DE PINTURA COM TINTA LÁTEX PVA EM PAREDES, DUAS DEMÃOS. AF_06/2014</v>
      </c>
      <c r="F631" s="437" t="str">
        <f>IFERROR(VLOOKUP($C631,'SINAPI JULHO 2018'!$A:$D,3,0),IFERROR(VLOOKUP($C631,'5-COMP. PROPRIA'!$B$13:$I$518,5,0),""))</f>
        <v>M2</v>
      </c>
      <c r="G631" s="438">
        <f>QUANT!K1830</f>
        <v>40</v>
      </c>
      <c r="H631" s="439">
        <f>IFERROR(VLOOKUP($C631,'SINAPI JULHO 2018'!$A:$D,4,0),IFERROR(VLOOKUP($C631,'5-COMP. PROPRIA'!$B$13:$I$518,8,0),""))</f>
        <v>7.66</v>
      </c>
      <c r="I631" s="440">
        <f>H631*'4-BDI'!$E$29</f>
        <v>9.8231839999999995</v>
      </c>
      <c r="J631" s="63">
        <f t="shared" si="336"/>
        <v>306.39999999999998</v>
      </c>
      <c r="K631" s="190">
        <f t="shared" si="337"/>
        <v>392.92</v>
      </c>
    </row>
    <row r="632" spans="2:11" ht="15">
      <c r="B632" s="13" t="s">
        <v>13250</v>
      </c>
      <c r="C632" s="435" t="str">
        <f>QUANT!C1832</f>
        <v>CP-PIN-02</v>
      </c>
      <c r="D632" s="435" t="str">
        <f>QUANT!D1832</f>
        <v>PRÓRPIA</v>
      </c>
      <c r="E632" s="436" t="str">
        <f>IFERROR(VLOOKUP($C632,'SINAPI JULHO 2018'!$1:$1048576,2,0),IFERROR(VLOOKUP($C632,'5-COMP. PROPRIA'!$B$13:$I$518,4,0),""))</f>
        <v xml:space="preserve">PINTURA COM TINTA ESMALTE SINTÉTICO </v>
      </c>
      <c r="F632" s="437" t="str">
        <f>IFERROR(VLOOKUP($C632,'SINAPI JULHO 2018'!$A:$D,3,0),IFERROR(VLOOKUP($C632,'5-COMP. PROPRIA'!$B$13:$I$518,5,0),""))</f>
        <v>M2</v>
      </c>
      <c r="G632" s="438">
        <f>QUANT!K1832</f>
        <v>24</v>
      </c>
      <c r="H632" s="439">
        <f>IFERROR(VLOOKUP($C632,'SINAPI JULHO 2018'!$A:$D,4,0),IFERROR(VLOOKUP($C632,'5-COMP. PROPRIA'!$B$13:$I$518,8,0),""))</f>
        <v>10.93</v>
      </c>
      <c r="I632" s="440">
        <f>H632*'4-BDI'!$E$29</f>
        <v>14.016632</v>
      </c>
      <c r="J632" s="63">
        <f t="shared" si="336"/>
        <v>262.32</v>
      </c>
      <c r="K632" s="190">
        <f t="shared" si="337"/>
        <v>336.39</v>
      </c>
    </row>
    <row r="633" spans="2:11" ht="30">
      <c r="B633" s="13" t="s">
        <v>13251</v>
      </c>
      <c r="C633" s="435">
        <f>QUANT!C1834</f>
        <v>88485</v>
      </c>
      <c r="D633" s="435" t="str">
        <f>QUANT!D1834</f>
        <v>SINAPI</v>
      </c>
      <c r="E633" s="436" t="str">
        <f>IFERROR(VLOOKUP($C633,'SINAPI JULHO 2018'!$1:$1048576,2,0),IFERROR(VLOOKUP($C633,'5-COMP. PROPRIA'!$B$13:$I$518,4,0),""))</f>
        <v>APLICAÇÃO DE FUNDO SELADOR ACRÍLICO EM PAREDES, UMA DEMÃO. AF_06/2014</v>
      </c>
      <c r="F633" s="437" t="str">
        <f>IFERROR(VLOOKUP($C633,'SINAPI JULHO 2018'!$A:$D,3,0),IFERROR(VLOOKUP($C633,'5-COMP. PROPRIA'!$B$13:$I$518,5,0),""))</f>
        <v>M2</v>
      </c>
      <c r="G633" s="438">
        <f>QUANT!K1834</f>
        <v>60</v>
      </c>
      <c r="H633" s="439">
        <f>IFERROR(VLOOKUP($C633,'SINAPI JULHO 2018'!$A:$D,4,0),IFERROR(VLOOKUP($C633,'5-COMP. PROPRIA'!$B$13:$I$518,8,0),""))</f>
        <v>1.6</v>
      </c>
      <c r="I633" s="440">
        <f>H633*'4-BDI'!$E$29</f>
        <v>2.0518399999999999</v>
      </c>
      <c r="J633" s="63">
        <f t="shared" ref="J633:J635" si="338">TRUNC(G633*H633,2)</f>
        <v>96</v>
      </c>
      <c r="K633" s="190">
        <f t="shared" ref="K633:K635" si="339">TRUNC(G633*I633,2)</f>
        <v>123.11</v>
      </c>
    </row>
    <row r="634" spans="2:11" ht="30">
      <c r="B634" s="13" t="s">
        <v>13252</v>
      </c>
      <c r="C634" s="435">
        <f>QUANT!C1836</f>
        <v>88489</v>
      </c>
      <c r="D634" s="435" t="str">
        <f>QUANT!D1836</f>
        <v>SINAPI</v>
      </c>
      <c r="E634" s="436" t="str">
        <f>IFERROR(VLOOKUP($C634,'SINAPI JULHO 2018'!$1:$1048576,2,0),IFERROR(VLOOKUP($C634,'5-COMP. PROPRIA'!$B$13:$I$518,4,0),""))</f>
        <v>APLICAÇÃO MANUAL DE PINTURA COM TINTA LÁTEX ACRÍLICA EM PAREDES, DUAS DEMÃOS. AF_06/2014</v>
      </c>
      <c r="F634" s="437" t="str">
        <f>IFERROR(VLOOKUP($C634,'SINAPI JULHO 2018'!$A:$D,3,0),IFERROR(VLOOKUP($C634,'5-COMP. PROPRIA'!$B$13:$I$518,5,0),""))</f>
        <v>M2</v>
      </c>
      <c r="G634" s="438">
        <f>QUANT!K1836</f>
        <v>40</v>
      </c>
      <c r="H634" s="439">
        <f>IFERROR(VLOOKUP($C634,'SINAPI JULHO 2018'!$A:$D,4,0),IFERROR(VLOOKUP($C634,'5-COMP. PROPRIA'!$B$13:$I$518,8,0),""))</f>
        <v>9.69</v>
      </c>
      <c r="I634" s="440">
        <f>H634*'4-BDI'!$E$29</f>
        <v>12.426456</v>
      </c>
      <c r="J634" s="63">
        <f t="shared" si="338"/>
        <v>387.6</v>
      </c>
      <c r="K634" s="190">
        <f t="shared" si="339"/>
        <v>497.05</v>
      </c>
    </row>
    <row r="635" spans="2:11" ht="15">
      <c r="B635" s="13" t="s">
        <v>13253</v>
      </c>
      <c r="C635" s="435" t="str">
        <f>QUANT!C1838</f>
        <v>CP-PIN-02</v>
      </c>
      <c r="D635" s="435" t="str">
        <f>QUANT!D1838</f>
        <v>PRÓRPIA</v>
      </c>
      <c r="E635" s="436" t="str">
        <f>IFERROR(VLOOKUP($C635,'SINAPI JULHO 2018'!$1:$1048576,2,0),IFERROR(VLOOKUP($C635,'5-COMP. PROPRIA'!$B$13:$I$518,4,0),""))</f>
        <v xml:space="preserve">PINTURA COM TINTA ESMALTE SINTÉTICO </v>
      </c>
      <c r="F635" s="437" t="str">
        <f>IFERROR(VLOOKUP($C635,'SINAPI JULHO 2018'!$A:$D,3,0),IFERROR(VLOOKUP($C635,'5-COMP. PROPRIA'!$B$13:$I$518,5,0),""))</f>
        <v>M2</v>
      </c>
      <c r="G635" s="438">
        <f>QUANT!K1838</f>
        <v>24</v>
      </c>
      <c r="H635" s="439">
        <f>IFERROR(VLOOKUP($C635,'SINAPI JULHO 2018'!$A:$D,4,0),IFERROR(VLOOKUP($C635,'5-COMP. PROPRIA'!$B$13:$I$518,8,0),""))</f>
        <v>10.93</v>
      </c>
      <c r="I635" s="440">
        <f>H635*'4-BDI'!$E$29</f>
        <v>14.016632</v>
      </c>
      <c r="J635" s="63">
        <f t="shared" si="338"/>
        <v>262.32</v>
      </c>
      <c r="K635" s="190">
        <f t="shared" si="339"/>
        <v>336.39</v>
      </c>
    </row>
    <row r="636" spans="2:11" ht="15">
      <c r="B636" s="362" t="s">
        <v>13254</v>
      </c>
      <c r="C636" s="363"/>
      <c r="D636" s="363"/>
      <c r="E636" s="363" t="str">
        <f>QUANT!E1840</f>
        <v>ESQUADRIAS</v>
      </c>
      <c r="F636" s="364"/>
      <c r="G636" s="365"/>
      <c r="H636" s="366"/>
      <c r="I636" s="367"/>
      <c r="J636" s="368"/>
      <c r="K636" s="369"/>
    </row>
    <row r="637" spans="2:11" ht="30">
      <c r="B637" s="13" t="s">
        <v>13255</v>
      </c>
      <c r="C637" s="435">
        <f>QUANT!C1842</f>
        <v>91341</v>
      </c>
      <c r="D637" s="435" t="str">
        <f>QUANT!D1842</f>
        <v>SINAPI</v>
      </c>
      <c r="E637" s="436" t="str">
        <f>IFERROR(VLOOKUP($C637,'SINAPI JULHO 2018'!$1:$1048576,2,0),IFERROR(VLOOKUP($C637,'5-COMP. PROPRIA'!$B$13:$I$518,4,0),""))</f>
        <v>PORTA EM ALUMÍNIO DE ABRIR TIPO VENEZIANA COM GUARNIÇÃO, FIXAÇÃO COM PARAFUSOS - FORNECIMENTO E INSTALAÇÃO. AF_08/2015</v>
      </c>
      <c r="F637" s="437" t="str">
        <f>IFERROR(VLOOKUP($C637,'SINAPI JULHO 2018'!$A:$D,3,0),IFERROR(VLOOKUP($C637,'5-COMP. PROPRIA'!$B$13:$I$518,5,0),""))</f>
        <v>M2</v>
      </c>
      <c r="G637" s="438">
        <f>QUANT!K1842</f>
        <v>7.8900000000000006</v>
      </c>
      <c r="H637" s="439">
        <f>IFERROR(VLOOKUP($C637,'SINAPI JULHO 2018'!$A:$D,4,0),IFERROR(VLOOKUP($C637,'5-COMP. PROPRIA'!$B$13:$I$518,8,0),""))</f>
        <v>654.62</v>
      </c>
      <c r="I637" s="440">
        <f>H637*'4-BDI'!$E$29</f>
        <v>839.48468800000001</v>
      </c>
      <c r="J637" s="63">
        <f t="shared" ref="J637" si="340">TRUNC(G637*H637,2)</f>
        <v>5164.95</v>
      </c>
      <c r="K637" s="190">
        <f t="shared" ref="K637" si="341">TRUNC(G637*I637,2)</f>
        <v>6623.53</v>
      </c>
    </row>
    <row r="638" spans="2:11" ht="30">
      <c r="B638" s="13" t="s">
        <v>13256</v>
      </c>
      <c r="C638" s="435">
        <f>QUANT!C1844</f>
        <v>94575</v>
      </c>
      <c r="D638" s="435" t="str">
        <f>QUANT!D1844</f>
        <v>SINAPI</v>
      </c>
      <c r="E638" s="436" t="str">
        <f>IFERROR(VLOOKUP($C638,'SINAPI JULHO 2018'!$1:$1048576,2,0),IFERROR(VLOOKUP($C638,'5-COMP. PROPRIA'!$B$13:$I$518,4,0),""))</f>
        <v>JANELA DE ALUMÍNIO MAXIM-AR, FIXAÇÃO COM PARAFUSO, VEDAÇÃO COM ESPUMA EXPANSIVA PU, COM VIDROS, PADRONIZADA. AF_07/2016</v>
      </c>
      <c r="F638" s="437" t="str">
        <f>IFERROR(VLOOKUP($C638,'SINAPI JULHO 2018'!$A:$D,3,0),IFERROR(VLOOKUP($C638,'5-COMP. PROPRIA'!$B$13:$I$518,5,0),""))</f>
        <v>M2</v>
      </c>
      <c r="G638" s="438">
        <f>QUANT!K1844</f>
        <v>2.6999999999999997</v>
      </c>
      <c r="H638" s="439">
        <f>IFERROR(VLOOKUP($C638,'SINAPI JULHO 2018'!$A:$D,4,0),IFERROR(VLOOKUP($C638,'5-COMP. PROPRIA'!$B$13:$I$518,8,0),""))</f>
        <v>680.31</v>
      </c>
      <c r="I638" s="440">
        <f>H638*'4-BDI'!$E$29</f>
        <v>872.42954399999996</v>
      </c>
      <c r="J638" s="63">
        <f t="shared" ref="J638:J640" si="342">TRUNC(G638*H638,2)</f>
        <v>1836.83</v>
      </c>
      <c r="K638" s="190">
        <f t="shared" ref="K638:K640" si="343">TRUNC(G638*I638,2)</f>
        <v>2355.5500000000002</v>
      </c>
    </row>
    <row r="639" spans="2:11" ht="15">
      <c r="B639" s="13" t="s">
        <v>13257</v>
      </c>
      <c r="C639" s="435" t="str">
        <f>QUANT!C1846</f>
        <v>CP-LIX-02</v>
      </c>
      <c r="D639" s="435" t="str">
        <f>QUANT!D1846</f>
        <v>PRÓRPIA</v>
      </c>
      <c r="E639" s="436" t="str">
        <f>IFERROR(VLOOKUP($C639,'SINAPI JULHO 2018'!$1:$1048576,2,0),IFERROR(VLOOKUP($C639,'5-COMP. PROPRIA'!$B$13:$I$518,4,0),""))</f>
        <v xml:space="preserve">LIXAMENTO DE SUPERFICIE METÁLICA </v>
      </c>
      <c r="F639" s="437" t="str">
        <f>IFERROR(VLOOKUP($C639,'SINAPI JULHO 2018'!$A:$D,3,0),IFERROR(VLOOKUP($C639,'5-COMP. PROPRIA'!$B$13:$I$518,5,0),""))</f>
        <v>M2</v>
      </c>
      <c r="G639" s="438">
        <f>QUANT!K1846</f>
        <v>21.18</v>
      </c>
      <c r="H639" s="439">
        <f>IFERROR(VLOOKUP($C639,'SINAPI JULHO 2018'!$A:$D,4,0),IFERROR(VLOOKUP($C639,'5-COMP. PROPRIA'!$B$13:$I$518,8,0),""))</f>
        <v>4.66</v>
      </c>
      <c r="I639" s="440">
        <f>H639*'4-BDI'!$E$29</f>
        <v>5.9759840000000004</v>
      </c>
      <c r="J639" s="63">
        <f t="shared" si="342"/>
        <v>98.69</v>
      </c>
      <c r="K639" s="190">
        <f t="shared" si="343"/>
        <v>126.57</v>
      </c>
    </row>
    <row r="640" spans="2:11" ht="15">
      <c r="B640" s="13" t="s">
        <v>13258</v>
      </c>
      <c r="C640" s="435" t="str">
        <f>QUANT!C1848</f>
        <v>73924/1</v>
      </c>
      <c r="D640" s="435" t="str">
        <f>QUANT!D1848</f>
        <v>SINAPI</v>
      </c>
      <c r="E640" s="436" t="str">
        <f>IFERROR(VLOOKUP($C640,'SINAPI JULHO 2018'!$1:$1048576,2,0),IFERROR(VLOOKUP($C640,'5-COMP. PROPRIA'!$B$13:$I$518,4,0),""))</f>
        <v>PINTURA ESMALTE ALTO BRILHO, DUAS DEMAOS, SOBRE SUPERFICIE METALICA</v>
      </c>
      <c r="F640" s="437" t="str">
        <f>IFERROR(VLOOKUP($C640,'SINAPI JULHO 2018'!$A:$D,3,0),IFERROR(VLOOKUP($C640,'5-COMP. PROPRIA'!$B$13:$I$518,5,0),""))</f>
        <v>M2</v>
      </c>
      <c r="G640" s="438">
        <f>QUANT!K1848</f>
        <v>21.18</v>
      </c>
      <c r="H640" s="439">
        <f>IFERROR(VLOOKUP($C640,'SINAPI JULHO 2018'!$A:$D,4,0),IFERROR(VLOOKUP($C640,'5-COMP. PROPRIA'!$B$13:$I$518,8,0),""))</f>
        <v>21.24</v>
      </c>
      <c r="I640" s="440">
        <f>H640*'4-BDI'!$E$29</f>
        <v>27.238175999999999</v>
      </c>
      <c r="J640" s="63">
        <f t="shared" si="342"/>
        <v>449.86</v>
      </c>
      <c r="K640" s="190">
        <f t="shared" si="343"/>
        <v>576.9</v>
      </c>
    </row>
    <row r="641" spans="2:11" ht="15">
      <c r="B641" s="362" t="s">
        <v>13259</v>
      </c>
      <c r="C641" s="363"/>
      <c r="D641" s="363"/>
      <c r="E641" s="363" t="str">
        <f>QUANT!E1850</f>
        <v>PISO</v>
      </c>
      <c r="F641" s="364"/>
      <c r="G641" s="365"/>
      <c r="H641" s="366"/>
      <c r="I641" s="367"/>
      <c r="J641" s="368"/>
      <c r="K641" s="369"/>
    </row>
    <row r="642" spans="2:11" ht="15">
      <c r="B642" s="13" t="s">
        <v>13260</v>
      </c>
      <c r="C642" s="435" t="str">
        <f>QUANT!C1852</f>
        <v>73859/2</v>
      </c>
      <c r="D642" s="435" t="str">
        <f>QUANT!D1852</f>
        <v>SINAPI</v>
      </c>
      <c r="E642" s="436" t="str">
        <f>IFERROR(VLOOKUP($C642,'SINAPI JULHO 2018'!$1:$1048576,2,0),IFERROR(VLOOKUP($C642,'5-COMP. PROPRIA'!$B$13:$I$518,4,0),""))</f>
        <v>CAPINA E LIMPEZA MANUAL DE TERRENO</v>
      </c>
      <c r="F642" s="437" t="str">
        <f>IFERROR(VLOOKUP($C642,'SINAPI JULHO 2018'!$A:$D,3,0),IFERROR(VLOOKUP($C642,'5-COMP. PROPRIA'!$B$13:$I$518,5,0),""))</f>
        <v>M2</v>
      </c>
      <c r="G642" s="438">
        <f>QUANT!K1852</f>
        <v>24.35</v>
      </c>
      <c r="H642" s="439">
        <f>IFERROR(VLOOKUP($C642,'SINAPI JULHO 2018'!$A:$D,4,0),IFERROR(VLOOKUP($C642,'5-COMP. PROPRIA'!$B$13:$I$518,8,0),""))</f>
        <v>1.1399999999999999</v>
      </c>
      <c r="I642" s="440">
        <f>H642*'4-BDI'!$E$29</f>
        <v>1.4619359999999999</v>
      </c>
      <c r="J642" s="63">
        <f t="shared" ref="J642" si="344">TRUNC(G642*H642,2)</f>
        <v>27.75</v>
      </c>
      <c r="K642" s="190">
        <f t="shared" ref="K642" si="345">TRUNC(G642*I642,2)</f>
        <v>35.590000000000003</v>
      </c>
    </row>
    <row r="643" spans="2:11" ht="15">
      <c r="B643" s="13" t="s">
        <v>13261</v>
      </c>
      <c r="C643" s="435" t="str">
        <f>QUANT!C1854</f>
        <v>CP-TRP-01</v>
      </c>
      <c r="D643" s="435" t="str">
        <f>QUANT!D1854</f>
        <v>PRÓRPIA</v>
      </c>
      <c r="E643" s="436" t="str">
        <f>IFERROR(VLOOKUP($C643,'SINAPI JULHO 2018'!$1:$1048576,2,0),IFERROR(VLOOKUP($C643,'5-COMP. PROPRIA'!$B$13:$I$518,4,0),""))</f>
        <v>AQUISIÇÃO DE CARGA E TRANSPORTE DE SOLO PARA ATERRO</v>
      </c>
      <c r="F643" s="437" t="str">
        <f>IFERROR(VLOOKUP($C643,'SINAPI JULHO 2018'!$A:$D,3,0),IFERROR(VLOOKUP($C643,'5-COMP. PROPRIA'!$B$13:$I$518,5,0),""))</f>
        <v xml:space="preserve">M3    </v>
      </c>
      <c r="G643" s="438">
        <f>QUANT!K1854</f>
        <v>2.4350000000000005</v>
      </c>
      <c r="H643" s="439">
        <f>IFERROR(VLOOKUP($C643,'SINAPI JULHO 2018'!$A:$D,4,0),IFERROR(VLOOKUP($C643,'5-COMP. PROPRIA'!$B$13:$I$518,8,0),""))</f>
        <v>88.86</v>
      </c>
      <c r="I643" s="440">
        <f>H643*'4-BDI'!$E$29</f>
        <v>113.954064</v>
      </c>
      <c r="J643" s="63">
        <f t="shared" ref="J643:J649" si="346">TRUNC(G643*H643,2)</f>
        <v>216.37</v>
      </c>
      <c r="K643" s="190">
        <f t="shared" ref="K643:K649" si="347">TRUNC(G643*I643,2)</f>
        <v>277.47000000000003</v>
      </c>
    </row>
    <row r="644" spans="2:11" ht="30">
      <c r="B644" s="13" t="s">
        <v>13262</v>
      </c>
      <c r="C644" s="435">
        <f>QUANT!C1856</f>
        <v>96385</v>
      </c>
      <c r="D644" s="435" t="str">
        <f>QUANT!D1856</f>
        <v>SINAPI</v>
      </c>
      <c r="E644" s="436" t="str">
        <f>IFERROR(VLOOKUP($C644,'SINAPI JULHO 2018'!$1:$1048576,2,0),IFERROR(VLOOKUP($C644,'5-COMP. PROPRIA'!$B$13:$I$518,4,0),""))</f>
        <v>EXECUÇÃO E COMPACTAÇÃO DE ATERRO COM SOLO PREDOMINANTEMENTE ARGILOSO - EXCLUSIVE ESCAVAÇÃO, CARGA E TRANSPORTE E SOLO. AF_09/2017</v>
      </c>
      <c r="F644" s="437" t="str">
        <f>IFERROR(VLOOKUP($C644,'SINAPI JULHO 2018'!$A:$D,3,0),IFERROR(VLOOKUP($C644,'5-COMP. PROPRIA'!$B$13:$I$518,5,0),""))</f>
        <v>M3</v>
      </c>
      <c r="G644" s="438">
        <f>QUANT!K1856</f>
        <v>2.4350000000000005</v>
      </c>
      <c r="H644" s="439">
        <f>IFERROR(VLOOKUP($C644,'SINAPI JULHO 2018'!$A:$D,4,0),IFERROR(VLOOKUP($C644,'5-COMP. PROPRIA'!$B$13:$I$518,8,0),""))</f>
        <v>4.8499999999999996</v>
      </c>
      <c r="I644" s="440">
        <f>H644*'4-BDI'!$E$29</f>
        <v>6.2196399999999992</v>
      </c>
      <c r="J644" s="63">
        <f t="shared" si="346"/>
        <v>11.8</v>
      </c>
      <c r="K644" s="190">
        <f t="shared" si="347"/>
        <v>15.14</v>
      </c>
    </row>
    <row r="645" spans="2:11" ht="30">
      <c r="B645" s="13" t="s">
        <v>13263</v>
      </c>
      <c r="C645" s="435">
        <f>QUANT!C1858</f>
        <v>95241</v>
      </c>
      <c r="D645" s="435" t="str">
        <f>QUANT!D1858</f>
        <v>SINAPI</v>
      </c>
      <c r="E645" s="436" t="str">
        <f>IFERROR(VLOOKUP($C645,'SINAPI JULHO 2018'!$1:$1048576,2,0),IFERROR(VLOOKUP($C645,'5-COMP. PROPRIA'!$B$13:$I$518,4,0),""))</f>
        <v>LASTRO DE CONCRETO MAGRO, APLICADO EM PISOS OU RADIERS, ESPESSURA DE 5 CM. AF_07/2016</v>
      </c>
      <c r="F645" s="437" t="str">
        <f>IFERROR(VLOOKUP($C645,'SINAPI JULHO 2018'!$A:$D,3,0),IFERROR(VLOOKUP($C645,'5-COMP. PROPRIA'!$B$13:$I$518,5,0),""))</f>
        <v>M2</v>
      </c>
      <c r="G645" s="438">
        <f>QUANT!K1858</f>
        <v>21.4</v>
      </c>
      <c r="H645" s="439">
        <f>IFERROR(VLOOKUP($C645,'SINAPI JULHO 2018'!$A:$D,4,0),IFERROR(VLOOKUP($C645,'5-COMP. PROPRIA'!$B$13:$I$518,8,0),""))</f>
        <v>20.02</v>
      </c>
      <c r="I645" s="440">
        <f>H645*'4-BDI'!$E$29</f>
        <v>25.673648</v>
      </c>
      <c r="J645" s="63">
        <f t="shared" si="346"/>
        <v>428.42</v>
      </c>
      <c r="K645" s="190">
        <f t="shared" si="347"/>
        <v>549.41</v>
      </c>
    </row>
    <row r="646" spans="2:11" ht="45">
      <c r="B646" s="13" t="s">
        <v>13264</v>
      </c>
      <c r="C646" s="435">
        <f>QUANT!C1860</f>
        <v>87620</v>
      </c>
      <c r="D646" s="435" t="str">
        <f>QUANT!D1860</f>
        <v>SINAPI</v>
      </c>
      <c r="E646" s="436" t="str">
        <f>IFERROR(VLOOKUP($C646,'SINAPI JULHO 2018'!$1:$1048576,2,0),IFERROR(VLOOKUP($C646,'5-COMP. PROPRIA'!$B$13:$I$518,4,0),""))</f>
        <v>CONTRAPISO EM ARGAMASSA TRAÇO 1:4 (CIMENTO E AREIA), PREPARO MECÂNICO COM BETONEIRA 400 L, APLICADO EM ÁREAS SECAS SOBRE LAJE, ADERIDO, ESPESSURA 2CM. AF_06/2014</v>
      </c>
      <c r="F646" s="437" t="str">
        <f>IFERROR(VLOOKUP($C646,'SINAPI JULHO 2018'!$A:$D,3,0),IFERROR(VLOOKUP($C646,'5-COMP. PROPRIA'!$B$13:$I$518,5,0),""))</f>
        <v>M2</v>
      </c>
      <c r="G646" s="438">
        <f>QUANT!K1860</f>
        <v>21.4</v>
      </c>
      <c r="H646" s="439">
        <f>IFERROR(VLOOKUP($C646,'SINAPI JULHO 2018'!$A:$D,4,0),IFERROR(VLOOKUP($C646,'5-COMP. PROPRIA'!$B$13:$I$518,8,0),""))</f>
        <v>24.83</v>
      </c>
      <c r="I646" s="440">
        <f>H646*'4-BDI'!$E$29</f>
        <v>31.841991999999998</v>
      </c>
      <c r="J646" s="63">
        <f t="shared" si="346"/>
        <v>531.36</v>
      </c>
      <c r="K646" s="190">
        <f t="shared" si="347"/>
        <v>681.41</v>
      </c>
    </row>
    <row r="647" spans="2:11" ht="30">
      <c r="B647" s="13" t="s">
        <v>13265</v>
      </c>
      <c r="C647" s="435">
        <f>QUANT!C1862</f>
        <v>84191</v>
      </c>
      <c r="D647" s="435" t="str">
        <f>QUANT!D1862</f>
        <v>SINAPI</v>
      </c>
      <c r="E647" s="436" t="str">
        <f>IFERROR(VLOOKUP($C647,'SINAPI JULHO 2018'!$1:$1048576,2,0),IFERROR(VLOOKUP($C647,'5-COMP. PROPRIA'!$B$13:$I$518,4,0),""))</f>
        <v>PISO EM GRANILITE, MARMORITE OU GRANITINA ESPESSURA 8 MM, INCLUSO JUNTAS DE DILATACAO PLASTICAS</v>
      </c>
      <c r="F647" s="437" t="str">
        <f>IFERROR(VLOOKUP($C647,'SINAPI JULHO 2018'!$A:$D,3,0),IFERROR(VLOOKUP($C647,'5-COMP. PROPRIA'!$B$13:$I$518,5,0),""))</f>
        <v>M2</v>
      </c>
      <c r="G647" s="438">
        <f>QUANT!K1862</f>
        <v>21.4</v>
      </c>
      <c r="H647" s="439">
        <f>IFERROR(VLOOKUP($C647,'SINAPI JULHO 2018'!$A:$D,4,0),IFERROR(VLOOKUP($C647,'5-COMP. PROPRIA'!$B$13:$I$518,8,0),""))</f>
        <v>95.34</v>
      </c>
      <c r="I647" s="440">
        <f>H647*'4-BDI'!$E$29</f>
        <v>122.264016</v>
      </c>
      <c r="J647" s="63">
        <f t="shared" si="346"/>
        <v>2040.27</v>
      </c>
      <c r="K647" s="190">
        <f t="shared" si="347"/>
        <v>2616.44</v>
      </c>
    </row>
    <row r="648" spans="2:11" ht="30">
      <c r="B648" s="13" t="s">
        <v>13266</v>
      </c>
      <c r="C648" s="435" t="str">
        <f>QUANT!C1864</f>
        <v>73872/1</v>
      </c>
      <c r="D648" s="435" t="str">
        <f>QUANT!D1864</f>
        <v>SINAPI</v>
      </c>
      <c r="E648" s="436" t="str">
        <f>IFERROR(VLOOKUP($C648,'SINAPI JULHO 2018'!$1:$1048576,2,0),IFERROR(VLOOKUP($C648,'5-COMP. PROPRIA'!$B$13:$I$518,4,0),""))</f>
        <v>IMPERMEABILIZACAO COM PINTURA A BASE DE RESINA EPOXI ALCATRAO, UMA DEMAO.</v>
      </c>
      <c r="F648" s="437" t="str">
        <f>IFERROR(VLOOKUP($C648,'SINAPI JULHO 2018'!$A:$D,3,0),IFERROR(VLOOKUP($C648,'5-COMP. PROPRIA'!$B$13:$I$518,5,0),""))</f>
        <v>M2</v>
      </c>
      <c r="G648" s="438">
        <f>QUANT!K1864</f>
        <v>21.4</v>
      </c>
      <c r="H648" s="439">
        <f>IFERROR(VLOOKUP($C648,'SINAPI JULHO 2018'!$A:$D,4,0),IFERROR(VLOOKUP($C648,'5-COMP. PROPRIA'!$B$13:$I$518,8,0),""))</f>
        <v>26</v>
      </c>
      <c r="I648" s="440">
        <f>H648*'4-BDI'!$E$29</f>
        <v>33.342399999999998</v>
      </c>
      <c r="J648" s="63">
        <f t="shared" si="346"/>
        <v>556.4</v>
      </c>
      <c r="K648" s="190">
        <f t="shared" si="347"/>
        <v>713.52</v>
      </c>
    </row>
    <row r="649" spans="2:11" ht="15">
      <c r="B649" s="13" t="s">
        <v>13267</v>
      </c>
      <c r="C649" s="435" t="str">
        <f>QUANT!C1866</f>
        <v>73850/1</v>
      </c>
      <c r="D649" s="435" t="str">
        <f>QUANT!D1866</f>
        <v>SINAPI</v>
      </c>
      <c r="E649" s="436" t="str">
        <f>IFERROR(VLOOKUP($C649,'SINAPI JULHO 2018'!$1:$1048576,2,0),IFERROR(VLOOKUP($C649,'5-COMP. PROPRIA'!$B$13:$I$518,4,0),""))</f>
        <v>RODAPE EM MARMORITE, ALTURA 10CM</v>
      </c>
      <c r="F649" s="437" t="str">
        <f>IFERROR(VLOOKUP($C649,'SINAPI JULHO 2018'!$A:$D,3,0),IFERROR(VLOOKUP($C649,'5-COMP. PROPRIA'!$B$13:$I$518,5,0),""))</f>
        <v>M</v>
      </c>
      <c r="G649" s="438">
        <f>QUANT!K1866</f>
        <v>27</v>
      </c>
      <c r="H649" s="439">
        <f>IFERROR(VLOOKUP($C649,'SINAPI JULHO 2018'!$A:$D,4,0),IFERROR(VLOOKUP($C649,'5-COMP. PROPRIA'!$B$13:$I$518,8,0),""))</f>
        <v>22.15</v>
      </c>
      <c r="I649" s="440">
        <f>H649*'4-BDI'!$E$29</f>
        <v>28.405159999999999</v>
      </c>
      <c r="J649" s="63">
        <f t="shared" si="346"/>
        <v>598.04999999999995</v>
      </c>
      <c r="K649" s="190">
        <f t="shared" si="347"/>
        <v>766.93</v>
      </c>
    </row>
    <row r="650" spans="2:11" ht="15">
      <c r="B650" s="362" t="s">
        <v>13268</v>
      </c>
      <c r="C650" s="363"/>
      <c r="D650" s="363"/>
      <c r="E650" s="363" t="str">
        <f>QUANT!E1868</f>
        <v>COBERTURA</v>
      </c>
      <c r="F650" s="364"/>
      <c r="G650" s="365"/>
      <c r="H650" s="366"/>
      <c r="I650" s="367"/>
      <c r="J650" s="368"/>
      <c r="K650" s="369"/>
    </row>
    <row r="651" spans="2:11" ht="60">
      <c r="B651" s="13" t="s">
        <v>13269</v>
      </c>
      <c r="C651" s="435">
        <f>QUANT!C1870</f>
        <v>72110</v>
      </c>
      <c r="D651" s="435" t="str">
        <f>QUANT!D1870</f>
        <v>SINAPI</v>
      </c>
      <c r="E651" s="436" t="str">
        <f>IFERROR(VLOOKUP($C651,'SINAPI JULHO 2018'!$1:$1048576,2,0),IFERROR(VLOOKUP($C651,'5-COMP. PROPRIA'!$B$13:$I$518,4,0),""))</f>
        <v>ESTRUTURA METALICA EM TESOURAS OU TRELICAS, VAO LIVRE DE 12M, FORNECIMENTO E MONTAGEM, NAO SENDO CONSIDERADOS OS FECHAMENTOS METALICOS, AS COLUNAS, OS SERVICOS GERAIS EM ALVENARIA E CONCRETO, AS TELHAS DE COBERTURA E A PINTURA DE ACABAMENTO</v>
      </c>
      <c r="F651" s="437" t="str">
        <f>IFERROR(VLOOKUP($C651,'SINAPI JULHO 2018'!$A:$D,3,0),IFERROR(VLOOKUP($C651,'5-COMP. PROPRIA'!$B$13:$I$518,5,0),""))</f>
        <v>M2</v>
      </c>
      <c r="G651" s="438">
        <f>QUANT!K1870</f>
        <v>30.16</v>
      </c>
      <c r="H651" s="439">
        <f>IFERROR(VLOOKUP($C651,'SINAPI JULHO 2018'!$A:$D,4,0),IFERROR(VLOOKUP($C651,'5-COMP. PROPRIA'!$B$13:$I$518,8,0),""))</f>
        <v>68.239999999999995</v>
      </c>
      <c r="I651" s="440">
        <f>H651*'4-BDI'!$E$29</f>
        <v>87.510975999999999</v>
      </c>
      <c r="J651" s="63">
        <f t="shared" ref="J651" si="348">TRUNC(G651*H651,2)</f>
        <v>2058.11</v>
      </c>
      <c r="K651" s="190">
        <f t="shared" ref="K651" si="349">TRUNC(G651*I651,2)</f>
        <v>2639.33</v>
      </c>
    </row>
    <row r="652" spans="2:11" ht="45">
      <c r="B652" s="13" t="s">
        <v>13270</v>
      </c>
      <c r="C652" s="435">
        <f>QUANT!C1872</f>
        <v>92569</v>
      </c>
      <c r="D652" s="435" t="str">
        <f>QUANT!D1872</f>
        <v>SINAPI</v>
      </c>
      <c r="E652" s="436" t="str">
        <f>IFERROR(VLOOKUP($C652,'SINAPI JULHO 2018'!$1:$1048576,2,0),IFERROR(VLOOKUP($C652,'5-COMP. PROPRIA'!$B$13:$I$518,4,0),""))</f>
        <v>TRAMA DE AÇO COMPOSTA POR RIPAS E CAIBROS PARA TELHADOS DE ATÉ 2 ÁGUAS PARA TELHA DE ENCAIXE DE CERÂMICA OU DE CONCRETO, INCLUSO TRANSPORTE VERTICAL. AF_12/2015</v>
      </c>
      <c r="F652" s="437" t="str">
        <f>IFERROR(VLOOKUP($C652,'SINAPI JULHO 2018'!$A:$D,3,0),IFERROR(VLOOKUP($C652,'5-COMP. PROPRIA'!$B$13:$I$518,5,0),""))</f>
        <v>M2</v>
      </c>
      <c r="G652" s="438">
        <f>QUANT!K1872</f>
        <v>30.16</v>
      </c>
      <c r="H652" s="439">
        <f>IFERROR(VLOOKUP($C652,'SINAPI JULHO 2018'!$A:$D,4,0),IFERROR(VLOOKUP($C652,'5-COMP. PROPRIA'!$B$13:$I$518,8,0),""))</f>
        <v>26.73</v>
      </c>
      <c r="I652" s="440">
        <f>H652*'4-BDI'!$E$29</f>
        <v>34.278551999999998</v>
      </c>
      <c r="J652" s="63">
        <f t="shared" ref="J652:J657" si="350">TRUNC(G652*H652,2)</f>
        <v>806.17</v>
      </c>
      <c r="K652" s="190">
        <f t="shared" ref="K652:K657" si="351">TRUNC(G652*I652,2)</f>
        <v>1033.8399999999999</v>
      </c>
    </row>
    <row r="653" spans="2:11" ht="15">
      <c r="B653" s="13" t="s">
        <v>13271</v>
      </c>
      <c r="C653" s="435" t="str">
        <f>QUANT!C1874</f>
        <v>CP-LIX-02</v>
      </c>
      <c r="D653" s="435" t="str">
        <f>QUANT!D1874</f>
        <v>PRÓRPIA</v>
      </c>
      <c r="E653" s="436" t="str">
        <f>IFERROR(VLOOKUP($C653,'SINAPI JULHO 2018'!$1:$1048576,2,0),IFERROR(VLOOKUP($C653,'5-COMP. PROPRIA'!$B$13:$I$518,4,0),""))</f>
        <v xml:space="preserve">LIXAMENTO DE SUPERFICIE METÁLICA </v>
      </c>
      <c r="F653" s="437" t="str">
        <f>IFERROR(VLOOKUP($C653,'SINAPI JULHO 2018'!$A:$D,3,0),IFERROR(VLOOKUP($C653,'5-COMP. PROPRIA'!$B$13:$I$518,5,0),""))</f>
        <v>M2</v>
      </c>
      <c r="G653" s="438">
        <f>QUANT!K1874</f>
        <v>120.64</v>
      </c>
      <c r="H653" s="439">
        <f>IFERROR(VLOOKUP($C653,'SINAPI JULHO 2018'!$A:$D,4,0),IFERROR(VLOOKUP($C653,'5-COMP. PROPRIA'!$B$13:$I$518,8,0),""))</f>
        <v>4.66</v>
      </c>
      <c r="I653" s="440">
        <f>H653*'4-BDI'!$E$29</f>
        <v>5.9759840000000004</v>
      </c>
      <c r="J653" s="63">
        <f t="shared" si="350"/>
        <v>562.17999999999995</v>
      </c>
      <c r="K653" s="190">
        <f t="shared" si="351"/>
        <v>720.94</v>
      </c>
    </row>
    <row r="654" spans="2:11" ht="15">
      <c r="B654" s="13" t="s">
        <v>13272</v>
      </c>
      <c r="C654" s="435" t="str">
        <f>QUANT!C1876</f>
        <v>73924/1</v>
      </c>
      <c r="D654" s="435" t="str">
        <f>QUANT!D1876</f>
        <v>SINAPI</v>
      </c>
      <c r="E654" s="436" t="str">
        <f>IFERROR(VLOOKUP($C654,'SINAPI JULHO 2018'!$1:$1048576,2,0),IFERROR(VLOOKUP($C654,'5-COMP. PROPRIA'!$B$13:$I$518,4,0),""))</f>
        <v>PINTURA ESMALTE ALTO BRILHO, DUAS DEMAOS, SOBRE SUPERFICIE METALICA</v>
      </c>
      <c r="F654" s="437" t="str">
        <f>IFERROR(VLOOKUP($C654,'SINAPI JULHO 2018'!$A:$D,3,0),IFERROR(VLOOKUP($C654,'5-COMP. PROPRIA'!$B$13:$I$518,5,0),""))</f>
        <v>M2</v>
      </c>
      <c r="G654" s="438">
        <f>QUANT!K1876</f>
        <v>120.64</v>
      </c>
      <c r="H654" s="439">
        <f>IFERROR(VLOOKUP($C654,'SINAPI JULHO 2018'!$A:$D,4,0),IFERROR(VLOOKUP($C654,'5-COMP. PROPRIA'!$B$13:$I$518,8,0),""))</f>
        <v>21.24</v>
      </c>
      <c r="I654" s="440">
        <f>H654*'4-BDI'!$E$29</f>
        <v>27.238175999999999</v>
      </c>
      <c r="J654" s="63">
        <f t="shared" si="350"/>
        <v>2562.39</v>
      </c>
      <c r="K654" s="190">
        <f t="shared" si="351"/>
        <v>3286.01</v>
      </c>
    </row>
    <row r="655" spans="2:11" ht="45">
      <c r="B655" s="13" t="s">
        <v>13273</v>
      </c>
      <c r="C655" s="435">
        <f>QUANT!C1878</f>
        <v>94210</v>
      </c>
      <c r="D655" s="435" t="str">
        <f>QUANT!D1878</f>
        <v>SINAPI</v>
      </c>
      <c r="E655" s="436" t="str">
        <f>IFERROR(VLOOKUP($C655,'SINAPI JULHO 2018'!$1:$1048576,2,0),IFERROR(VLOOKUP($C655,'5-COMP. PROPRIA'!$B$13:$I$518,4,0),""))</f>
        <v>TELHAMENTO COM TELHA ONDULADA DE FIBROCIMENTO E = 6 MM, COM RECOBRIMENTO LATERAL DE 1 1/4 DE ONDA PARA TELHADO COM INCLINAÇÃO MÁXIMA DE 10°, COM ATÉ 2 ÁGUAS, INCLUSO IÇAMENTO. AF_06/2016</v>
      </c>
      <c r="F655" s="437" t="str">
        <f>IFERROR(VLOOKUP($C655,'SINAPI JULHO 2018'!$A:$D,3,0),IFERROR(VLOOKUP($C655,'5-COMP. PROPRIA'!$B$13:$I$518,5,0),""))</f>
        <v>M2</v>
      </c>
      <c r="G655" s="438">
        <f>QUANT!K1878</f>
        <v>30.16</v>
      </c>
      <c r="H655" s="439">
        <f>IFERROR(VLOOKUP($C655,'SINAPI JULHO 2018'!$A:$D,4,0),IFERROR(VLOOKUP($C655,'5-COMP. PROPRIA'!$B$13:$I$518,8,0),""))</f>
        <v>33.97</v>
      </c>
      <c r="I655" s="440">
        <f>H655*'4-BDI'!$E$29</f>
        <v>43.563127999999999</v>
      </c>
      <c r="J655" s="63">
        <f t="shared" si="350"/>
        <v>1024.53</v>
      </c>
      <c r="K655" s="190">
        <f t="shared" si="351"/>
        <v>1313.86</v>
      </c>
    </row>
    <row r="656" spans="2:11" ht="30">
      <c r="B656" s="13" t="s">
        <v>13274</v>
      </c>
      <c r="C656" s="435">
        <f>QUANT!C1880</f>
        <v>94231</v>
      </c>
      <c r="D656" s="435" t="str">
        <f>QUANT!D1880</f>
        <v>SINAPI</v>
      </c>
      <c r="E656" s="436" t="str">
        <f>IFERROR(VLOOKUP($C656,'SINAPI JULHO 2018'!$1:$1048576,2,0),IFERROR(VLOOKUP($C656,'5-COMP. PROPRIA'!$B$13:$I$518,4,0),""))</f>
        <v>RUFO EM CHAPA DE AÇO GALVANIZADO NÚMERO 24, CORTE DE 25 CM, INCLUSO TRANSPORTE VERTICAL. AF_06/2016</v>
      </c>
      <c r="F656" s="437" t="str">
        <f>IFERROR(VLOOKUP($C656,'SINAPI JULHO 2018'!$A:$D,3,0),IFERROR(VLOOKUP($C656,'5-COMP. PROPRIA'!$B$13:$I$518,5,0),""))</f>
        <v>M</v>
      </c>
      <c r="G656" s="438">
        <f>QUANT!K1880</f>
        <v>8.6999999999999993</v>
      </c>
      <c r="H656" s="439">
        <f>IFERROR(VLOOKUP($C656,'SINAPI JULHO 2018'!$A:$D,4,0),IFERROR(VLOOKUP($C656,'5-COMP. PROPRIA'!$B$13:$I$518,8,0),""))</f>
        <v>24.35</v>
      </c>
      <c r="I656" s="440">
        <f>H656*'4-BDI'!$E$29</f>
        <v>31.22644</v>
      </c>
      <c r="J656" s="63">
        <f t="shared" si="350"/>
        <v>211.84</v>
      </c>
      <c r="K656" s="190">
        <f t="shared" si="351"/>
        <v>271.67</v>
      </c>
    </row>
    <row r="657" spans="2:11" ht="30">
      <c r="B657" s="13" t="s">
        <v>13275</v>
      </c>
      <c r="C657" s="435">
        <f>QUANT!C1882</f>
        <v>96116</v>
      </c>
      <c r="D657" s="435" t="str">
        <f>QUANT!D1882</f>
        <v>SINAPI</v>
      </c>
      <c r="E657" s="436" t="str">
        <f>IFERROR(VLOOKUP($C657,'SINAPI JULHO 2018'!$1:$1048576,2,0),IFERROR(VLOOKUP($C657,'5-COMP. PROPRIA'!$B$13:$I$518,4,0),""))</f>
        <v>FORRO EM RÉGUAS DE PVC, FRISADO, PARA AMBIENTES COMERCIAIS, INCLUSIVE ESTRUTURA DE FIXAÇÃO. AF_05/2017_P</v>
      </c>
      <c r="F657" s="437" t="str">
        <f>IFERROR(VLOOKUP($C657,'SINAPI JULHO 2018'!$A:$D,3,0),IFERROR(VLOOKUP($C657,'5-COMP. PROPRIA'!$B$13:$I$518,5,0),""))</f>
        <v>M2</v>
      </c>
      <c r="G657" s="438">
        <f>QUANT!K1882</f>
        <v>21.4</v>
      </c>
      <c r="H657" s="439">
        <f>IFERROR(VLOOKUP($C657,'SINAPI JULHO 2018'!$A:$D,4,0),IFERROR(VLOOKUP($C657,'5-COMP. PROPRIA'!$B$13:$I$518,8,0),""))</f>
        <v>42.15</v>
      </c>
      <c r="I657" s="440">
        <f>H657*'4-BDI'!$E$29</f>
        <v>54.053159999999998</v>
      </c>
      <c r="J657" s="63">
        <f t="shared" si="350"/>
        <v>902.01</v>
      </c>
      <c r="K657" s="190">
        <f t="shared" si="351"/>
        <v>1156.73</v>
      </c>
    </row>
    <row r="658" spans="2:11" ht="15">
      <c r="B658" s="362" t="s">
        <v>13276</v>
      </c>
      <c r="C658" s="363"/>
      <c r="D658" s="363"/>
      <c r="E658" s="363" t="str">
        <f>QUANT!E1884</f>
        <v>LOUÇAS, METAIS, GRADIS E DIVISORIAS</v>
      </c>
      <c r="F658" s="364"/>
      <c r="G658" s="365"/>
      <c r="H658" s="366"/>
      <c r="I658" s="367"/>
      <c r="J658" s="368"/>
      <c r="K658" s="369"/>
    </row>
    <row r="659" spans="2:11" ht="30">
      <c r="B659" s="13" t="s">
        <v>13277</v>
      </c>
      <c r="C659" s="435" t="str">
        <f>QUANT!C1886</f>
        <v>CP-HID-05</v>
      </c>
      <c r="D659" s="435" t="str">
        <f>QUANT!D1886</f>
        <v>PRÓRPIA</v>
      </c>
      <c r="E659" s="436" t="str">
        <f>IFERROR(VLOOKUP($C659,'SINAPI JULHO 2018'!$1:$1048576,2,0),IFERROR(VLOOKUP($C659,'5-COMP. PROPRIA'!$B$13:$I$518,4,0),""))</f>
        <v xml:space="preserve">VASO SANITÁRIO CONVENCIONAL COM CONEXÕES DE INSTALAÇÃO E ASSENTO PLÁSTICO - FORNECIMENTO E INSTALAÇÃO </v>
      </c>
      <c r="F659" s="437" t="str">
        <f>IFERROR(VLOOKUP($C659,'SINAPI JULHO 2018'!$A:$D,3,0),IFERROR(VLOOKUP($C659,'5-COMP. PROPRIA'!$B$13:$I$518,5,0),""))</f>
        <v>UNI</v>
      </c>
      <c r="G659" s="438">
        <f>QUANT!K1886</f>
        <v>4</v>
      </c>
      <c r="H659" s="439">
        <f>IFERROR(VLOOKUP($C659,'SINAPI JULHO 2018'!$A:$D,4,0),IFERROR(VLOOKUP($C659,'5-COMP. PROPRIA'!$B$13:$I$518,8,0),""))</f>
        <v>245.87</v>
      </c>
      <c r="I659" s="440">
        <f>H659*'4-BDI'!$E$29</f>
        <v>315.30368800000002</v>
      </c>
      <c r="J659" s="63">
        <f t="shared" ref="J659" si="352">TRUNC(G659*H659,2)</f>
        <v>983.48</v>
      </c>
      <c r="K659" s="190">
        <f t="shared" ref="K659" si="353">TRUNC(G659*I659,2)</f>
        <v>1261.21</v>
      </c>
    </row>
    <row r="660" spans="2:11" ht="45">
      <c r="B660" s="13" t="s">
        <v>13278</v>
      </c>
      <c r="C660" s="435">
        <f>QUANT!C1888</f>
        <v>95472</v>
      </c>
      <c r="D660" s="435" t="str">
        <f>QUANT!D1888</f>
        <v>SINAPI</v>
      </c>
      <c r="E660" s="436" t="str">
        <f>IFERROR(VLOOKUP($C660,'SINAPI JULHO 2018'!$1:$1048576,2,0),IFERROR(VLOOKUP($C660,'5-COMP. PROPRIA'!$B$13:$I$518,4,0),""))</f>
        <v>VASO SANITARIO SIFONADO CONVENCIONAL PARA PCD SEM FURO FRONTAL COM LOUÇA BRANCA SEM ASSENTO, INCLUSO CONJUNTO DE LIGAÇÃO PARA BACIA SANITÁRIA AJUSTÁVEL - FORNECIMENTO E INSTALAÇÃO. AF_10/2016</v>
      </c>
      <c r="F660" s="437" t="str">
        <f>IFERROR(VLOOKUP($C660,'SINAPI JULHO 2018'!$A:$D,3,0),IFERROR(VLOOKUP($C660,'5-COMP. PROPRIA'!$B$13:$I$518,5,0),""))</f>
        <v>UN</v>
      </c>
      <c r="G660" s="438">
        <f>QUANT!K1888</f>
        <v>1</v>
      </c>
      <c r="H660" s="439">
        <f>IFERROR(VLOOKUP($C660,'SINAPI JULHO 2018'!$A:$D,4,0),IFERROR(VLOOKUP($C660,'5-COMP. PROPRIA'!$B$13:$I$518,8,0),""))</f>
        <v>596.41</v>
      </c>
      <c r="I660" s="440">
        <f>H660*'4-BDI'!$E$29</f>
        <v>764.836184</v>
      </c>
      <c r="J660" s="63">
        <f t="shared" ref="J660:J666" si="354">TRUNC(G660*H660,2)</f>
        <v>596.41</v>
      </c>
      <c r="K660" s="190">
        <f t="shared" ref="K660:K666" si="355">TRUNC(G660*I660,2)</f>
        <v>764.83</v>
      </c>
    </row>
    <row r="661" spans="2:11" ht="60">
      <c r="B661" s="13" t="s">
        <v>13279</v>
      </c>
      <c r="C661" s="435">
        <f>QUANT!C1890</f>
        <v>86943</v>
      </c>
      <c r="D661" s="435" t="str">
        <f>QUANT!D1890</f>
        <v>SINAPI</v>
      </c>
      <c r="E661" s="436" t="str">
        <f>IFERROR(VLOOKUP($C661,'SINAPI JULHO 2018'!$1:$1048576,2,0),IFERROR(VLOOKUP($C661,'5-COMP. PROPRIA'!$B$13:$I$518,4,0),""))</f>
        <v>LAVATÓRIO LOUÇA BRANCA SUSPENSO, 29,5 X 39CM OU EQUIVALENTE, PADRÃO POPULAR, INCLUSO SIFÃO FLEXÍVEL EM PVC, VÁLVULA E ENGATE FLEXÍVEL 30CM EM PLÁSTICO E TORNEIRA CROMADA DE MESA, PADRÃO POPULAR - FORNECIMENTO E INSTALAÇÃO. AF_12/2013</v>
      </c>
      <c r="F661" s="437" t="str">
        <f>IFERROR(VLOOKUP($C661,'SINAPI JULHO 2018'!$A:$D,3,0),IFERROR(VLOOKUP($C661,'5-COMP. PROPRIA'!$B$13:$I$518,5,0),""))</f>
        <v>UN</v>
      </c>
      <c r="G661" s="438">
        <f>QUANT!K1890</f>
        <v>1</v>
      </c>
      <c r="H661" s="439">
        <f>IFERROR(VLOOKUP($C661,'SINAPI JULHO 2018'!$A:$D,4,0),IFERROR(VLOOKUP($C661,'5-COMP. PROPRIA'!$B$13:$I$518,8,0),""))</f>
        <v>170.11</v>
      </c>
      <c r="I661" s="440">
        <f>H661*'4-BDI'!$E$29</f>
        <v>218.14906400000001</v>
      </c>
      <c r="J661" s="63">
        <f t="shared" si="354"/>
        <v>170.11</v>
      </c>
      <c r="K661" s="190">
        <f t="shared" si="355"/>
        <v>218.14</v>
      </c>
    </row>
    <row r="662" spans="2:11" ht="30">
      <c r="B662" s="13" t="s">
        <v>13280</v>
      </c>
      <c r="C662" s="435" t="str">
        <f>QUANT!C1892</f>
        <v>CP-BAN-01</v>
      </c>
      <c r="D662" s="435" t="str">
        <f>QUANT!D1892</f>
        <v>PRÓRPIA</v>
      </c>
      <c r="E662" s="436" t="str">
        <f>IFERROR(VLOOKUP($C662,'SINAPI JULHO 2018'!$1:$1048576,2,0),IFERROR(VLOOKUP($C662,'5-COMP. PROPRIA'!$B$13:$I$518,4,0),""))</f>
        <v>BANCADA DE GRANITO CINZA POLIDO 2,0 X 0,60 M - FORNECIMENTO E INSTALAÇÃO</v>
      </c>
      <c r="F662" s="437" t="str">
        <f>IFERROR(VLOOKUP($C662,'SINAPI JULHO 2018'!$A:$D,3,0),IFERROR(VLOOKUP($C662,'5-COMP. PROPRIA'!$B$13:$I$518,5,0),""))</f>
        <v>UNI</v>
      </c>
      <c r="G662" s="438">
        <f>QUANT!K1892</f>
        <v>1</v>
      </c>
      <c r="H662" s="439">
        <f>IFERROR(VLOOKUP($C662,'SINAPI JULHO 2018'!$A:$D,4,0),IFERROR(VLOOKUP($C662,'5-COMP. PROPRIA'!$B$13:$I$518,8,0),""))</f>
        <v>852.25</v>
      </c>
      <c r="I662" s="440">
        <f>H662*'4-BDI'!$E$29</f>
        <v>1092.9254000000001</v>
      </c>
      <c r="J662" s="63">
        <f t="shared" si="354"/>
        <v>852.25</v>
      </c>
      <c r="K662" s="190">
        <f t="shared" si="355"/>
        <v>1092.92</v>
      </c>
    </row>
    <row r="663" spans="2:11" ht="30">
      <c r="B663" s="13" t="s">
        <v>13281</v>
      </c>
      <c r="C663" s="435">
        <f>QUANT!C1894</f>
        <v>86901</v>
      </c>
      <c r="D663" s="435" t="str">
        <f>QUANT!D1894</f>
        <v>SINAPI</v>
      </c>
      <c r="E663" s="436" t="str">
        <f>IFERROR(VLOOKUP($C663,'SINAPI JULHO 2018'!$1:$1048576,2,0),IFERROR(VLOOKUP($C663,'5-COMP. PROPRIA'!$B$13:$I$518,4,0),""))</f>
        <v>CUBA DE EMBUTIR OVAL EM LOUÇA BRANCA, 35 X 50CM OU EQUIVALENTE - FORNECIMENTO E INSTALAÇÃO. AF_12/2013</v>
      </c>
      <c r="F663" s="437" t="str">
        <f>IFERROR(VLOOKUP($C663,'SINAPI JULHO 2018'!$A:$D,3,0),IFERROR(VLOOKUP($C663,'5-COMP. PROPRIA'!$B$13:$I$518,5,0),""))</f>
        <v>UN</v>
      </c>
      <c r="G663" s="438">
        <f>QUANT!K1894</f>
        <v>3</v>
      </c>
      <c r="H663" s="439">
        <f>IFERROR(VLOOKUP($C663,'SINAPI JULHO 2018'!$A:$D,4,0),IFERROR(VLOOKUP($C663,'5-COMP. PROPRIA'!$B$13:$I$518,8,0),""))</f>
        <v>105.11</v>
      </c>
      <c r="I663" s="440">
        <f>H663*'4-BDI'!$E$29</f>
        <v>134.79306399999999</v>
      </c>
      <c r="J663" s="63">
        <f t="shared" si="354"/>
        <v>315.33</v>
      </c>
      <c r="K663" s="190">
        <f t="shared" si="355"/>
        <v>404.37</v>
      </c>
    </row>
    <row r="664" spans="2:11" ht="30">
      <c r="B664" s="13" t="s">
        <v>13282</v>
      </c>
      <c r="C664" s="435">
        <f>QUANT!C1896</f>
        <v>86906</v>
      </c>
      <c r="D664" s="435" t="str">
        <f>QUANT!D1896</f>
        <v>SINAPI</v>
      </c>
      <c r="E664" s="436" t="str">
        <f>IFERROR(VLOOKUP($C664,'SINAPI JULHO 2018'!$1:$1048576,2,0),IFERROR(VLOOKUP($C664,'5-COMP. PROPRIA'!$B$13:$I$518,4,0),""))</f>
        <v>TORNEIRA CROMADA DE MESA, 1/2" OU 3/4", PARA LAVATÓRIO, PADRÃO POPULAR - FORNECIMENTO E INSTALAÇÃO. AF_12/2013</v>
      </c>
      <c r="F664" s="437" t="str">
        <f>IFERROR(VLOOKUP($C664,'SINAPI JULHO 2018'!$A:$D,3,0),IFERROR(VLOOKUP($C664,'5-COMP. PROPRIA'!$B$13:$I$518,5,0),""))</f>
        <v>UN</v>
      </c>
      <c r="G664" s="438">
        <f>QUANT!K1896</f>
        <v>4</v>
      </c>
      <c r="H664" s="439">
        <f>IFERROR(VLOOKUP($C664,'SINAPI JULHO 2018'!$A:$D,4,0),IFERROR(VLOOKUP($C664,'5-COMP. PROPRIA'!$B$13:$I$518,8,0),""))</f>
        <v>49.21</v>
      </c>
      <c r="I664" s="440">
        <f>H664*'4-BDI'!$E$29</f>
        <v>63.106904</v>
      </c>
      <c r="J664" s="63">
        <f t="shared" si="354"/>
        <v>196.84</v>
      </c>
      <c r="K664" s="190">
        <f t="shared" si="355"/>
        <v>252.42</v>
      </c>
    </row>
    <row r="665" spans="2:11" ht="30">
      <c r="B665" s="13" t="s">
        <v>13283</v>
      </c>
      <c r="C665" s="435" t="str">
        <f>QUANT!C1898</f>
        <v>CP-HID-04</v>
      </c>
      <c r="D665" s="435" t="str">
        <f>QUANT!D1898</f>
        <v>PRÓRPIA</v>
      </c>
      <c r="E665" s="436" t="str">
        <f>IFERROR(VLOOKUP($C665,'SINAPI JULHO 2018'!$1:$1048576,2,0),IFERROR(VLOOKUP($C665,'5-COMP. PROPRIA'!$B$13:$I$518,4,0),""))</f>
        <v>FORNECIMENTO E INSTALAÇÃO BARRAS DE APOIO EM ACO INOX POLIDO, DIAMETRO MINIMO 3 CM</v>
      </c>
      <c r="F665" s="437" t="str">
        <f>IFERROR(VLOOKUP($C665,'SINAPI JULHO 2018'!$A:$D,3,0),IFERROR(VLOOKUP($C665,'5-COMP. PROPRIA'!$B$13:$I$518,5,0),""))</f>
        <v>UNI</v>
      </c>
      <c r="G665" s="438">
        <f>QUANT!K1898</f>
        <v>1</v>
      </c>
      <c r="H665" s="439">
        <f>IFERROR(VLOOKUP($C665,'SINAPI JULHO 2018'!$A:$D,4,0),IFERROR(VLOOKUP($C665,'5-COMP. PROPRIA'!$B$13:$I$518,8,0),""))</f>
        <v>706.13</v>
      </c>
      <c r="I665" s="440">
        <f>H665*'4-BDI'!$E$29</f>
        <v>905.541112</v>
      </c>
      <c r="J665" s="63">
        <f t="shared" si="354"/>
        <v>706.13</v>
      </c>
      <c r="K665" s="190">
        <f t="shared" si="355"/>
        <v>905.54</v>
      </c>
    </row>
    <row r="666" spans="2:11" ht="45">
      <c r="B666" s="13" t="s">
        <v>13284</v>
      </c>
      <c r="C666" s="435" t="str">
        <f>QUANT!C1900</f>
        <v>73774/1</v>
      </c>
      <c r="D666" s="435" t="str">
        <f>QUANT!D1900</f>
        <v>SINAPI</v>
      </c>
      <c r="E666" s="436" t="str">
        <f>IFERROR(VLOOKUP($C666,'SINAPI JULHO 2018'!$1:$1048576,2,0),IFERROR(VLOOKUP($C666,'5-COMP. PROPRIA'!$B$13:$I$518,4,0),""))</f>
        <v>DIVISORIA EM MARMORITE ESPESSURA 35MM, CHUMBAMENTO NO PISO E PAREDE COM ARGAMASSA DE CIMENTO E AREIA, POLIMENTO MANUAL, EXCLUSIVE FERRAGENS</v>
      </c>
      <c r="F666" s="437" t="str">
        <f>IFERROR(VLOOKUP($C666,'SINAPI JULHO 2018'!$A:$D,3,0),IFERROR(VLOOKUP($C666,'5-COMP. PROPRIA'!$B$13:$I$518,5,0),""))</f>
        <v>M2</v>
      </c>
      <c r="G666" s="438">
        <f>QUANT!K1900</f>
        <v>16.065000000000001</v>
      </c>
      <c r="H666" s="439">
        <f>IFERROR(VLOOKUP($C666,'SINAPI JULHO 2018'!$A:$D,4,0),IFERROR(VLOOKUP($C666,'5-COMP. PROPRIA'!$B$13:$I$518,8,0),""))</f>
        <v>260.72000000000003</v>
      </c>
      <c r="I666" s="440">
        <f>H666*'4-BDI'!$E$29</f>
        <v>334.347328</v>
      </c>
      <c r="J666" s="63">
        <f t="shared" si="354"/>
        <v>4188.46</v>
      </c>
      <c r="K666" s="190">
        <f t="shared" si="355"/>
        <v>5371.28</v>
      </c>
    </row>
    <row r="667" spans="2:11" ht="15">
      <c r="B667" s="362" t="s">
        <v>13285</v>
      </c>
      <c r="C667" s="363"/>
      <c r="D667" s="363"/>
      <c r="E667" s="363" t="str">
        <f>QUANT!E1902</f>
        <v>RAMPA</v>
      </c>
      <c r="F667" s="364"/>
      <c r="G667" s="365"/>
      <c r="H667" s="366"/>
      <c r="I667" s="367"/>
      <c r="J667" s="368"/>
      <c r="K667" s="369"/>
    </row>
    <row r="668" spans="2:11" ht="15">
      <c r="B668" s="13" t="s">
        <v>13286</v>
      </c>
      <c r="C668" s="435" t="str">
        <f>QUANT!C1904</f>
        <v>73859/2</v>
      </c>
      <c r="D668" s="435" t="str">
        <f>QUANT!D1904</f>
        <v>SINAPI</v>
      </c>
      <c r="E668" s="436" t="str">
        <f>IFERROR(VLOOKUP($C668,'SINAPI JULHO 2018'!$1:$1048576,2,0),IFERROR(VLOOKUP($C668,'5-COMP. PROPRIA'!$B$13:$I$518,4,0),""))</f>
        <v>CAPINA E LIMPEZA MANUAL DE TERRENO</v>
      </c>
      <c r="F668" s="437" t="str">
        <f>IFERROR(VLOOKUP($C668,'SINAPI JULHO 2018'!$A:$D,3,0),IFERROR(VLOOKUP($C668,'5-COMP. PROPRIA'!$B$13:$I$518,5,0),""))</f>
        <v>M2</v>
      </c>
      <c r="G668" s="438">
        <f>QUANT!K1904</f>
        <v>1.36</v>
      </c>
      <c r="H668" s="439">
        <f>IFERROR(VLOOKUP($C668,'SINAPI JULHO 2018'!$A:$D,4,0),IFERROR(VLOOKUP($C668,'5-COMP. PROPRIA'!$B$13:$I$518,8,0),""))</f>
        <v>1.1399999999999999</v>
      </c>
      <c r="I668" s="440">
        <f>H668*'4-BDI'!$E$29</f>
        <v>1.4619359999999999</v>
      </c>
      <c r="J668" s="63">
        <f t="shared" ref="J668" si="356">TRUNC(G668*H668,2)</f>
        <v>1.55</v>
      </c>
      <c r="K668" s="190">
        <f t="shared" ref="K668" si="357">TRUNC(G668*I668,2)</f>
        <v>1.98</v>
      </c>
    </row>
    <row r="669" spans="2:11" ht="30">
      <c r="B669" s="13" t="s">
        <v>13287</v>
      </c>
      <c r="C669" s="435">
        <f>QUANT!C1906</f>
        <v>96617</v>
      </c>
      <c r="D669" s="435" t="str">
        <f>QUANT!D1906</f>
        <v>SINAPI</v>
      </c>
      <c r="E669" s="436" t="str">
        <f>IFERROR(VLOOKUP($C669,'SINAPI JULHO 2018'!$1:$1048576,2,0),IFERROR(VLOOKUP($C669,'5-COMP. PROPRIA'!$B$13:$I$518,4,0),""))</f>
        <v>LASTRO DE CONCRETO MAGRO, APLICADO EM BLOCOS DE COROAMENTO OU SAPATAS, ESPESSURA DE 3 CM. AF_08/2017</v>
      </c>
      <c r="F669" s="437" t="str">
        <f>IFERROR(VLOOKUP($C669,'SINAPI JULHO 2018'!$A:$D,3,0),IFERROR(VLOOKUP($C669,'5-COMP. PROPRIA'!$B$13:$I$518,5,0),""))</f>
        <v>M2</v>
      </c>
      <c r="G669" s="438">
        <f>QUANT!K1906</f>
        <v>1.36</v>
      </c>
      <c r="H669" s="439">
        <f>IFERROR(VLOOKUP($C669,'SINAPI JULHO 2018'!$A:$D,4,0),IFERROR(VLOOKUP($C669,'5-COMP. PROPRIA'!$B$13:$I$518,8,0),""))</f>
        <v>12.49</v>
      </c>
      <c r="I669" s="440">
        <f>H669*'4-BDI'!$E$29</f>
        <v>16.017175999999999</v>
      </c>
      <c r="J669" s="63">
        <f t="shared" ref="J669:J675" si="358">TRUNC(G669*H669,2)</f>
        <v>16.98</v>
      </c>
      <c r="K669" s="190">
        <f t="shared" ref="K669:K675" si="359">TRUNC(G669*I669,2)</f>
        <v>21.78</v>
      </c>
    </row>
    <row r="670" spans="2:11" ht="30">
      <c r="B670" s="13" t="s">
        <v>13288</v>
      </c>
      <c r="C670" s="435">
        <f>QUANT!C1908</f>
        <v>94965</v>
      </c>
      <c r="D670" s="435" t="str">
        <f>QUANT!D1908</f>
        <v>SINAPI</v>
      </c>
      <c r="E670" s="436" t="str">
        <f>IFERROR(VLOOKUP($C670,'SINAPI JULHO 2018'!$1:$1048576,2,0),IFERROR(VLOOKUP($C670,'5-COMP. PROPRIA'!$B$13:$I$518,4,0),""))</f>
        <v>CONCRETO FCK = 25MPA, TRAÇO 1:2,3:2,7 (CIMENTO/ AREIA MÉDIA/ BRITA 1)  - PREPARO MECÂNICO COM BETONEIRA 400 L. AF_07/2016</v>
      </c>
      <c r="F670" s="437" t="str">
        <f>IFERROR(VLOOKUP($C670,'SINAPI JULHO 2018'!$A:$D,3,0),IFERROR(VLOOKUP($C670,'5-COMP. PROPRIA'!$B$13:$I$518,5,0),""))</f>
        <v>M3</v>
      </c>
      <c r="G670" s="438">
        <f>QUANT!K1908</f>
        <v>0.13600000000000001</v>
      </c>
      <c r="H670" s="439">
        <f>IFERROR(VLOOKUP($C670,'SINAPI JULHO 2018'!$A:$D,4,0),IFERROR(VLOOKUP($C670,'5-COMP. PROPRIA'!$B$13:$I$518,8,0),""))</f>
        <v>323.45</v>
      </c>
      <c r="I670" s="440">
        <f>H670*'4-BDI'!$E$29</f>
        <v>414.79228000000001</v>
      </c>
      <c r="J670" s="63">
        <f t="shared" si="358"/>
        <v>43.98</v>
      </c>
      <c r="K670" s="190">
        <f t="shared" si="359"/>
        <v>56.41</v>
      </c>
    </row>
    <row r="671" spans="2:11" ht="15">
      <c r="B671" s="13" t="s">
        <v>13289</v>
      </c>
      <c r="C671" s="435" t="str">
        <f>QUANT!C1910</f>
        <v>74157/4</v>
      </c>
      <c r="D671" s="435" t="str">
        <f>QUANT!D1910</f>
        <v>SINAPI</v>
      </c>
      <c r="E671" s="436" t="str">
        <f>IFERROR(VLOOKUP($C671,'SINAPI JULHO 2018'!$1:$1048576,2,0),IFERROR(VLOOKUP($C671,'5-COMP. PROPRIA'!$B$13:$I$518,4,0),""))</f>
        <v>LANCAMENTO/APLICACAO MANUAL DE CONCRETO EM FUNDACOES</v>
      </c>
      <c r="F671" s="437" t="str">
        <f>IFERROR(VLOOKUP($C671,'SINAPI JULHO 2018'!$A:$D,3,0),IFERROR(VLOOKUP($C671,'5-COMP. PROPRIA'!$B$13:$I$518,5,0),""))</f>
        <v>M3</v>
      </c>
      <c r="G671" s="438">
        <f>QUANT!K1910</f>
        <v>0.13600000000000001</v>
      </c>
      <c r="H671" s="439">
        <f>IFERROR(VLOOKUP($C671,'SINAPI JULHO 2018'!$A:$D,4,0),IFERROR(VLOOKUP($C671,'5-COMP. PROPRIA'!$B$13:$I$518,8,0),""))</f>
        <v>93.76</v>
      </c>
      <c r="I671" s="440">
        <f>H671*'4-BDI'!$E$29</f>
        <v>120.237824</v>
      </c>
      <c r="J671" s="63">
        <f t="shared" si="358"/>
        <v>12.75</v>
      </c>
      <c r="K671" s="190">
        <f t="shared" si="359"/>
        <v>16.350000000000001</v>
      </c>
    </row>
    <row r="672" spans="2:11" ht="30">
      <c r="B672" s="13" t="s">
        <v>13290</v>
      </c>
      <c r="C672" s="435" t="str">
        <f>QUANT!C1912</f>
        <v>73994/1</v>
      </c>
      <c r="D672" s="435" t="str">
        <f>QUANT!D1912</f>
        <v>SINAPI</v>
      </c>
      <c r="E672" s="436" t="str">
        <f>IFERROR(VLOOKUP($C672,'SINAPI JULHO 2018'!$1:$1048576,2,0),IFERROR(VLOOKUP($C672,'5-COMP. PROPRIA'!$B$13:$I$518,4,0),""))</f>
        <v>ARMACAO EM TELA DE ACO SOLDADA NERVURADA Q-138, ACO CA-60, 4,2MM, MALHA 10X10CM</v>
      </c>
      <c r="F672" s="437" t="str">
        <f>IFERROR(VLOOKUP($C672,'SINAPI JULHO 2018'!$A:$D,3,0),IFERROR(VLOOKUP($C672,'5-COMP. PROPRIA'!$B$13:$I$518,5,0),""))</f>
        <v>KG</v>
      </c>
      <c r="G672" s="438">
        <f>QUANT!K1912</f>
        <v>0.34</v>
      </c>
      <c r="H672" s="439">
        <f>IFERROR(VLOOKUP($C672,'SINAPI JULHO 2018'!$A:$D,4,0),IFERROR(VLOOKUP($C672,'5-COMP. PROPRIA'!$B$13:$I$518,8,0),""))</f>
        <v>6.41</v>
      </c>
      <c r="I672" s="440">
        <f>H672*'4-BDI'!$E$29</f>
        <v>8.2201839999999997</v>
      </c>
      <c r="J672" s="63">
        <f t="shared" si="358"/>
        <v>2.17</v>
      </c>
      <c r="K672" s="190">
        <f t="shared" si="359"/>
        <v>2.79</v>
      </c>
    </row>
    <row r="673" spans="2:11" ht="30">
      <c r="B673" s="13" t="s">
        <v>13291</v>
      </c>
      <c r="C673" s="435">
        <f>QUANT!C1914</f>
        <v>96536</v>
      </c>
      <c r="D673" s="435" t="str">
        <f>QUANT!D1914</f>
        <v>SINAPI</v>
      </c>
      <c r="E673" s="436" t="str">
        <f>IFERROR(VLOOKUP($C673,'SINAPI JULHO 2018'!$1:$1048576,2,0),IFERROR(VLOOKUP($C673,'5-COMP. PROPRIA'!$B$13:$I$518,4,0),""))</f>
        <v>FABRICAÇÃO, MONTAGEM E DESMONTAGEM DE FÔRMA PARA VIGA BALDRAME, EM MADEIRA SERRADA, E=25 MM, 4 UTILIZAÇÕES. AF_06/2017</v>
      </c>
      <c r="F673" s="437" t="str">
        <f>IFERROR(VLOOKUP($C673,'SINAPI JULHO 2018'!$A:$D,3,0),IFERROR(VLOOKUP($C673,'5-COMP. PROPRIA'!$B$13:$I$518,5,0),""))</f>
        <v>M2</v>
      </c>
      <c r="G673" s="438">
        <f>QUANT!K1914</f>
        <v>0.495</v>
      </c>
      <c r="H673" s="439">
        <f>IFERROR(VLOOKUP($C673,'SINAPI JULHO 2018'!$A:$D,4,0),IFERROR(VLOOKUP($C673,'5-COMP. PROPRIA'!$B$13:$I$518,8,0),""))</f>
        <v>37.81</v>
      </c>
      <c r="I673" s="440">
        <f>H673*'4-BDI'!$E$29</f>
        <v>48.487544</v>
      </c>
      <c r="J673" s="63">
        <f t="shared" si="358"/>
        <v>18.71</v>
      </c>
      <c r="K673" s="190">
        <f t="shared" si="359"/>
        <v>24</v>
      </c>
    </row>
    <row r="674" spans="2:11" ht="15">
      <c r="B674" s="13" t="s">
        <v>13292</v>
      </c>
      <c r="C674" s="435" t="str">
        <f>QUANT!C1916</f>
        <v>74195/1</v>
      </c>
      <c r="D674" s="435" t="str">
        <f>QUANT!D1916</f>
        <v>SINAPI</v>
      </c>
      <c r="E674" s="436" t="str">
        <f>IFERROR(VLOOKUP($C674,'SINAPI JULHO 2018'!$1:$1048576,2,0),IFERROR(VLOOKUP($C674,'5-COMP. PROPRIA'!$B$13:$I$518,4,0),""))</f>
        <v>GUARDA-CORPO  COM CORRIMAO EM FERRO BARRA CHATA 3/16"</v>
      </c>
      <c r="F674" s="437" t="str">
        <f>IFERROR(VLOOKUP($C674,'SINAPI JULHO 2018'!$A:$D,3,0),IFERROR(VLOOKUP($C674,'5-COMP. PROPRIA'!$B$13:$I$518,5,0),""))</f>
        <v>M</v>
      </c>
      <c r="G674" s="438">
        <f>QUANT!K1916</f>
        <v>1.7</v>
      </c>
      <c r="H674" s="439">
        <f>IFERROR(VLOOKUP($C674,'SINAPI JULHO 2018'!$A:$D,4,0),IFERROR(VLOOKUP($C674,'5-COMP. PROPRIA'!$B$13:$I$518,8,0),""))</f>
        <v>404.58</v>
      </c>
      <c r="I674" s="440">
        <f>H674*'4-BDI'!$E$29</f>
        <v>518.833392</v>
      </c>
      <c r="J674" s="63">
        <f t="shared" si="358"/>
        <v>687.78</v>
      </c>
      <c r="K674" s="190">
        <f t="shared" si="359"/>
        <v>882.01</v>
      </c>
    </row>
    <row r="675" spans="2:11" ht="15">
      <c r="B675" s="13" t="s">
        <v>13293</v>
      </c>
      <c r="C675" s="435" t="str">
        <f>QUANT!C1918</f>
        <v>79500/2</v>
      </c>
      <c r="D675" s="435" t="str">
        <f>QUANT!D1918</f>
        <v>SINAPI</v>
      </c>
      <c r="E675" s="436" t="str">
        <f>IFERROR(VLOOKUP($C675,'SINAPI JULHO 2018'!$1:$1048576,2,0),IFERROR(VLOOKUP($C675,'5-COMP. PROPRIA'!$B$13:$I$518,4,0),""))</f>
        <v>PINTURA ACRILICA EM PISO CIMENTADO, TRES DEMAOS</v>
      </c>
      <c r="F675" s="437" t="str">
        <f>IFERROR(VLOOKUP($C675,'SINAPI JULHO 2018'!$A:$D,3,0),IFERROR(VLOOKUP($C675,'5-COMP. PROPRIA'!$B$13:$I$518,5,0),""))</f>
        <v>M2</v>
      </c>
      <c r="G675" s="438">
        <f>QUANT!K1918</f>
        <v>1.4960000000000002</v>
      </c>
      <c r="H675" s="439">
        <f>IFERROR(VLOOKUP($C675,'SINAPI JULHO 2018'!$A:$D,4,0),IFERROR(VLOOKUP($C675,'5-COMP. PROPRIA'!$B$13:$I$518,8,0),""))</f>
        <v>16.12</v>
      </c>
      <c r="I675" s="440">
        <f>H675*'4-BDI'!$E$29</f>
        <v>20.672288000000002</v>
      </c>
      <c r="J675" s="63">
        <f t="shared" si="358"/>
        <v>24.11</v>
      </c>
      <c r="K675" s="190">
        <f t="shared" si="359"/>
        <v>30.92</v>
      </c>
    </row>
    <row r="676" spans="2:11" ht="15">
      <c r="B676" s="521" t="s">
        <v>12756</v>
      </c>
      <c r="C676" s="522"/>
      <c r="D676" s="522"/>
      <c r="E676" s="522"/>
      <c r="F676" s="522"/>
      <c r="G676" s="522"/>
      <c r="H676" s="522"/>
      <c r="I676" s="218"/>
      <c r="J676" s="64">
        <f>TRUNC(SUM(J590:J675),2)</f>
        <v>49390.879999999997</v>
      </c>
      <c r="K676" s="434">
        <f>TRUNC(SUM(K590:K675),2)</f>
        <v>63338.879999999997</v>
      </c>
    </row>
    <row r="677" spans="2:11" ht="15">
      <c r="B677" s="305" t="s">
        <v>13294</v>
      </c>
      <c r="C677" s="306"/>
      <c r="D677" s="307"/>
      <c r="E677" s="308" t="str">
        <f>QUANT!E1920</f>
        <v>2 MODULOS DE ARQUIBANCADAS DE 35 M</v>
      </c>
      <c r="F677" s="309"/>
      <c r="G677" s="310"/>
      <c r="H677" s="311"/>
      <c r="I677" s="311"/>
      <c r="J677" s="312"/>
      <c r="K677" s="313"/>
    </row>
    <row r="678" spans="2:11" ht="15">
      <c r="B678" s="362" t="s">
        <v>13295</v>
      </c>
      <c r="C678" s="363"/>
      <c r="D678" s="363"/>
      <c r="E678" s="363" t="str">
        <f>QUANT!E1922</f>
        <v>ESTACAS</v>
      </c>
      <c r="F678" s="364"/>
      <c r="G678" s="365"/>
      <c r="H678" s="366"/>
      <c r="I678" s="367"/>
      <c r="J678" s="368"/>
      <c r="K678" s="369"/>
    </row>
    <row r="679" spans="2:11" ht="66" customHeight="1">
      <c r="B679" s="13" t="s">
        <v>13296</v>
      </c>
      <c r="C679" s="435" t="str">
        <f>QUANT!C1924</f>
        <v>CP-FUN-03</v>
      </c>
      <c r="D679" s="435" t="str">
        <f>QUANT!D1924</f>
        <v>PRÓRPIA</v>
      </c>
      <c r="E679" s="436" t="str">
        <f>IFERROR(VLOOKUP($C679,'SINAPI JULHO 2018'!$1:$1048576,2,0),IFERROR(VLOOKUP($C679,'5-COMP. PROPRIA'!$B$13:$I$518,4,0),""))</f>
        <v>ESTACA ESCAVADA MECANICAMENTE, COM 20 CM DE DIÂMETRO E 1,5 M DE PROFUNDIDADE, ARAMADA COM 4 BARRAS DE 10,0 MM E ESTRIBOS DE 5,0 MM A CADA 15 CM, CONCRETO 20 MPA, PREPARO MECÂNICO EM BETONEIRA.</v>
      </c>
      <c r="F679" s="437" t="str">
        <f>IFERROR(VLOOKUP($C679,'SINAPI JULHO 2018'!$A:$D,3,0),IFERROR(VLOOKUP($C679,'5-COMP. PROPRIA'!$B$13:$I$518,5,0),""))</f>
        <v>UNI</v>
      </c>
      <c r="G679" s="438">
        <f>QUANT!K1924</f>
        <v>72</v>
      </c>
      <c r="H679" s="439">
        <f>IFERROR(VLOOKUP($C679,'SINAPI JULHO 2018'!$A:$D,4,0),IFERROR(VLOOKUP($C679,'5-COMP. PROPRIA'!$B$13:$I$518,8,0),""))</f>
        <v>116.10000000000001</v>
      </c>
      <c r="I679" s="440">
        <f>H679*'4-BDI'!$E$29</f>
        <v>148.88664</v>
      </c>
      <c r="J679" s="63">
        <f t="shared" ref="J679" si="360">TRUNC(G679*H679,2)</f>
        <v>8359.2000000000007</v>
      </c>
      <c r="K679" s="190">
        <f t="shared" ref="K679" si="361">TRUNC(G679*I679,2)</f>
        <v>10719.83</v>
      </c>
    </row>
    <row r="680" spans="2:11" ht="15">
      <c r="B680" s="362" t="s">
        <v>13297</v>
      </c>
      <c r="C680" s="363"/>
      <c r="D680" s="363"/>
      <c r="E680" s="363" t="str">
        <f>QUANT!E1928</f>
        <v>BALDRAMES</v>
      </c>
      <c r="F680" s="364"/>
      <c r="G680" s="365"/>
      <c r="H680" s="366"/>
      <c r="I680" s="367"/>
      <c r="J680" s="368"/>
      <c r="K680" s="369"/>
    </row>
    <row r="681" spans="2:11" ht="30">
      <c r="B681" s="13" t="s">
        <v>13298</v>
      </c>
      <c r="C681" s="435">
        <f>QUANT!C1930</f>
        <v>96527</v>
      </c>
      <c r="D681" s="435" t="str">
        <f>QUANT!D1930</f>
        <v>SINAPI</v>
      </c>
      <c r="E681" s="436" t="str">
        <f>IFERROR(VLOOKUP($C681,'SINAPI JULHO 2018'!$1:$1048576,2,0),IFERROR(VLOOKUP($C681,'5-COMP. PROPRIA'!$B$13:$I$518,4,0),""))</f>
        <v>ESCAVAÇÃO MANUAL DE VALA PARA VIGA BALDRAME, COM PREVISÃO DE FÔRMA. AF_06/2017</v>
      </c>
      <c r="F681" s="437" t="str">
        <f>IFERROR(VLOOKUP($C681,'SINAPI JULHO 2018'!$A:$D,3,0),IFERROR(VLOOKUP($C681,'5-COMP. PROPRIA'!$B$13:$I$518,5,0),""))</f>
        <v>M3</v>
      </c>
      <c r="G681" s="438">
        <f>QUANT!K1930</f>
        <v>63.363299999999995</v>
      </c>
      <c r="H681" s="439">
        <f>IFERROR(VLOOKUP($C681,'SINAPI JULHO 2018'!$A:$D,4,0),IFERROR(VLOOKUP($C681,'5-COMP. PROPRIA'!$B$13:$I$518,8,0),""))</f>
        <v>84.88</v>
      </c>
      <c r="I681" s="440">
        <f>H681*'4-BDI'!$E$29</f>
        <v>108.850112</v>
      </c>
      <c r="J681" s="63">
        <f t="shared" ref="J681" si="362">TRUNC(G681*H681,2)</f>
        <v>5378.27</v>
      </c>
      <c r="K681" s="190">
        <f t="shared" ref="K681" si="363">TRUNC(G681*I681,2)</f>
        <v>6897.1</v>
      </c>
    </row>
    <row r="682" spans="2:11" ht="30">
      <c r="B682" s="13" t="s">
        <v>13299</v>
      </c>
      <c r="C682" s="435">
        <f>QUANT!C1934</f>
        <v>96617</v>
      </c>
      <c r="D682" s="435" t="str">
        <f>QUANT!D1934</f>
        <v>SINAPI</v>
      </c>
      <c r="E682" s="436" t="str">
        <f>IFERROR(VLOOKUP($C682,'SINAPI JULHO 2018'!$1:$1048576,2,0),IFERROR(VLOOKUP($C682,'5-COMP. PROPRIA'!$B$13:$I$518,4,0),""))</f>
        <v>LASTRO DE CONCRETO MAGRO, APLICADO EM BLOCOS DE COROAMENTO OU SAPATAS, ESPESSURA DE 3 CM. AF_08/2017</v>
      </c>
      <c r="F682" s="437" t="str">
        <f>IFERROR(VLOOKUP($C682,'SINAPI JULHO 2018'!$A:$D,3,0),IFERROR(VLOOKUP($C682,'5-COMP. PROPRIA'!$B$13:$I$518,5,0),""))</f>
        <v>M2</v>
      </c>
      <c r="G682" s="438">
        <f>QUANT!K1934</f>
        <v>63.3</v>
      </c>
      <c r="H682" s="439">
        <f>IFERROR(VLOOKUP($C682,'SINAPI JULHO 2018'!$A:$D,4,0),IFERROR(VLOOKUP($C682,'5-COMP. PROPRIA'!$B$13:$I$518,8,0),""))</f>
        <v>12.49</v>
      </c>
      <c r="I682" s="440">
        <f>H682*'4-BDI'!$E$29</f>
        <v>16.017175999999999</v>
      </c>
      <c r="J682" s="63">
        <f t="shared" ref="J682:J691" si="364">TRUNC(G682*H682,2)</f>
        <v>790.61</v>
      </c>
      <c r="K682" s="190">
        <f t="shared" ref="K682:K691" si="365">TRUNC(G682*I682,2)</f>
        <v>1013.88</v>
      </c>
    </row>
    <row r="683" spans="2:11" ht="30">
      <c r="B683" s="13" t="s">
        <v>13300</v>
      </c>
      <c r="C683" s="435">
        <f>QUANT!C1938</f>
        <v>94965</v>
      </c>
      <c r="D683" s="435" t="str">
        <f>QUANT!D1938</f>
        <v>SINAPI</v>
      </c>
      <c r="E683" s="436" t="str">
        <f>IFERROR(VLOOKUP($C683,'SINAPI JULHO 2018'!$1:$1048576,2,0),IFERROR(VLOOKUP($C683,'5-COMP. PROPRIA'!$B$13:$I$518,4,0),""))</f>
        <v>CONCRETO FCK = 25MPA, TRAÇO 1:2,3:2,7 (CIMENTO/ AREIA MÉDIA/ BRITA 1)  - PREPARO MECÂNICO COM BETONEIRA 400 L. AF_07/2016</v>
      </c>
      <c r="F683" s="437" t="str">
        <f>IFERROR(VLOOKUP($C683,'SINAPI JULHO 2018'!$A:$D,3,0),IFERROR(VLOOKUP($C683,'5-COMP. PROPRIA'!$B$13:$I$518,5,0),""))</f>
        <v>M3</v>
      </c>
      <c r="G683" s="438">
        <f>QUANT!K1938</f>
        <v>18.989999999999998</v>
      </c>
      <c r="H683" s="439">
        <f>IFERROR(VLOOKUP($C683,'SINAPI JULHO 2018'!$A:$D,4,0),IFERROR(VLOOKUP($C683,'5-COMP. PROPRIA'!$B$13:$I$518,8,0),""))</f>
        <v>323.45</v>
      </c>
      <c r="I683" s="440">
        <f>H683*'4-BDI'!$E$29</f>
        <v>414.79228000000001</v>
      </c>
      <c r="J683" s="63">
        <f t="shared" si="364"/>
        <v>6142.31</v>
      </c>
      <c r="K683" s="190">
        <f t="shared" si="365"/>
        <v>7876.9</v>
      </c>
    </row>
    <row r="684" spans="2:11" ht="15">
      <c r="B684" s="13" t="s">
        <v>13301</v>
      </c>
      <c r="C684" s="435" t="str">
        <f>QUANT!C1942</f>
        <v>74157/4</v>
      </c>
      <c r="D684" s="435" t="str">
        <f>QUANT!D1942</f>
        <v>SINAPI</v>
      </c>
      <c r="E684" s="436" t="str">
        <f>IFERROR(VLOOKUP($C684,'SINAPI JULHO 2018'!$1:$1048576,2,0),IFERROR(VLOOKUP($C684,'5-COMP. PROPRIA'!$B$13:$I$518,4,0),""))</f>
        <v>LANCAMENTO/APLICACAO MANUAL DE CONCRETO EM FUNDACOES</v>
      </c>
      <c r="F684" s="437" t="str">
        <f>IFERROR(VLOOKUP($C684,'SINAPI JULHO 2018'!$A:$D,3,0),IFERROR(VLOOKUP($C684,'5-COMP. PROPRIA'!$B$13:$I$518,5,0),""))</f>
        <v>M3</v>
      </c>
      <c r="G684" s="438">
        <f>QUANT!K1942</f>
        <v>18.989999999999998</v>
      </c>
      <c r="H684" s="439">
        <f>IFERROR(VLOOKUP($C684,'SINAPI JULHO 2018'!$A:$D,4,0),IFERROR(VLOOKUP($C684,'5-COMP. PROPRIA'!$B$13:$I$518,8,0),""))</f>
        <v>93.76</v>
      </c>
      <c r="I684" s="440">
        <f>H684*'4-BDI'!$E$29</f>
        <v>120.237824</v>
      </c>
      <c r="J684" s="63">
        <f t="shared" si="364"/>
        <v>1780.5</v>
      </c>
      <c r="K684" s="190">
        <f t="shared" si="365"/>
        <v>2283.31</v>
      </c>
    </row>
    <row r="685" spans="2:11" ht="30">
      <c r="B685" s="13" t="s">
        <v>13302</v>
      </c>
      <c r="C685" s="435">
        <f>QUANT!C1944</f>
        <v>96543</v>
      </c>
      <c r="D685" s="435" t="str">
        <f>QUANT!D1944</f>
        <v>SINAPI</v>
      </c>
      <c r="E685" s="436" t="str">
        <f>IFERROR(VLOOKUP($C685,'SINAPI JULHO 2018'!$1:$1048576,2,0),IFERROR(VLOOKUP($C685,'5-COMP. PROPRIA'!$B$13:$I$518,4,0),""))</f>
        <v>ARMAÇÃO DE BLOCO, VIGA BALDRAME E SAPATA UTILIZANDO AÇO CA-60 DE 5 MM - MONTAGEM. AF_06/2017</v>
      </c>
      <c r="F685" s="437" t="str">
        <f>IFERROR(VLOOKUP($C685,'SINAPI JULHO 2018'!$A:$D,3,0),IFERROR(VLOOKUP($C685,'5-COMP. PROPRIA'!$B$13:$I$518,5,0),""))</f>
        <v>KG</v>
      </c>
      <c r="G685" s="438">
        <f>QUANT!K1944</f>
        <v>411.7410041666667</v>
      </c>
      <c r="H685" s="439">
        <f>IFERROR(VLOOKUP($C685,'SINAPI JULHO 2018'!$A:$D,4,0),IFERROR(VLOOKUP($C685,'5-COMP. PROPRIA'!$B$13:$I$518,8,0),""))</f>
        <v>11.01</v>
      </c>
      <c r="I685" s="440">
        <f>H685*'4-BDI'!$E$29</f>
        <v>14.119223999999999</v>
      </c>
      <c r="J685" s="63">
        <f t="shared" si="364"/>
        <v>4533.26</v>
      </c>
      <c r="K685" s="190">
        <f t="shared" si="365"/>
        <v>5813.46</v>
      </c>
    </row>
    <row r="686" spans="2:11" ht="45">
      <c r="B686" s="13" t="s">
        <v>13303</v>
      </c>
      <c r="C686" s="435">
        <f>QUANT!C1949</f>
        <v>92762</v>
      </c>
      <c r="D686" s="435" t="str">
        <f>QUANT!D1949</f>
        <v>SINAPI</v>
      </c>
      <c r="E686" s="436" t="str">
        <f>IFERROR(VLOOKUP($C686,'SINAPI JULHO 2018'!$1:$1048576,2,0),IFERROR(VLOOKUP($C686,'5-COMP. PROPRIA'!$B$13:$I$518,4,0),""))</f>
        <v>ARMAÇÃO DE PILAR OU VIGA DE UMA ESTRUTURA CONVENCIONAL DE CONCRETO ARMADO EM UM EDIFÍCIO DE MÚLTIPLOS PAVIMENTOS UTILIZANDO AÇO CA-50 DE 10,0 MM - MONTAGEM. AF_12/2015</v>
      </c>
      <c r="F686" s="437" t="str">
        <f>IFERROR(VLOOKUP($C686,'SINAPI JULHO 2018'!$A:$D,3,0),IFERROR(VLOOKUP($C686,'5-COMP. PROPRIA'!$B$13:$I$518,5,0),""))</f>
        <v>KG</v>
      </c>
      <c r="G686" s="438">
        <f>QUANT!K1949</f>
        <v>1040.1878000000002</v>
      </c>
      <c r="H686" s="439">
        <f>IFERROR(VLOOKUP($C686,'SINAPI JULHO 2018'!$A:$D,4,0),IFERROR(VLOOKUP($C686,'5-COMP. PROPRIA'!$B$13:$I$518,8,0),""))</f>
        <v>6.58</v>
      </c>
      <c r="I686" s="440">
        <f>H686*'4-BDI'!$E$29</f>
        <v>8.4381920000000008</v>
      </c>
      <c r="J686" s="63">
        <f t="shared" si="364"/>
        <v>6844.43</v>
      </c>
      <c r="K686" s="190">
        <f t="shared" si="365"/>
        <v>8777.2999999999993</v>
      </c>
    </row>
    <row r="687" spans="2:11" ht="30">
      <c r="B687" s="13" t="s">
        <v>13304</v>
      </c>
      <c r="C687" s="435">
        <f>QUANT!C1954</f>
        <v>96536</v>
      </c>
      <c r="D687" s="435" t="str">
        <f>QUANT!D1954</f>
        <v>SINAPI</v>
      </c>
      <c r="E687" s="436" t="str">
        <f>IFERROR(VLOOKUP($C687,'SINAPI JULHO 2018'!$1:$1048576,2,0),IFERROR(VLOOKUP($C687,'5-COMP. PROPRIA'!$B$13:$I$518,4,0),""))</f>
        <v>FABRICAÇÃO, MONTAGEM E DESMONTAGEM DE FÔRMA PARA VIGA BALDRAME, EM MADEIRA SERRADA, E=25 MM, 4 UTILIZAÇÕES. AF_06/2017</v>
      </c>
      <c r="F687" s="437" t="str">
        <f>IFERROR(VLOOKUP($C687,'SINAPI JULHO 2018'!$A:$D,3,0),IFERROR(VLOOKUP($C687,'5-COMP. PROPRIA'!$B$13:$I$518,5,0),""))</f>
        <v>M2</v>
      </c>
      <c r="G687" s="438">
        <f>QUANT!K1954</f>
        <v>253.2</v>
      </c>
      <c r="H687" s="439">
        <f>IFERROR(VLOOKUP($C687,'SINAPI JULHO 2018'!$A:$D,4,0),IFERROR(VLOOKUP($C687,'5-COMP. PROPRIA'!$B$13:$I$518,8,0),""))</f>
        <v>37.81</v>
      </c>
      <c r="I687" s="440">
        <f>H687*'4-BDI'!$E$29</f>
        <v>48.487544</v>
      </c>
      <c r="J687" s="63">
        <f t="shared" si="364"/>
        <v>9573.49</v>
      </c>
      <c r="K687" s="190">
        <f t="shared" si="365"/>
        <v>12277.04</v>
      </c>
    </row>
    <row r="688" spans="2:11" ht="15">
      <c r="B688" s="13" t="s">
        <v>13305</v>
      </c>
      <c r="C688" s="435">
        <f>QUANT!C1958</f>
        <v>93382</v>
      </c>
      <c r="D688" s="435" t="str">
        <f>QUANT!D1958</f>
        <v>SINAPI</v>
      </c>
      <c r="E688" s="436" t="str">
        <f>IFERROR(VLOOKUP($C688,'SINAPI JULHO 2018'!$1:$1048576,2,0),IFERROR(VLOOKUP($C688,'5-COMP. PROPRIA'!$B$13:$I$518,4,0),""))</f>
        <v>REATERRO MANUAL DE VALAS COM COMPACTAÇÃO MECANIZADA. AF_04/2016</v>
      </c>
      <c r="F688" s="437" t="str">
        <f>IFERROR(VLOOKUP($C688,'SINAPI JULHO 2018'!$A:$D,3,0),IFERROR(VLOOKUP($C688,'5-COMP. PROPRIA'!$B$13:$I$518,5,0),""))</f>
        <v>M3</v>
      </c>
      <c r="G688" s="438">
        <f>QUANT!K1958</f>
        <v>44.3733</v>
      </c>
      <c r="H688" s="439">
        <f>IFERROR(VLOOKUP($C688,'SINAPI JULHO 2018'!$A:$D,4,0),IFERROR(VLOOKUP($C688,'5-COMP. PROPRIA'!$B$13:$I$518,8,0),""))</f>
        <v>19.27</v>
      </c>
      <c r="I688" s="440">
        <f>H688*'4-BDI'!$E$29</f>
        <v>24.711848</v>
      </c>
      <c r="J688" s="63">
        <f t="shared" si="364"/>
        <v>855.07</v>
      </c>
      <c r="K688" s="190">
        <f t="shared" si="365"/>
        <v>1096.54</v>
      </c>
    </row>
    <row r="689" spans="2:11" ht="30">
      <c r="B689" s="13" t="s">
        <v>13306</v>
      </c>
      <c r="C689" s="435" t="str">
        <f>QUANT!C1962</f>
        <v>74106/1</v>
      </c>
      <c r="D689" s="435" t="str">
        <f>QUANT!D1962</f>
        <v>SINAPI</v>
      </c>
      <c r="E689" s="436" t="str">
        <f>IFERROR(VLOOKUP($C689,'SINAPI JULHO 2018'!$1:$1048576,2,0),IFERROR(VLOOKUP($C689,'5-COMP. PROPRIA'!$B$13:$I$518,4,0),""))</f>
        <v>IMPERMEABILIZACAO DE ESTRUTURAS ENTERRADAS, COM TINTA ASFALTICA, DUAS DEMAOS.</v>
      </c>
      <c r="F689" s="437" t="str">
        <f>IFERROR(VLOOKUP($C689,'SINAPI JULHO 2018'!$A:$D,3,0),IFERROR(VLOOKUP($C689,'5-COMP. PROPRIA'!$B$13:$I$518,5,0),""))</f>
        <v>M2</v>
      </c>
      <c r="G689" s="438">
        <f>QUANT!K1962</f>
        <v>316.5</v>
      </c>
      <c r="H689" s="439">
        <f>IFERROR(VLOOKUP($C689,'SINAPI JULHO 2018'!$A:$D,4,0),IFERROR(VLOOKUP($C689,'5-COMP. PROPRIA'!$B$13:$I$518,8,0),""))</f>
        <v>9.5399999999999991</v>
      </c>
      <c r="I689" s="440">
        <f>H689*'4-BDI'!$E$29</f>
        <v>12.234095999999999</v>
      </c>
      <c r="J689" s="63">
        <f t="shared" si="364"/>
        <v>3019.41</v>
      </c>
      <c r="K689" s="190">
        <f t="shared" si="365"/>
        <v>3872.09</v>
      </c>
    </row>
    <row r="690" spans="2:11" ht="15">
      <c r="B690" s="13" t="s">
        <v>13307</v>
      </c>
      <c r="C690" s="435">
        <f>QUANT!C1964</f>
        <v>72897</v>
      </c>
      <c r="D690" s="435" t="str">
        <f>QUANT!D1964</f>
        <v>SINAPI</v>
      </c>
      <c r="E690" s="436" t="str">
        <f>IFERROR(VLOOKUP($C690,'SINAPI JULHO 2018'!$1:$1048576,2,0),IFERROR(VLOOKUP($C690,'5-COMP. PROPRIA'!$B$13:$I$518,4,0),""))</f>
        <v>CARGA MANUAL DE ENTULHO EM CAMINHAO BASCULANTE 6 M3</v>
      </c>
      <c r="F690" s="437" t="str">
        <f>IFERROR(VLOOKUP($C690,'SINAPI JULHO 2018'!$A:$D,3,0),IFERROR(VLOOKUP($C690,'5-COMP. PROPRIA'!$B$13:$I$518,5,0),""))</f>
        <v>M3</v>
      </c>
      <c r="G690" s="438">
        <f>QUANT!K1964</f>
        <v>24.686999999999998</v>
      </c>
      <c r="H690" s="439">
        <f>IFERROR(VLOOKUP($C690,'SINAPI JULHO 2018'!$A:$D,4,0),IFERROR(VLOOKUP($C690,'5-COMP. PROPRIA'!$B$13:$I$518,8,0),""))</f>
        <v>17.34</v>
      </c>
      <c r="I690" s="440">
        <f>H690*'4-BDI'!$E$29</f>
        <v>22.236816000000001</v>
      </c>
      <c r="J690" s="63">
        <f t="shared" si="364"/>
        <v>428.07</v>
      </c>
      <c r="K690" s="190">
        <f t="shared" si="365"/>
        <v>548.96</v>
      </c>
    </row>
    <row r="691" spans="2:11" ht="30">
      <c r="B691" s="13" t="s">
        <v>13308</v>
      </c>
      <c r="C691" s="435">
        <f>QUANT!C1968</f>
        <v>97914</v>
      </c>
      <c r="D691" s="435" t="str">
        <f>QUANT!D1968</f>
        <v>SINAPI</v>
      </c>
      <c r="E691" s="436" t="str">
        <f>IFERROR(VLOOKUP($C691,'SINAPI JULHO 2018'!$1:$1048576,2,0),IFERROR(VLOOKUP($C691,'5-COMP. PROPRIA'!$B$13:$I$518,4,0),""))</f>
        <v>TRANSPORTE COM CAMINHÃO BASCULANTE DE 6 M3, EM VIA URBANA PAVIMENTADA, DMT ATÉ 30 KM (UNIDADE: M3XKM). AF_01/2018</v>
      </c>
      <c r="F691" s="437" t="str">
        <f>IFERROR(VLOOKUP($C691,'SINAPI JULHO 2018'!$A:$D,3,0),IFERROR(VLOOKUP($C691,'5-COMP. PROPRIA'!$B$13:$I$518,5,0),""))</f>
        <v>M3XKM</v>
      </c>
      <c r="G691" s="438">
        <f>QUANT!K1968</f>
        <v>185.15249999999997</v>
      </c>
      <c r="H691" s="439">
        <f>IFERROR(VLOOKUP($C691,'SINAPI JULHO 2018'!$A:$D,4,0),IFERROR(VLOOKUP($C691,'5-COMP. PROPRIA'!$B$13:$I$518,8,0),""))</f>
        <v>1.52</v>
      </c>
      <c r="I691" s="440">
        <f>H691*'4-BDI'!$E$29</f>
        <v>1.9492480000000001</v>
      </c>
      <c r="J691" s="63">
        <f t="shared" si="364"/>
        <v>281.43</v>
      </c>
      <c r="K691" s="190">
        <f t="shared" si="365"/>
        <v>360.9</v>
      </c>
    </row>
    <row r="692" spans="2:11" ht="15">
      <c r="B692" s="362" t="s">
        <v>13309</v>
      </c>
      <c r="C692" s="363"/>
      <c r="D692" s="363"/>
      <c r="E692" s="363" t="str">
        <f>QUANT!E1972</f>
        <v>PILARES</v>
      </c>
      <c r="F692" s="364"/>
      <c r="G692" s="365"/>
      <c r="H692" s="366"/>
      <c r="I692" s="367"/>
      <c r="J692" s="368"/>
      <c r="K692" s="369"/>
    </row>
    <row r="693" spans="2:11" ht="15">
      <c r="B693" s="13" t="s">
        <v>13310</v>
      </c>
      <c r="C693" s="435" t="str">
        <f>QUANT!C1942</f>
        <v>74157/4</v>
      </c>
      <c r="D693" s="435" t="str">
        <f>QUANT!D1942</f>
        <v>SINAPI</v>
      </c>
      <c r="E693" s="436" t="str">
        <f>IFERROR(VLOOKUP($C693,'SINAPI JULHO 2018'!$1:$1048576,2,0),IFERROR(VLOOKUP($C693,'5-COMP. PROPRIA'!$B$13:$I$518,4,0),""))</f>
        <v>LANCAMENTO/APLICACAO MANUAL DE CONCRETO EM FUNDACOES</v>
      </c>
      <c r="F693" s="437" t="str">
        <f>IFERROR(VLOOKUP($C693,'SINAPI JULHO 2018'!$A:$D,3,0),IFERROR(VLOOKUP($C693,'5-COMP. PROPRIA'!$B$13:$I$518,5,0),""))</f>
        <v>M3</v>
      </c>
      <c r="G693" s="438">
        <f>QUANT!K1974</f>
        <v>1.8144</v>
      </c>
      <c r="H693" s="439">
        <f>IFERROR(VLOOKUP($C693,'SINAPI JULHO 2018'!$A:$D,4,0),IFERROR(VLOOKUP($C693,'5-COMP. PROPRIA'!$B$13:$I$518,8,0),""))</f>
        <v>93.76</v>
      </c>
      <c r="I693" s="440">
        <f>H693*'4-BDI'!$E$29</f>
        <v>120.237824</v>
      </c>
      <c r="J693" s="63">
        <f t="shared" ref="J693" si="366">TRUNC(G693*H693,2)</f>
        <v>170.11</v>
      </c>
      <c r="K693" s="190">
        <f t="shared" ref="K693" si="367">TRUNC(G693*I693,2)</f>
        <v>218.15</v>
      </c>
    </row>
    <row r="694" spans="2:11" ht="30">
      <c r="B694" s="13" t="s">
        <v>13311</v>
      </c>
      <c r="C694" s="435">
        <f>QUANT!C1980</f>
        <v>92873</v>
      </c>
      <c r="D694" s="435" t="str">
        <f>QUANT!D1980</f>
        <v>SINAPI</v>
      </c>
      <c r="E694" s="436" t="str">
        <f>IFERROR(VLOOKUP($C694,'SINAPI JULHO 2018'!$1:$1048576,2,0),IFERROR(VLOOKUP($C694,'5-COMP. PROPRIA'!$B$13:$I$518,4,0),""))</f>
        <v>LANÇAMENTO COM USO DE BALDES, ADENSAMENTO E ACABAMENTO DE CONCRETO EM ESTRUTURAS. AF_12/2015</v>
      </c>
      <c r="F694" s="437" t="str">
        <f>IFERROR(VLOOKUP($C694,'SINAPI JULHO 2018'!$A:$D,3,0),IFERROR(VLOOKUP($C694,'5-COMP. PROPRIA'!$B$13:$I$518,5,0),""))</f>
        <v>M3</v>
      </c>
      <c r="G694" s="438">
        <f>QUANT!K1980</f>
        <v>1.8144</v>
      </c>
      <c r="H694" s="439">
        <f>IFERROR(VLOOKUP($C694,'SINAPI JULHO 2018'!$A:$D,4,0),IFERROR(VLOOKUP($C694,'5-COMP. PROPRIA'!$B$13:$I$518,8,0),""))</f>
        <v>145.12</v>
      </c>
      <c r="I694" s="440">
        <f>H694*'4-BDI'!$E$29</f>
        <v>186.101888</v>
      </c>
      <c r="J694" s="63">
        <f t="shared" ref="J694:J697" si="368">TRUNC(G694*H694,2)</f>
        <v>263.3</v>
      </c>
      <c r="K694" s="190">
        <f t="shared" ref="K694:K697" si="369">TRUNC(G694*I694,2)</f>
        <v>337.66</v>
      </c>
    </row>
    <row r="695" spans="2:11" ht="45">
      <c r="B695" s="13" t="s">
        <v>13312</v>
      </c>
      <c r="C695" s="435">
        <f>QUANT!C1982</f>
        <v>92775</v>
      </c>
      <c r="D695" s="435" t="str">
        <f>QUANT!D1982</f>
        <v>SINAPI</v>
      </c>
      <c r="E695" s="436" t="str">
        <f>IFERROR(VLOOKUP($C695,'SINAPI JULHO 2018'!$1:$1048576,2,0),IFERROR(VLOOKUP($C695,'5-COMP. PROPRIA'!$B$13:$I$518,4,0),""))</f>
        <v>ARMAÇÃO DE PILAR OU VIGA DE UMA ESTRUTURA CONVENCIONAL DE CONCRETO ARMADO EM UMA EDIFICAÇÃO TÉRREA OU SOBRADO UTILIZANDO AÇO CA-60 DE 5,0 MM - MONTAGEM. AF_12/2015</v>
      </c>
      <c r="F695" s="437" t="str">
        <f>IFERROR(VLOOKUP($C695,'SINAPI JULHO 2018'!$A:$D,3,0),IFERROR(VLOOKUP($C695,'5-COMP. PROPRIA'!$B$13:$I$518,5,0),""))</f>
        <v>KG</v>
      </c>
      <c r="G695" s="438">
        <f>QUANT!K1982</f>
        <v>38.097494400000016</v>
      </c>
      <c r="H695" s="439">
        <f>IFERROR(VLOOKUP($C695,'SINAPI JULHO 2018'!$A:$D,4,0),IFERROR(VLOOKUP($C695,'5-COMP. PROPRIA'!$B$13:$I$518,8,0),""))</f>
        <v>11.07</v>
      </c>
      <c r="I695" s="440">
        <f>H695*'4-BDI'!$E$29</f>
        <v>14.196168</v>
      </c>
      <c r="J695" s="63">
        <f t="shared" si="368"/>
        <v>421.73</v>
      </c>
      <c r="K695" s="190">
        <f t="shared" si="369"/>
        <v>540.83000000000004</v>
      </c>
    </row>
    <row r="696" spans="2:11" ht="45">
      <c r="B696" s="13" t="s">
        <v>13313</v>
      </c>
      <c r="C696" s="435">
        <f>QUANT!C1989</f>
        <v>92778</v>
      </c>
      <c r="D696" s="435" t="str">
        <f>QUANT!D1989</f>
        <v>SINAPI</v>
      </c>
      <c r="E696" s="436" t="str">
        <f>IFERROR(VLOOKUP($C696,'SINAPI JULHO 2018'!$1:$1048576,2,0),IFERROR(VLOOKUP($C696,'5-COMP. PROPRIA'!$B$13:$I$518,4,0),""))</f>
        <v>ARMAÇÃO DE PILAR OU VIGA DE UMA ESTRUTURA CONVENCIONAL DE CONCRETO ARMADO EM UMA EDIFICAÇÃO TÉRREA OU SOBRADO UTILIZANDO AÇO CA-50 DE 10,0 MM - MONTAGEM. AF_12/2015</v>
      </c>
      <c r="F696" s="437" t="str">
        <f>IFERROR(VLOOKUP($C696,'SINAPI JULHO 2018'!$A:$D,3,0),IFERROR(VLOOKUP($C696,'5-COMP. PROPRIA'!$B$13:$I$518,5,0),""))</f>
        <v>KG</v>
      </c>
      <c r="G696" s="438">
        <f>QUANT!K1989</f>
        <v>126.00568800000003</v>
      </c>
      <c r="H696" s="439">
        <f>IFERROR(VLOOKUP($C696,'SINAPI JULHO 2018'!$A:$D,4,0),IFERROR(VLOOKUP($C696,'5-COMP. PROPRIA'!$B$13:$I$518,8,0),""))</f>
        <v>7.43</v>
      </c>
      <c r="I696" s="440">
        <f>H696*'4-BDI'!$E$29</f>
        <v>9.5282319999999991</v>
      </c>
      <c r="J696" s="63">
        <f t="shared" si="368"/>
        <v>936.22</v>
      </c>
      <c r="K696" s="190">
        <f t="shared" si="369"/>
        <v>1200.6099999999999</v>
      </c>
    </row>
    <row r="697" spans="2:11" ht="45">
      <c r="B697" s="13" t="s">
        <v>13314</v>
      </c>
      <c r="C697" s="435">
        <f>QUANT!C1996</f>
        <v>92412</v>
      </c>
      <c r="D697" s="435" t="str">
        <f>QUANT!D1996</f>
        <v>SINAPI</v>
      </c>
      <c r="E697" s="436" t="str">
        <f>IFERROR(VLOOKUP($C697,'SINAPI JULHO 2018'!$1:$1048576,2,0),IFERROR(VLOOKUP($C697,'5-COMP. PROPRIA'!$B$13:$I$518,4,0),""))</f>
        <v>MONTAGEM E DESMONTAGEM DE FÔRMA DE PILARES RETANGULARES E ESTRUTURAS SIMILARES COM ÁREA MÉDIA DAS SEÇÕES MENOR OU IGUAL A 0,25 M², PÉ-DIREITO SIMPLES, EM MADEIRA SERRADA, 4 UTILIZAÇÕES. AF_12/2015</v>
      </c>
      <c r="F697" s="437" t="str">
        <f>IFERROR(VLOOKUP($C697,'SINAPI JULHO 2018'!$A:$D,3,0),IFERROR(VLOOKUP($C697,'5-COMP. PROPRIA'!$B$13:$I$518,5,0),""))</f>
        <v>M2</v>
      </c>
      <c r="G697" s="438">
        <f>QUANT!K1996</f>
        <v>48.384</v>
      </c>
      <c r="H697" s="439">
        <f>IFERROR(VLOOKUP($C697,'SINAPI JULHO 2018'!$A:$D,4,0),IFERROR(VLOOKUP($C697,'5-COMP. PROPRIA'!$B$13:$I$518,8,0),""))</f>
        <v>61.12</v>
      </c>
      <c r="I697" s="440">
        <f>H697*'4-BDI'!$E$29</f>
        <v>78.380287999999993</v>
      </c>
      <c r="J697" s="63">
        <f t="shared" si="368"/>
        <v>2957.23</v>
      </c>
      <c r="K697" s="190">
        <f t="shared" si="369"/>
        <v>3792.35</v>
      </c>
    </row>
    <row r="698" spans="2:11" ht="15">
      <c r="B698" s="362" t="s">
        <v>13315</v>
      </c>
      <c r="C698" s="363"/>
      <c r="D698" s="363"/>
      <c r="E698" s="363" t="str">
        <f>QUANT!E2002</f>
        <v>ALVENARIA DE VEDAÇÃO, REVESTIMENTOS E PINTURA</v>
      </c>
      <c r="F698" s="364"/>
      <c r="G698" s="365"/>
      <c r="H698" s="366"/>
      <c r="I698" s="367"/>
      <c r="J698" s="368"/>
      <c r="K698" s="369"/>
    </row>
    <row r="699" spans="2:11" ht="60">
      <c r="B699" s="13" t="s">
        <v>13316</v>
      </c>
      <c r="C699" s="435">
        <f>QUANT!C2004</f>
        <v>87507</v>
      </c>
      <c r="D699" s="435" t="str">
        <f>QUANT!D2004</f>
        <v>SINAPI</v>
      </c>
      <c r="E699" s="436" t="str">
        <f>IFERROR(VLOOKUP($C699,'SINAPI JULHO 2018'!$1:$1048576,2,0),IFERROR(VLOOKUP($C699,'5-COMP. PROPRIA'!$B$13:$I$518,4,0),""))</f>
        <v>ALVENARIA DE VEDAÇÃO DE BLOCOS CERÂMICOS FURADOS NA HORIZONTAL DE 9X14X19CM (ESPESSURA 9CM) DE PAREDES COM ÁREA LÍQUIDA MAIOR OU IGUAL A 6M² SEM VÃOS E ARGAMASSA DE ASSENTAMENTO COM PREPARO EM BETONEIRA. AF_06/2014</v>
      </c>
      <c r="F699" s="437" t="str">
        <f>IFERROR(VLOOKUP($C699,'SINAPI JULHO 2018'!$A:$D,3,0),IFERROR(VLOOKUP($C699,'5-COMP. PROPRIA'!$B$13:$I$518,5,0),""))</f>
        <v>M2</v>
      </c>
      <c r="G699" s="438">
        <f>QUANT!K2004</f>
        <v>472.904</v>
      </c>
      <c r="H699" s="439">
        <f>IFERROR(VLOOKUP($C699,'SINAPI JULHO 2018'!$A:$D,4,0),IFERROR(VLOOKUP($C699,'5-COMP. PROPRIA'!$B$13:$I$518,8,0),""))</f>
        <v>55.37</v>
      </c>
      <c r="I699" s="440">
        <f>H699*'4-BDI'!$E$29</f>
        <v>71.00648799999999</v>
      </c>
      <c r="J699" s="63">
        <f t="shared" ref="J699" si="370">TRUNC(G699*H699,2)</f>
        <v>26184.69</v>
      </c>
      <c r="K699" s="190">
        <f t="shared" ref="K699" si="371">TRUNC(G699*I699,2)</f>
        <v>33579.25</v>
      </c>
    </row>
    <row r="700" spans="2:11" ht="45">
      <c r="B700" s="13" t="s">
        <v>13317</v>
      </c>
      <c r="C700" s="435">
        <f>QUANT!C2006</f>
        <v>87894</v>
      </c>
      <c r="D700" s="435" t="str">
        <f>QUANT!D2006</f>
        <v>SINAPI</v>
      </c>
      <c r="E700" s="436" t="str">
        <f>IFERROR(VLOOKUP($C700,'SINAPI JULHO 2018'!$1:$1048576,2,0),IFERROR(VLOOKUP($C700,'5-COMP. PROPRIA'!$B$13:$I$518,4,0),""))</f>
        <v>CHAPISCO APLICADO EM ALVENARIA (SEM PRESENÇA DE VÃOS) E ESTRUTURAS DE CONCRETO DE FACHADA, COM COLHER DE PEDREIRO.  ARGAMASSA TRAÇO 1:3 COM PREPARO EM BETONEIRA 400L. AF_06/2014</v>
      </c>
      <c r="F700" s="437" t="str">
        <f>IFERROR(VLOOKUP($C700,'SINAPI JULHO 2018'!$A:$D,3,0),IFERROR(VLOOKUP($C700,'5-COMP. PROPRIA'!$B$13:$I$518,5,0),""))</f>
        <v>M2</v>
      </c>
      <c r="G700" s="438">
        <f>QUANT!K2006</f>
        <v>945.80799999999999</v>
      </c>
      <c r="H700" s="439">
        <f>IFERROR(VLOOKUP($C700,'SINAPI JULHO 2018'!$A:$D,4,0),IFERROR(VLOOKUP($C700,'5-COMP. PROPRIA'!$B$13:$I$518,8,0),""))</f>
        <v>4.41</v>
      </c>
      <c r="I700" s="440">
        <f>H700*'4-BDI'!$E$29</f>
        <v>5.6553839999999997</v>
      </c>
      <c r="J700" s="63">
        <f t="shared" ref="J700:J704" si="372">TRUNC(G700*H700,2)</f>
        <v>4171.01</v>
      </c>
      <c r="K700" s="190">
        <f t="shared" ref="K700:K704" si="373">TRUNC(G700*I700,2)</f>
        <v>5348.9</v>
      </c>
    </row>
    <row r="701" spans="2:11" ht="30">
      <c r="B701" s="13" t="s">
        <v>13318</v>
      </c>
      <c r="C701" s="435" t="str">
        <f>QUANT!C2008</f>
        <v>74106/1</v>
      </c>
      <c r="D701" s="435" t="str">
        <f>QUANT!D2008</f>
        <v>SINAPI</v>
      </c>
      <c r="E701" s="436" t="str">
        <f>IFERROR(VLOOKUP($C701,'SINAPI JULHO 2018'!$1:$1048576,2,0),IFERROR(VLOOKUP($C701,'5-COMP. PROPRIA'!$B$13:$I$518,4,0),""))</f>
        <v>IMPERMEABILIZACAO DE ESTRUTURAS ENTERRADAS, COM TINTA ASFALTICA, DUAS DEMAOS.</v>
      </c>
      <c r="F701" s="437" t="str">
        <f>IFERROR(VLOOKUP($C701,'SINAPI JULHO 2018'!$A:$D,3,0),IFERROR(VLOOKUP($C701,'5-COMP. PROPRIA'!$B$13:$I$518,5,0),""))</f>
        <v>M2</v>
      </c>
      <c r="G701" s="438">
        <f>QUANT!K2008</f>
        <v>787.50800000000004</v>
      </c>
      <c r="H701" s="439">
        <f>IFERROR(VLOOKUP($C701,'SINAPI JULHO 2018'!$A:$D,4,0),IFERROR(VLOOKUP($C701,'5-COMP. PROPRIA'!$B$13:$I$518,8,0),""))</f>
        <v>9.5399999999999991</v>
      </c>
      <c r="I701" s="440">
        <f>H701*'4-BDI'!$E$29</f>
        <v>12.234095999999999</v>
      </c>
      <c r="J701" s="63">
        <f t="shared" si="372"/>
        <v>7512.82</v>
      </c>
      <c r="K701" s="190">
        <f t="shared" si="373"/>
        <v>9634.44</v>
      </c>
    </row>
    <row r="702" spans="2:11" ht="60">
      <c r="B702" s="13" t="s">
        <v>13319</v>
      </c>
      <c r="C702" s="435">
        <f>QUANT!C2010</f>
        <v>87529</v>
      </c>
      <c r="D702" s="435" t="str">
        <f>QUANT!D2010</f>
        <v>SINAPI</v>
      </c>
      <c r="E702" s="436" t="str">
        <f>IFERROR(VLOOKUP($C702,'SINAPI JULHO 2018'!$1:$1048576,2,0),IFERROR(VLOOKUP($C702,'5-COMP. PROPRIA'!$B$13:$I$518,4,0),""))</f>
        <v>MASSA ÚNICA, PARA RECEBIMENTO DE PINTURA, EM ARGAMASSA TRAÇO 1:2:8, PREPARO MECÂNICO COM BETONEIRA 400L, APLICADA MANUALMENTE EM FACES INTERNAS DE PAREDES, ESPESSURA DE 20MM, COM EXECUÇÃO DE TALISCAS. AF_06/2014</v>
      </c>
      <c r="F702" s="437" t="str">
        <f>IFERROR(VLOOKUP($C702,'SINAPI JULHO 2018'!$A:$D,3,0),IFERROR(VLOOKUP($C702,'5-COMP. PROPRIA'!$B$13:$I$518,5,0),""))</f>
        <v>M2</v>
      </c>
      <c r="G702" s="438">
        <f>QUANT!K2010</f>
        <v>158.29999999999998</v>
      </c>
      <c r="H702" s="439">
        <f>IFERROR(VLOOKUP($C702,'SINAPI JULHO 2018'!$A:$D,4,0),IFERROR(VLOOKUP($C702,'5-COMP. PROPRIA'!$B$13:$I$518,8,0),""))</f>
        <v>23.86</v>
      </c>
      <c r="I702" s="440">
        <f>H702*'4-BDI'!$E$29</f>
        <v>30.598063999999997</v>
      </c>
      <c r="J702" s="63">
        <f t="shared" si="372"/>
        <v>3777.03</v>
      </c>
      <c r="K702" s="190">
        <f t="shared" si="373"/>
        <v>4843.67</v>
      </c>
    </row>
    <row r="703" spans="2:11" ht="30">
      <c r="B703" s="13" t="s">
        <v>13320</v>
      </c>
      <c r="C703" s="435">
        <f>QUANT!C2012</f>
        <v>88485</v>
      </c>
      <c r="D703" s="435" t="str">
        <f>QUANT!D2012</f>
        <v>SINAPI</v>
      </c>
      <c r="E703" s="436" t="str">
        <f>IFERROR(VLOOKUP($C703,'SINAPI JULHO 2018'!$1:$1048576,2,0),IFERROR(VLOOKUP($C703,'5-COMP. PROPRIA'!$B$13:$I$518,4,0),""))</f>
        <v>APLICAÇÃO DE FUNDO SELADOR ACRÍLICO EM PAREDES, UMA DEMÃO. AF_06/2014</v>
      </c>
      <c r="F703" s="437" t="str">
        <f>IFERROR(VLOOKUP($C703,'SINAPI JULHO 2018'!$A:$D,3,0),IFERROR(VLOOKUP($C703,'5-COMP. PROPRIA'!$B$13:$I$518,5,0),""))</f>
        <v>M2</v>
      </c>
      <c r="G703" s="438">
        <f>QUANT!K2012</f>
        <v>158.29999999999998</v>
      </c>
      <c r="H703" s="439">
        <f>IFERROR(VLOOKUP($C703,'SINAPI JULHO 2018'!$A:$D,4,0),IFERROR(VLOOKUP($C703,'5-COMP. PROPRIA'!$B$13:$I$518,8,0),""))</f>
        <v>1.6</v>
      </c>
      <c r="I703" s="440">
        <f>H703*'4-BDI'!$E$29</f>
        <v>2.0518399999999999</v>
      </c>
      <c r="J703" s="63">
        <f t="shared" si="372"/>
        <v>253.28</v>
      </c>
      <c r="K703" s="190">
        <f t="shared" si="373"/>
        <v>324.8</v>
      </c>
    </row>
    <row r="704" spans="2:11" ht="30">
      <c r="B704" s="13" t="s">
        <v>13321</v>
      </c>
      <c r="C704" s="435">
        <f>QUANT!C2014</f>
        <v>88489</v>
      </c>
      <c r="D704" s="435" t="str">
        <f>QUANT!D2014</f>
        <v>SINAPI</v>
      </c>
      <c r="E704" s="436" t="str">
        <f>IFERROR(VLOOKUP($C704,'SINAPI JULHO 2018'!$1:$1048576,2,0),IFERROR(VLOOKUP($C704,'5-COMP. PROPRIA'!$B$13:$I$518,4,0),""))</f>
        <v>APLICAÇÃO MANUAL DE PINTURA COM TINTA LÁTEX ACRÍLICA EM PAREDES, DUAS DEMÃOS. AF_06/2014</v>
      </c>
      <c r="F704" s="437" t="str">
        <f>IFERROR(VLOOKUP($C704,'SINAPI JULHO 2018'!$A:$D,3,0),IFERROR(VLOOKUP($C704,'5-COMP. PROPRIA'!$B$13:$I$518,5,0),""))</f>
        <v>M2</v>
      </c>
      <c r="G704" s="438">
        <f>QUANT!K2014</f>
        <v>158.29999999999998</v>
      </c>
      <c r="H704" s="439">
        <f>IFERROR(VLOOKUP($C704,'SINAPI JULHO 2018'!$A:$D,4,0),IFERROR(VLOOKUP($C704,'5-COMP. PROPRIA'!$B$13:$I$518,8,0),""))</f>
        <v>9.69</v>
      </c>
      <c r="I704" s="440">
        <f>H704*'4-BDI'!$E$29</f>
        <v>12.426456</v>
      </c>
      <c r="J704" s="63">
        <f t="shared" si="372"/>
        <v>1533.92</v>
      </c>
      <c r="K704" s="190">
        <f t="shared" si="373"/>
        <v>1967.1</v>
      </c>
    </row>
    <row r="705" spans="2:11" ht="15">
      <c r="B705" s="362" t="s">
        <v>13322</v>
      </c>
      <c r="C705" s="363"/>
      <c r="D705" s="363"/>
      <c r="E705" s="363" t="str">
        <f>QUANT!E2016</f>
        <v xml:space="preserve">ATERRO </v>
      </c>
      <c r="F705" s="364"/>
      <c r="G705" s="365"/>
      <c r="H705" s="366"/>
      <c r="I705" s="367"/>
      <c r="J705" s="368"/>
      <c r="K705" s="369"/>
    </row>
    <row r="706" spans="2:11" ht="15">
      <c r="B706" s="13" t="s">
        <v>13323</v>
      </c>
      <c r="C706" s="435" t="str">
        <f>QUANT!C2018</f>
        <v>CP-TRP-01</v>
      </c>
      <c r="D706" s="435" t="str">
        <f>QUANT!D2018</f>
        <v>PRÓRPIA</v>
      </c>
      <c r="E706" s="436" t="str">
        <f>IFERROR(VLOOKUP($C706,'SINAPI JULHO 2018'!$1:$1048576,2,0),IFERROR(VLOOKUP($C706,'5-COMP. PROPRIA'!$B$13:$I$518,4,0),""))</f>
        <v>AQUISIÇÃO DE CARGA E TRANSPORTE DE SOLO PARA ATERRO</v>
      </c>
      <c r="F706" s="437" t="str">
        <f>IFERROR(VLOOKUP($C706,'SINAPI JULHO 2018'!$A:$D,3,0),IFERROR(VLOOKUP($C706,'5-COMP. PROPRIA'!$B$13:$I$518,5,0),""))</f>
        <v xml:space="preserve">M3    </v>
      </c>
      <c r="G706" s="438">
        <f>QUANT!K2018</f>
        <v>157.5</v>
      </c>
      <c r="H706" s="439">
        <f>IFERROR(VLOOKUP($C706,'SINAPI JULHO 2018'!$A:$D,4,0),IFERROR(VLOOKUP($C706,'5-COMP. PROPRIA'!$B$13:$I$518,8,0),""))</f>
        <v>88.86</v>
      </c>
      <c r="I706" s="440">
        <f>H706*'4-BDI'!$E$29</f>
        <v>113.954064</v>
      </c>
      <c r="J706" s="63">
        <f t="shared" ref="J706" si="374">TRUNC(G706*H706,2)</f>
        <v>13995.45</v>
      </c>
      <c r="K706" s="190">
        <f t="shared" ref="K706" si="375">TRUNC(G706*I706,2)</f>
        <v>17947.759999999998</v>
      </c>
    </row>
    <row r="707" spans="2:11" ht="30">
      <c r="B707" s="13" t="s">
        <v>13324</v>
      </c>
      <c r="C707" s="435">
        <f>QUANT!C2022</f>
        <v>96385</v>
      </c>
      <c r="D707" s="435" t="str">
        <f>QUANT!D2022</f>
        <v>SINAPI</v>
      </c>
      <c r="E707" s="436" t="str">
        <f>IFERROR(VLOOKUP($C707,'SINAPI JULHO 2018'!$1:$1048576,2,0),IFERROR(VLOOKUP($C707,'5-COMP. PROPRIA'!$B$13:$I$518,4,0),""))</f>
        <v>EXECUÇÃO E COMPACTAÇÃO DE ATERRO COM SOLO PREDOMINANTEMENTE ARGILOSO - EXCLUSIVE ESCAVAÇÃO, CARGA E TRANSPORTE E SOLO. AF_09/2017</v>
      </c>
      <c r="F707" s="437" t="str">
        <f>IFERROR(VLOOKUP($C707,'SINAPI JULHO 2018'!$A:$D,3,0),IFERROR(VLOOKUP($C707,'5-COMP. PROPRIA'!$B$13:$I$518,5,0),""))</f>
        <v>M3</v>
      </c>
      <c r="G707" s="438">
        <f>QUANT!K2022</f>
        <v>157.5</v>
      </c>
      <c r="H707" s="439">
        <f>IFERROR(VLOOKUP($C707,'SINAPI JULHO 2018'!$A:$D,4,0),IFERROR(VLOOKUP($C707,'5-COMP. PROPRIA'!$B$13:$I$518,8,0),""))</f>
        <v>4.8499999999999996</v>
      </c>
      <c r="I707" s="440">
        <f>H707*'4-BDI'!$E$29</f>
        <v>6.2196399999999992</v>
      </c>
      <c r="J707" s="63">
        <f t="shared" ref="J707" si="376">TRUNC(G707*H707,2)</f>
        <v>763.87</v>
      </c>
      <c r="K707" s="190">
        <f t="shared" ref="K707" si="377">TRUNC(G707*I707,2)</f>
        <v>979.59</v>
      </c>
    </row>
    <row r="708" spans="2:11" ht="15">
      <c r="B708" s="362" t="s">
        <v>13325</v>
      </c>
      <c r="C708" s="363"/>
      <c r="D708" s="363"/>
      <c r="E708" s="363" t="str">
        <f>QUANT!E2024</f>
        <v>LAJE PARA ASSENTO</v>
      </c>
      <c r="F708" s="364"/>
      <c r="G708" s="365"/>
      <c r="H708" s="366"/>
      <c r="I708" s="367"/>
      <c r="J708" s="368"/>
      <c r="K708" s="369"/>
    </row>
    <row r="709" spans="2:11" ht="30">
      <c r="B709" s="13" t="s">
        <v>13326</v>
      </c>
      <c r="C709" s="435">
        <f>QUANT!C2026</f>
        <v>94964</v>
      </c>
      <c r="D709" s="435" t="str">
        <f>QUANT!D2026</f>
        <v>SINAPI</v>
      </c>
      <c r="E709" s="436" t="str">
        <f>IFERROR(VLOOKUP($C709,'SINAPI JULHO 2018'!$1:$1048576,2,0),IFERROR(VLOOKUP($C709,'5-COMP. PROPRIA'!$B$13:$I$518,4,0),""))</f>
        <v>CONCRETO FCK = 20MPA, TRAÇO 1:2,7:3 (CIMENTO/ AREIA MÉDIA/ BRITA 1)  - PREPARO MECÂNICO COM BETONEIRA 400 L. AF_07/2016</v>
      </c>
      <c r="F709" s="437" t="str">
        <f>IFERROR(VLOOKUP($C709,'SINAPI JULHO 2018'!$A:$D,3,0),IFERROR(VLOOKUP($C709,'5-COMP. PROPRIA'!$B$13:$I$518,5,0),""))</f>
        <v>M3</v>
      </c>
      <c r="G709" s="438">
        <f>QUANT!K2026</f>
        <v>16.8</v>
      </c>
      <c r="H709" s="439">
        <f>IFERROR(VLOOKUP($C709,'SINAPI JULHO 2018'!$A:$D,4,0),IFERROR(VLOOKUP($C709,'5-COMP. PROPRIA'!$B$13:$I$518,8,0),""))</f>
        <v>310.08999999999997</v>
      </c>
      <c r="I709" s="440">
        <f>H709*'4-BDI'!$E$29</f>
        <v>397.65941599999996</v>
      </c>
      <c r="J709" s="63">
        <f t="shared" ref="J709" si="378">TRUNC(G709*H709,2)</f>
        <v>5209.51</v>
      </c>
      <c r="K709" s="190">
        <f t="shared" ref="K709" si="379">TRUNC(G709*I709,2)</f>
        <v>6680.67</v>
      </c>
    </row>
    <row r="710" spans="2:11" ht="15">
      <c r="B710" s="13" t="s">
        <v>13327</v>
      </c>
      <c r="C710" s="435" t="str">
        <f>QUANT!C2028</f>
        <v>74157/4</v>
      </c>
      <c r="D710" s="435" t="str">
        <f>QUANT!D2028</f>
        <v>SINAPI</v>
      </c>
      <c r="E710" s="436" t="str">
        <f>IFERROR(VLOOKUP($C710,'SINAPI JULHO 2018'!$1:$1048576,2,0),IFERROR(VLOOKUP($C710,'5-COMP. PROPRIA'!$B$13:$I$518,4,0),""))</f>
        <v>LANCAMENTO/APLICACAO MANUAL DE CONCRETO EM FUNDACOES</v>
      </c>
      <c r="F710" s="437" t="str">
        <f>IFERROR(VLOOKUP($C710,'SINAPI JULHO 2018'!$A:$D,3,0),IFERROR(VLOOKUP($C710,'5-COMP. PROPRIA'!$B$13:$I$518,5,0),""))</f>
        <v>M3</v>
      </c>
      <c r="G710" s="438">
        <f>QUANT!K2028</f>
        <v>16.8</v>
      </c>
      <c r="H710" s="439">
        <f>IFERROR(VLOOKUP($C710,'SINAPI JULHO 2018'!$A:$D,4,0),IFERROR(VLOOKUP($C710,'5-COMP. PROPRIA'!$B$13:$I$518,8,0),""))</f>
        <v>93.76</v>
      </c>
      <c r="I710" s="440">
        <f>H710*'4-BDI'!$E$29</f>
        <v>120.237824</v>
      </c>
      <c r="J710" s="63">
        <f t="shared" ref="J710:J713" si="380">TRUNC(G710*H710,2)</f>
        <v>1575.16</v>
      </c>
      <c r="K710" s="190">
        <f t="shared" ref="K710:K713" si="381">TRUNC(G710*I710,2)</f>
        <v>2019.99</v>
      </c>
    </row>
    <row r="711" spans="2:11" ht="30">
      <c r="B711" s="13" t="s">
        <v>13328</v>
      </c>
      <c r="C711" s="435">
        <f>QUANT!C2030</f>
        <v>85662</v>
      </c>
      <c r="D711" s="435" t="str">
        <f>QUANT!D2030</f>
        <v>SINAPI</v>
      </c>
      <c r="E711" s="436" t="str">
        <f>IFERROR(VLOOKUP($C711,'SINAPI JULHO 2018'!$1:$1048576,2,0),IFERROR(VLOOKUP($C711,'5-COMP. PROPRIA'!$B$13:$I$518,4,0),""))</f>
        <v>ARMACAO EM TELA DE ACO SOLDADA NERVURADA Q-92, ACO CA-60, 4,2MM, MALHA 15X15CM</v>
      </c>
      <c r="F711" s="437" t="str">
        <f>IFERROR(VLOOKUP($C711,'SINAPI JULHO 2018'!$A:$D,3,0),IFERROR(VLOOKUP($C711,'5-COMP. PROPRIA'!$B$13:$I$518,5,0),""))</f>
        <v>M2</v>
      </c>
      <c r="G711" s="438">
        <f>QUANT!K2030</f>
        <v>210</v>
      </c>
      <c r="H711" s="439">
        <f>IFERROR(VLOOKUP($C711,'SINAPI JULHO 2018'!$A:$D,4,0),IFERROR(VLOOKUP($C711,'5-COMP. PROPRIA'!$B$13:$I$518,8,0),""))</f>
        <v>9.58</v>
      </c>
      <c r="I711" s="440">
        <f>H711*'4-BDI'!$E$29</f>
        <v>12.285392</v>
      </c>
      <c r="J711" s="63">
        <f t="shared" si="380"/>
        <v>2011.8</v>
      </c>
      <c r="K711" s="190">
        <f t="shared" si="381"/>
        <v>2579.9299999999998</v>
      </c>
    </row>
    <row r="712" spans="2:11" ht="45">
      <c r="B712" s="13" t="s">
        <v>13329</v>
      </c>
      <c r="C712" s="435">
        <f>QUANT!C2032</f>
        <v>92486</v>
      </c>
      <c r="D712" s="435" t="str">
        <f>QUANT!D2032</f>
        <v>SINAPI</v>
      </c>
      <c r="E712" s="436" t="str">
        <f>IFERROR(VLOOKUP($C712,'SINAPI JULHO 2018'!$1:$1048576,2,0),IFERROR(VLOOKUP($C712,'5-COMP. PROPRIA'!$B$13:$I$518,4,0),""))</f>
        <v>MONTAGEM E DESMONTAGEM DE FÔRMA DE LAJE MACIÇA COM ÁREA MÉDIA MAIOR QUE 20 M², PÉ-DIREITO SIMPLES, EM MADEIRA SERRADA, 4 UTILIZAÇÕES. AF_12/2015</v>
      </c>
      <c r="F712" s="437" t="str">
        <f>IFERROR(VLOOKUP($C712,'SINAPI JULHO 2018'!$A:$D,3,0),IFERROR(VLOOKUP($C712,'5-COMP. PROPRIA'!$B$13:$I$518,5,0),""))</f>
        <v>M2</v>
      </c>
      <c r="G712" s="438">
        <f>QUANT!K2032</f>
        <v>315</v>
      </c>
      <c r="H712" s="439">
        <f>IFERROR(VLOOKUP($C712,'SINAPI JULHO 2018'!$A:$D,4,0),IFERROR(VLOOKUP($C712,'5-COMP. PROPRIA'!$B$13:$I$518,8,0),""))</f>
        <v>76.349999999999994</v>
      </c>
      <c r="I712" s="440">
        <f>H712*'4-BDI'!$E$29</f>
        <v>97.911239999999992</v>
      </c>
      <c r="J712" s="63">
        <f t="shared" si="380"/>
        <v>24050.25</v>
      </c>
      <c r="K712" s="190">
        <f t="shared" si="381"/>
        <v>30842.04</v>
      </c>
    </row>
    <row r="713" spans="2:11" ht="15">
      <c r="B713" s="13" t="s">
        <v>13330</v>
      </c>
      <c r="C713" s="435">
        <f>QUANT!C2034</f>
        <v>40780</v>
      </c>
      <c r="D713" s="435" t="str">
        <f>QUANT!D2034</f>
        <v>SINAPI</v>
      </c>
      <c r="E713" s="436" t="str">
        <f>IFERROR(VLOOKUP($C713,'SINAPI JULHO 2018'!$1:$1048576,2,0),IFERROR(VLOOKUP($C713,'5-COMP. PROPRIA'!$B$13:$I$518,4,0),""))</f>
        <v>REGULARIZAÇÃO DE SUPERFICIE DE CONCRETO APARENTE</v>
      </c>
      <c r="F713" s="437" t="str">
        <f>IFERROR(VLOOKUP($C713,'SINAPI JULHO 2018'!$A:$D,3,0),IFERROR(VLOOKUP($C713,'5-COMP. PROPRIA'!$B$13:$I$518,5,0),""))</f>
        <v>M2</v>
      </c>
      <c r="G713" s="438">
        <f>QUANT!K2034</f>
        <v>210</v>
      </c>
      <c r="H713" s="439">
        <f>IFERROR(VLOOKUP($C713,'SINAPI JULHO 2018'!$A:$D,4,0),IFERROR(VLOOKUP($C713,'5-COMP. PROPRIA'!$B$13:$I$518,8,0),""))</f>
        <v>8.43</v>
      </c>
      <c r="I713" s="440">
        <f>H713*'4-BDI'!$E$29</f>
        <v>10.810632</v>
      </c>
      <c r="J713" s="63">
        <f t="shared" si="380"/>
        <v>1770.3</v>
      </c>
      <c r="K713" s="190">
        <f t="shared" si="381"/>
        <v>2270.23</v>
      </c>
    </row>
    <row r="714" spans="2:11" ht="15">
      <c r="B714" s="13" t="s">
        <v>13331</v>
      </c>
      <c r="C714" s="435" t="str">
        <f>QUANT!C2036</f>
        <v>79500/2</v>
      </c>
      <c r="D714" s="435" t="str">
        <f>QUANT!D2036</f>
        <v>SINAPI</v>
      </c>
      <c r="E714" s="436" t="str">
        <f>IFERROR(VLOOKUP($C714,'SINAPI JULHO 2018'!$1:$1048576,2,0),IFERROR(VLOOKUP($C714,'5-COMP. PROPRIA'!$B$13:$I$518,4,0),""))</f>
        <v>PINTURA ACRILICA EM PISO CIMENTADO, TRES DEMAOS</v>
      </c>
      <c r="F714" s="437" t="str">
        <f>IFERROR(VLOOKUP($C714,'SINAPI JULHO 2018'!$A:$D,3,0),IFERROR(VLOOKUP($C714,'5-COMP. PROPRIA'!$B$13:$I$518,5,0),""))</f>
        <v>M2</v>
      </c>
      <c r="G714" s="438">
        <f>QUANT!K2036</f>
        <v>210</v>
      </c>
      <c r="H714" s="439">
        <f>IFERROR(VLOOKUP($C714,'SINAPI JULHO 2018'!$A:$D,4,0),IFERROR(VLOOKUP($C714,'5-COMP. PROPRIA'!$B$13:$I$518,8,0),""))</f>
        <v>16.12</v>
      </c>
      <c r="I714" s="440">
        <f>H714*'4-BDI'!$E$29</f>
        <v>20.672288000000002</v>
      </c>
      <c r="J714" s="63">
        <f t="shared" ref="J714" si="382">TRUNC(G714*H714,2)</f>
        <v>3385.2</v>
      </c>
      <c r="K714" s="190">
        <f t="shared" ref="K714" si="383">TRUNC(G714*I714,2)</f>
        <v>4341.18</v>
      </c>
    </row>
    <row r="715" spans="2:11" ht="15">
      <c r="B715" s="362" t="s">
        <v>13332</v>
      </c>
      <c r="C715" s="363"/>
      <c r="D715" s="363"/>
      <c r="E715" s="363" t="str">
        <f>QUANT!E2038</f>
        <v xml:space="preserve">GUARDA CORPO </v>
      </c>
      <c r="F715" s="364"/>
      <c r="G715" s="365"/>
      <c r="H715" s="366"/>
      <c r="I715" s="367"/>
      <c r="J715" s="368"/>
      <c r="K715" s="369"/>
    </row>
    <row r="716" spans="2:11" ht="15">
      <c r="B716" s="13" t="s">
        <v>13333</v>
      </c>
      <c r="C716" s="435" t="str">
        <f>QUANT!C2040</f>
        <v>74195/1</v>
      </c>
      <c r="D716" s="435" t="str">
        <f>QUANT!D2040</f>
        <v>SINAPI</v>
      </c>
      <c r="E716" s="436" t="str">
        <f>IFERROR(VLOOKUP($C716,'SINAPI JULHO 2018'!$1:$1048576,2,0),IFERROR(VLOOKUP($C716,'5-COMP. PROPRIA'!$B$13:$I$518,4,0),""))</f>
        <v>GUARDA-CORPO  COM CORRIMAO EM FERRO BARRA CHATA 3/16"</v>
      </c>
      <c r="F716" s="437" t="str">
        <f>IFERROR(VLOOKUP($C716,'SINAPI JULHO 2018'!$A:$D,3,0),IFERROR(VLOOKUP($C716,'5-COMP. PROPRIA'!$B$13:$I$518,5,0),""))</f>
        <v>M</v>
      </c>
      <c r="G716" s="438">
        <f>QUANT!K2040</f>
        <v>14</v>
      </c>
      <c r="H716" s="439">
        <f>IFERROR(VLOOKUP($C716,'SINAPI JULHO 2018'!$A:$D,4,0),IFERROR(VLOOKUP($C716,'5-COMP. PROPRIA'!$B$13:$I$518,8,0),""))</f>
        <v>404.58</v>
      </c>
      <c r="I716" s="440">
        <f>H716*'4-BDI'!$E$29</f>
        <v>518.833392</v>
      </c>
      <c r="J716" s="63">
        <f t="shared" ref="J716" si="384">TRUNC(G716*H716,2)</f>
        <v>5664.12</v>
      </c>
      <c r="K716" s="190">
        <f t="shared" ref="K716" si="385">TRUNC(G716*I716,2)</f>
        <v>7263.66</v>
      </c>
    </row>
    <row r="717" spans="2:11" ht="15">
      <c r="B717" s="13" t="s">
        <v>13334</v>
      </c>
      <c r="C717" s="435" t="str">
        <f>QUANT!C2042</f>
        <v>CP-LIX-02</v>
      </c>
      <c r="D717" s="435" t="str">
        <f>QUANT!D2042</f>
        <v>PRÓRPIA</v>
      </c>
      <c r="E717" s="436" t="str">
        <f>IFERROR(VLOOKUP($C717,'SINAPI JULHO 2018'!$1:$1048576,2,0),IFERROR(VLOOKUP($C717,'5-COMP. PROPRIA'!$B$13:$I$518,4,0),""))</f>
        <v xml:space="preserve">LIXAMENTO DE SUPERFICIE METÁLICA </v>
      </c>
      <c r="F717" s="437" t="str">
        <f>IFERROR(VLOOKUP($C717,'SINAPI JULHO 2018'!$A:$D,3,0),IFERROR(VLOOKUP($C717,'5-COMP. PROPRIA'!$B$13:$I$518,5,0),""))</f>
        <v>M2</v>
      </c>
      <c r="G717" s="438">
        <f>QUANT!K2042</f>
        <v>33.6</v>
      </c>
      <c r="H717" s="439">
        <f>IFERROR(VLOOKUP($C717,'SINAPI JULHO 2018'!$A:$D,4,0),IFERROR(VLOOKUP($C717,'5-COMP. PROPRIA'!$B$13:$I$518,8,0),""))</f>
        <v>4.66</v>
      </c>
      <c r="I717" s="440">
        <f>H717*'4-BDI'!$E$29</f>
        <v>5.9759840000000004</v>
      </c>
      <c r="J717" s="63">
        <f t="shared" ref="J717:J718" si="386">TRUNC(G717*H717,2)</f>
        <v>156.57</v>
      </c>
      <c r="K717" s="190">
        <f t="shared" ref="K717:K718" si="387">TRUNC(G717*I717,2)</f>
        <v>200.79</v>
      </c>
    </row>
    <row r="718" spans="2:11" ht="15">
      <c r="B718" s="13" t="s">
        <v>13335</v>
      </c>
      <c r="C718" s="435" t="str">
        <f>QUANT!C2044</f>
        <v>73924/1</v>
      </c>
      <c r="D718" s="435" t="str">
        <f>QUANT!D2044</f>
        <v>SINAPI</v>
      </c>
      <c r="E718" s="436" t="str">
        <f>IFERROR(VLOOKUP($C718,'SINAPI JULHO 2018'!$1:$1048576,2,0),IFERROR(VLOOKUP($C718,'5-COMP. PROPRIA'!$B$13:$I$518,4,0),""))</f>
        <v>PINTURA ESMALTE ALTO BRILHO, DUAS DEMAOS, SOBRE SUPERFICIE METALICA</v>
      </c>
      <c r="F718" s="437" t="str">
        <f>IFERROR(VLOOKUP($C718,'SINAPI JULHO 2018'!$A:$D,3,0),IFERROR(VLOOKUP($C718,'5-COMP. PROPRIA'!$B$13:$I$518,5,0),""))</f>
        <v>M2</v>
      </c>
      <c r="G718" s="438">
        <f>QUANT!K2044</f>
        <v>33.6</v>
      </c>
      <c r="H718" s="439">
        <f>IFERROR(VLOOKUP($C718,'SINAPI JULHO 2018'!$A:$D,4,0),IFERROR(VLOOKUP($C718,'5-COMP. PROPRIA'!$B$13:$I$518,8,0),""))</f>
        <v>21.24</v>
      </c>
      <c r="I718" s="440">
        <f>H718*'4-BDI'!$E$29</f>
        <v>27.238175999999999</v>
      </c>
      <c r="J718" s="63">
        <f t="shared" si="386"/>
        <v>713.66</v>
      </c>
      <c r="K718" s="190">
        <f t="shared" si="387"/>
        <v>915.2</v>
      </c>
    </row>
    <row r="719" spans="2:11" ht="15">
      <c r="B719" s="521" t="s">
        <v>12756</v>
      </c>
      <c r="C719" s="522"/>
      <c r="D719" s="522"/>
      <c r="E719" s="522"/>
      <c r="F719" s="522"/>
      <c r="G719" s="522"/>
      <c r="H719" s="522"/>
      <c r="I719" s="218"/>
      <c r="J719" s="64">
        <f>TRUNC(SUM(J678:J718),2)</f>
        <v>155463.28</v>
      </c>
      <c r="K719" s="434">
        <f>TRUNC(SUM(K678:K718),2)</f>
        <v>199366.11</v>
      </c>
    </row>
    <row r="720" spans="2:11" ht="15">
      <c r="B720" s="305" t="s">
        <v>13336</v>
      </c>
      <c r="C720" s="306"/>
      <c r="D720" s="307"/>
      <c r="E720" s="308" t="str">
        <f>QUANT!E2046</f>
        <v xml:space="preserve">PISO DE CONCRETO NO ENTORNO DE ARQIBANCADA </v>
      </c>
      <c r="F720" s="309"/>
      <c r="G720" s="310"/>
      <c r="H720" s="311"/>
      <c r="I720" s="311"/>
      <c r="J720" s="312"/>
      <c r="K720" s="313"/>
    </row>
    <row r="721" spans="2:11" ht="15">
      <c r="B721" s="13" t="s">
        <v>13337</v>
      </c>
      <c r="C721" s="435" t="str">
        <f>QUANT!C2048</f>
        <v>73859/2</v>
      </c>
      <c r="D721" s="435" t="str">
        <f>QUANT!D2048</f>
        <v>SINAPI</v>
      </c>
      <c r="E721" s="436" t="str">
        <f>IFERROR(VLOOKUP($C721,'SINAPI JULHO 2018'!$1:$1048576,2,0),IFERROR(VLOOKUP($C721,'5-COMP. PROPRIA'!$B$13:$I$518,4,0),""))</f>
        <v>CAPINA E LIMPEZA MANUAL DE TERRENO</v>
      </c>
      <c r="F721" s="437" t="str">
        <f>IFERROR(VLOOKUP($C721,'SINAPI JULHO 2018'!$A:$D,3,0),IFERROR(VLOOKUP($C721,'5-COMP. PROPRIA'!$B$13:$I$518,5,0),""))</f>
        <v>M2</v>
      </c>
      <c r="G721" s="438">
        <f>QUANT!K2048</f>
        <v>298</v>
      </c>
      <c r="H721" s="439">
        <f>IFERROR(VLOOKUP($C721,'SINAPI JULHO 2018'!$A:$D,4,0),IFERROR(VLOOKUP($C721,'5-COMP. PROPRIA'!$B$13:$I$518,8,0),""))</f>
        <v>1.1399999999999999</v>
      </c>
      <c r="I721" s="440">
        <f>H721*'4-BDI'!$E$29</f>
        <v>1.4619359999999999</v>
      </c>
      <c r="J721" s="63">
        <f t="shared" ref="J721" si="388">TRUNC(G721*H721,2)</f>
        <v>339.72</v>
      </c>
      <c r="K721" s="190">
        <f t="shared" ref="K721" si="389">TRUNC(G721*I721,2)</f>
        <v>435.65</v>
      </c>
    </row>
    <row r="722" spans="2:11" ht="30">
      <c r="B722" s="13" t="s">
        <v>13338</v>
      </c>
      <c r="C722" s="435">
        <f>QUANT!C2050</f>
        <v>95241</v>
      </c>
      <c r="D722" s="435" t="str">
        <f>QUANT!D2050</f>
        <v>SINAPI</v>
      </c>
      <c r="E722" s="436" t="str">
        <f>IFERROR(VLOOKUP($C722,'SINAPI JULHO 2018'!$1:$1048576,2,0),IFERROR(VLOOKUP($C722,'5-COMP. PROPRIA'!$B$13:$I$518,4,0),""))</f>
        <v>LASTRO DE CONCRETO MAGRO, APLICADO EM PISOS OU RADIERS, ESPESSURA DE 5 CM. AF_07/2016</v>
      </c>
      <c r="F722" s="437" t="str">
        <f>IFERROR(VLOOKUP($C722,'SINAPI JULHO 2018'!$A:$D,3,0),IFERROR(VLOOKUP($C722,'5-COMP. PROPRIA'!$B$13:$I$518,5,0),""))</f>
        <v>M2</v>
      </c>
      <c r="G722" s="438">
        <f>QUANT!K2050</f>
        <v>298</v>
      </c>
      <c r="H722" s="439">
        <f>IFERROR(VLOOKUP($C722,'SINAPI JULHO 2018'!$A:$D,4,0),IFERROR(VLOOKUP($C722,'5-COMP. PROPRIA'!$B$13:$I$518,8,0),""))</f>
        <v>20.02</v>
      </c>
      <c r="I722" s="440">
        <f>H722*'4-BDI'!$E$29</f>
        <v>25.673648</v>
      </c>
      <c r="J722" s="63">
        <f t="shared" ref="J722:J724" si="390">TRUNC(G722*H722,2)</f>
        <v>5965.96</v>
      </c>
      <c r="K722" s="190">
        <f t="shared" ref="K722:K724" si="391">TRUNC(G722*I722,2)</f>
        <v>7650.74</v>
      </c>
    </row>
    <row r="723" spans="2:11" ht="45">
      <c r="B723" s="13" t="s">
        <v>13339</v>
      </c>
      <c r="C723" s="435">
        <f>QUANT!C2052</f>
        <v>94992</v>
      </c>
      <c r="D723" s="435" t="str">
        <f>QUANT!D2052</f>
        <v>SINAPI</v>
      </c>
      <c r="E723" s="436" t="str">
        <f>IFERROR(VLOOKUP($C723,'SINAPI JULHO 2018'!$1:$1048576,2,0),IFERROR(VLOOKUP($C723,'5-COMP. PROPRIA'!$B$13:$I$518,4,0),""))</f>
        <v>EXECUÇÃO DE PASSEIO (CALÇADA) OU PISO DE CONCRETO COM CONCRETO MOLDADO IN LOCO, FEITO EM OBRA, ACABAMENTO CONVENCIONAL, ESPESSURA 6 CM, ARMADO. AF_07/2016</v>
      </c>
      <c r="F723" s="437" t="str">
        <f>IFERROR(VLOOKUP($C723,'SINAPI JULHO 2018'!$A:$D,3,0),IFERROR(VLOOKUP($C723,'5-COMP. PROPRIA'!$B$13:$I$518,5,0),""))</f>
        <v>M2</v>
      </c>
      <c r="G723" s="438">
        <f>QUANT!K2052</f>
        <v>298</v>
      </c>
      <c r="H723" s="439">
        <f>IFERROR(VLOOKUP($C723,'SINAPI JULHO 2018'!$A:$D,4,0),IFERROR(VLOOKUP($C723,'5-COMP. PROPRIA'!$B$13:$I$518,8,0),""))</f>
        <v>53.02</v>
      </c>
      <c r="I723" s="440">
        <f>H723*'4-BDI'!$E$29</f>
        <v>67.992848000000009</v>
      </c>
      <c r="J723" s="63">
        <f t="shared" si="390"/>
        <v>15799.96</v>
      </c>
      <c r="K723" s="190">
        <f t="shared" si="391"/>
        <v>20261.86</v>
      </c>
    </row>
    <row r="724" spans="2:11" ht="15">
      <c r="B724" s="13" t="s">
        <v>13340</v>
      </c>
      <c r="C724" s="435" t="str">
        <f>QUANT!C2054</f>
        <v>79500/2</v>
      </c>
      <c r="D724" s="435" t="str">
        <f>QUANT!D2054</f>
        <v>SINAPI</v>
      </c>
      <c r="E724" s="436" t="str">
        <f>IFERROR(VLOOKUP($C724,'SINAPI JULHO 2018'!$1:$1048576,2,0),IFERROR(VLOOKUP($C724,'5-COMP. PROPRIA'!$B$13:$I$518,4,0),""))</f>
        <v>PINTURA ACRILICA EM PISO CIMENTADO, TRES DEMAOS</v>
      </c>
      <c r="F724" s="437" t="str">
        <f>IFERROR(VLOOKUP($C724,'SINAPI JULHO 2018'!$A:$D,3,0),IFERROR(VLOOKUP($C724,'5-COMP. PROPRIA'!$B$13:$I$518,5,0),""))</f>
        <v>M2</v>
      </c>
      <c r="G724" s="438">
        <f>QUANT!K2054</f>
        <v>298</v>
      </c>
      <c r="H724" s="439">
        <f>IFERROR(VLOOKUP($C724,'SINAPI JULHO 2018'!$A:$D,4,0),IFERROR(VLOOKUP($C724,'5-COMP. PROPRIA'!$B$13:$I$518,8,0),""))</f>
        <v>16.12</v>
      </c>
      <c r="I724" s="440">
        <f>H724*'4-BDI'!$E$29</f>
        <v>20.672288000000002</v>
      </c>
      <c r="J724" s="63">
        <f t="shared" si="390"/>
        <v>4803.76</v>
      </c>
      <c r="K724" s="190">
        <f t="shared" si="391"/>
        <v>6160.34</v>
      </c>
    </row>
    <row r="725" spans="2:11" ht="15">
      <c r="B725" s="521" t="s">
        <v>12756</v>
      </c>
      <c r="C725" s="522"/>
      <c r="D725" s="522"/>
      <c r="E725" s="522"/>
      <c r="F725" s="522"/>
      <c r="G725" s="522"/>
      <c r="H725" s="522"/>
      <c r="I725" s="218"/>
      <c r="J725" s="64">
        <f>SUM(J721:J724)</f>
        <v>26909.4</v>
      </c>
      <c r="K725" s="434">
        <f>SUM(K721:K724)</f>
        <v>34508.589999999997</v>
      </c>
    </row>
    <row r="726" spans="2:11" ht="15">
      <c r="B726" s="305" t="s">
        <v>13341</v>
      </c>
      <c r="C726" s="306"/>
      <c r="D726" s="307"/>
      <c r="E726" s="308" t="str">
        <f>QUANT!E2056</f>
        <v>INSTALAÇÕES HIDROSANITARIAS</v>
      </c>
      <c r="F726" s="309"/>
      <c r="G726" s="310"/>
      <c r="H726" s="311"/>
      <c r="I726" s="311"/>
      <c r="J726" s="312"/>
      <c r="K726" s="313"/>
    </row>
    <row r="727" spans="2:11" ht="15">
      <c r="B727" s="362" t="s">
        <v>13342</v>
      </c>
      <c r="C727" s="363"/>
      <c r="D727" s="363"/>
      <c r="E727" s="363" t="str">
        <f>QUANT!E2058</f>
        <v>INSTALAÇÕES SANITARIAS</v>
      </c>
      <c r="F727" s="364"/>
      <c r="G727" s="365"/>
      <c r="H727" s="366"/>
      <c r="I727" s="367"/>
      <c r="J727" s="368"/>
      <c r="K727" s="369"/>
    </row>
    <row r="728" spans="2:11" ht="33" customHeight="1">
      <c r="B728" s="13" t="s">
        <v>13343</v>
      </c>
      <c r="C728" s="435">
        <f>QUANT!C2062</f>
        <v>89711</v>
      </c>
      <c r="D728" s="435" t="str">
        <f>QUANT!D2062</f>
        <v>SINAPI</v>
      </c>
      <c r="E728" s="436" t="str">
        <f>IFERROR(VLOOKUP($C728,'SINAPI JULHO 2018'!$1:$1048576,2,0),IFERROR(VLOOKUP($C728,'5-COMP. PROPRIA'!$B$13:$I$518,4,0),""))</f>
        <v>TUBO PVC, SERIE NORMAL, ESGOTO PREDIAL, DN 40 MM, FORNECIDO E INSTALADO EM RAMAL DE DESCARGA OU RAMAL DE ESGOTO SANITÁRIO. AF_12/2014</v>
      </c>
      <c r="F728" s="437" t="str">
        <f>IFERROR(VLOOKUP($C728,'SINAPI JULHO 2018'!$A:$D,3,0),IFERROR(VLOOKUP($C728,'5-COMP. PROPRIA'!$B$13:$I$518,5,0),""))</f>
        <v>M</v>
      </c>
      <c r="G728" s="438">
        <f>QUANT!K2062</f>
        <v>40.4</v>
      </c>
      <c r="H728" s="439">
        <f>IFERROR(VLOOKUP($C728,'SINAPI JULHO 2018'!$A:$D,4,0),IFERROR(VLOOKUP($C728,'5-COMP. PROPRIA'!$B$13:$I$518,8,0),""))</f>
        <v>12.76</v>
      </c>
      <c r="I728" s="440">
        <f>H728*'4-BDI'!$E$29</f>
        <v>16.363423999999998</v>
      </c>
      <c r="J728" s="63">
        <f t="shared" ref="J728" si="392">TRUNC(G728*H728,2)</f>
        <v>515.5</v>
      </c>
      <c r="K728" s="190">
        <f t="shared" ref="K728" si="393">TRUNC(G728*I728,2)</f>
        <v>661.08</v>
      </c>
    </row>
    <row r="729" spans="2:11" ht="33" customHeight="1">
      <c r="B729" s="13" t="s">
        <v>13344</v>
      </c>
      <c r="C729" s="435">
        <f>QUANT!C2063</f>
        <v>89712</v>
      </c>
      <c r="D729" s="435" t="str">
        <f>QUANT!D2063</f>
        <v>SINAPI</v>
      </c>
      <c r="E729" s="436" t="str">
        <f>IFERROR(VLOOKUP($C729,'SINAPI JULHO 2018'!$1:$1048576,2,0),IFERROR(VLOOKUP($C729,'5-COMP. PROPRIA'!$B$13:$I$518,4,0),""))</f>
        <v>TUBO PVC, SERIE NORMAL, ESGOTO PREDIAL, DN 50 MM, FORNECIDO E INSTALADO EM RAMAL DE DESCARGA OU RAMAL DE ESGOTO SANITÁRIO. AF_12/2014</v>
      </c>
      <c r="F729" s="437" t="str">
        <f>IFERROR(VLOOKUP($C729,'SINAPI JULHO 2018'!$A:$D,3,0),IFERROR(VLOOKUP($C729,'5-COMP. PROPRIA'!$B$13:$I$518,5,0),""))</f>
        <v>M</v>
      </c>
      <c r="G729" s="438">
        <f>QUANT!K2063</f>
        <v>25.55</v>
      </c>
      <c r="H729" s="439">
        <f>IFERROR(VLOOKUP($C729,'SINAPI JULHO 2018'!$A:$D,4,0),IFERROR(VLOOKUP($C729,'5-COMP. PROPRIA'!$B$13:$I$518,8,0),""))</f>
        <v>18.75</v>
      </c>
      <c r="I729" s="440">
        <f>H729*'4-BDI'!$E$29</f>
        <v>24.044999999999998</v>
      </c>
      <c r="J729" s="63">
        <f t="shared" ref="J729:J743" si="394">TRUNC(G729*H729,2)</f>
        <v>479.06</v>
      </c>
      <c r="K729" s="190">
        <f t="shared" ref="K729:K743" si="395">TRUNC(G729*I729,2)</f>
        <v>614.34</v>
      </c>
    </row>
    <row r="730" spans="2:11" ht="45">
      <c r="B730" s="13" t="s">
        <v>13345</v>
      </c>
      <c r="C730" s="435">
        <f>QUANT!C2064</f>
        <v>89714</v>
      </c>
      <c r="D730" s="435" t="str">
        <f>QUANT!D2064</f>
        <v>SINAPI</v>
      </c>
      <c r="E730" s="436" t="str">
        <f>IFERROR(VLOOKUP($C730,'SINAPI JULHO 2018'!$1:$1048576,2,0),IFERROR(VLOOKUP($C730,'5-COMP. PROPRIA'!$B$13:$I$518,4,0),""))</f>
        <v>TUBO PVC, SERIE NORMAL, ESGOTO PREDIAL, DN 100 MM, FORNECIDO E INSTALADO EM RAMAL DE DESCARGA OU RAMAL DE ESGOTO SANITÁRIO. AF_12/2014</v>
      </c>
      <c r="F730" s="437" t="str">
        <f>IFERROR(VLOOKUP($C730,'SINAPI JULHO 2018'!$A:$D,3,0),IFERROR(VLOOKUP($C730,'5-COMP. PROPRIA'!$B$13:$I$518,5,0),""))</f>
        <v>M</v>
      </c>
      <c r="G730" s="438">
        <f>QUANT!K2064</f>
        <v>246.95</v>
      </c>
      <c r="H730" s="439">
        <f>IFERROR(VLOOKUP($C730,'SINAPI JULHO 2018'!$A:$D,4,0),IFERROR(VLOOKUP($C730,'5-COMP. PROPRIA'!$B$13:$I$518,8,0),""))</f>
        <v>36.39</v>
      </c>
      <c r="I730" s="440">
        <f>H730*'4-BDI'!$E$29</f>
        <v>46.666536000000001</v>
      </c>
      <c r="J730" s="63">
        <f t="shared" si="394"/>
        <v>8986.51</v>
      </c>
      <c r="K730" s="190">
        <f t="shared" si="395"/>
        <v>11524.3</v>
      </c>
    </row>
    <row r="731" spans="2:11" ht="30">
      <c r="B731" s="13" t="s">
        <v>13346</v>
      </c>
      <c r="C731" s="435" t="str">
        <f>QUANT!C2068</f>
        <v>CP-SAN-01</v>
      </c>
      <c r="D731" s="435" t="str">
        <f>QUANT!D2068</f>
        <v>PROPRIA</v>
      </c>
      <c r="E731" s="436" t="str">
        <f>IFERROR(VLOOKUP($C731,'SINAPI JULHO 2018'!$1:$1048576,2,0),IFERROR(VLOOKUP($C731,'5-COMP. PROPRIA'!$B$13:$I$518,4,0),""))</f>
        <v>CAIXA DE INSPEÇÃO 60X60X60CM EM ALVENARIA DE TIJOLO CERAMICO MACIÇO, COM BASE DE CONCRETO - FORNECIMENTO E EXECUÇÃO</v>
      </c>
      <c r="F731" s="437" t="str">
        <f>IFERROR(VLOOKUP($C731,'SINAPI JULHO 2018'!$A:$D,3,0),IFERROR(VLOOKUP($C731,'5-COMP. PROPRIA'!$B$13:$I$518,5,0),""))</f>
        <v>UNI</v>
      </c>
      <c r="G731" s="438">
        <f>QUANT!K2068</f>
        <v>15</v>
      </c>
      <c r="H731" s="439">
        <f>IFERROR(VLOOKUP($C731,'SINAPI JULHO 2018'!$A:$D,4,0),IFERROR(VLOOKUP($C731,'5-COMP. PROPRIA'!$B$13:$I$518,8,0),""))</f>
        <v>342.01</v>
      </c>
      <c r="I731" s="440">
        <f>H731*'4-BDI'!$E$29</f>
        <v>438.59362399999998</v>
      </c>
      <c r="J731" s="63">
        <f t="shared" si="394"/>
        <v>5130.1499999999996</v>
      </c>
      <c r="K731" s="190">
        <f t="shared" si="395"/>
        <v>6578.9</v>
      </c>
    </row>
    <row r="732" spans="2:11" ht="45">
      <c r="B732" s="13" t="s">
        <v>13347</v>
      </c>
      <c r="C732" s="435">
        <f>QUANT!C2072</f>
        <v>89726</v>
      </c>
      <c r="D732" s="435" t="str">
        <f>QUANT!D2072</f>
        <v>SINAPI</v>
      </c>
      <c r="E732" s="436" t="str">
        <f>IFERROR(VLOOKUP($C732,'SINAPI JULHO 2018'!$1:$1048576,2,0),IFERROR(VLOOKUP($C732,'5-COMP. PROPRIA'!$B$13:$I$518,4,0),""))</f>
        <v>JOELHO 45 GRAUS, PVC, SERIE NORMAL, ESGOTO PREDIAL, DN 40 MM, JUNTA SOLDÁVEL, FORNECIDO E INSTALADO EM RAMAL DE DESCARGA OU RAMAL DE ESGOTO SANITÁRIO. AF_12/2014</v>
      </c>
      <c r="F732" s="437" t="str">
        <f>IFERROR(VLOOKUP($C732,'SINAPI JULHO 2018'!$A:$D,3,0),IFERROR(VLOOKUP($C732,'5-COMP. PROPRIA'!$B$13:$I$518,5,0),""))</f>
        <v>UN</v>
      </c>
      <c r="G732" s="438">
        <f>QUANT!K2072</f>
        <v>4</v>
      </c>
      <c r="H732" s="439">
        <f>IFERROR(VLOOKUP($C732,'SINAPI JULHO 2018'!$A:$D,4,0),IFERROR(VLOOKUP($C732,'5-COMP. PROPRIA'!$B$13:$I$518,8,0),""))</f>
        <v>6.24</v>
      </c>
      <c r="I732" s="440">
        <f>H732*'4-BDI'!$E$29</f>
        <v>8.0021760000000004</v>
      </c>
      <c r="J732" s="63">
        <f t="shared" si="394"/>
        <v>24.96</v>
      </c>
      <c r="K732" s="190">
        <f t="shared" si="395"/>
        <v>32</v>
      </c>
    </row>
    <row r="733" spans="2:11" ht="45">
      <c r="B733" s="13" t="s">
        <v>13348</v>
      </c>
      <c r="C733" s="435">
        <f>QUANT!C2073</f>
        <v>89732</v>
      </c>
      <c r="D733" s="435" t="str">
        <f>QUANT!D2073</f>
        <v>SINAPI</v>
      </c>
      <c r="E733" s="436" t="str">
        <f>IFERROR(VLOOKUP($C733,'SINAPI JULHO 2018'!$1:$1048576,2,0),IFERROR(VLOOKUP($C733,'5-COMP. PROPRIA'!$B$13:$I$518,4,0),""))</f>
        <v>JOELHO 45 GRAUS, PVC, SERIE NORMAL, ESGOTO PREDIAL, DN 50 MM, JUNTA ELÁSTICA, FORNECIDO E INSTALADO EM RAMAL DE DESCARGA OU RAMAL DE ESGOTO SANITÁRIO. AF_12/2014</v>
      </c>
      <c r="F733" s="437" t="str">
        <f>IFERROR(VLOOKUP($C733,'SINAPI JULHO 2018'!$A:$D,3,0),IFERROR(VLOOKUP($C733,'5-COMP. PROPRIA'!$B$13:$I$518,5,0),""))</f>
        <v>UN</v>
      </c>
      <c r="G733" s="438">
        <f>QUANT!K2073</f>
        <v>2</v>
      </c>
      <c r="H733" s="439">
        <f>IFERROR(VLOOKUP($C733,'SINAPI JULHO 2018'!$A:$D,4,0),IFERROR(VLOOKUP($C733,'5-COMP. PROPRIA'!$B$13:$I$518,8,0),""))</f>
        <v>7.72</v>
      </c>
      <c r="I733" s="440">
        <f>H733*'4-BDI'!$E$29</f>
        <v>9.9001279999999987</v>
      </c>
      <c r="J733" s="63">
        <f t="shared" si="394"/>
        <v>15.44</v>
      </c>
      <c r="K733" s="190">
        <f t="shared" si="395"/>
        <v>19.8</v>
      </c>
    </row>
    <row r="734" spans="2:11" ht="45">
      <c r="B734" s="13" t="s">
        <v>13349</v>
      </c>
      <c r="C734" s="435">
        <f>QUANT!C2074</f>
        <v>89746</v>
      </c>
      <c r="D734" s="435" t="str">
        <f>QUANT!D2074</f>
        <v>SINAPI</v>
      </c>
      <c r="E734" s="436" t="str">
        <f>IFERROR(VLOOKUP($C734,'SINAPI JULHO 2018'!$1:$1048576,2,0),IFERROR(VLOOKUP($C734,'5-COMP. PROPRIA'!$B$13:$I$518,4,0),""))</f>
        <v>JOELHO 45 GRAUS, PVC, SERIE NORMAL, ESGOTO PREDIAL, DN 100 MM, JUNTA ELÁSTICA, FORNECIDO E INSTALADO EM RAMAL DE DESCARGA OU RAMAL DE ESGOTO SANITÁRIO. AF_12/2014</v>
      </c>
      <c r="F734" s="437" t="str">
        <f>IFERROR(VLOOKUP($C734,'SINAPI JULHO 2018'!$A:$D,3,0),IFERROR(VLOOKUP($C734,'5-COMP. PROPRIA'!$B$13:$I$518,5,0),""))</f>
        <v>UN</v>
      </c>
      <c r="G734" s="438">
        <f>QUANT!K2074</f>
        <v>12</v>
      </c>
      <c r="H734" s="439">
        <f>IFERROR(VLOOKUP($C734,'SINAPI JULHO 2018'!$A:$D,4,0),IFERROR(VLOOKUP($C734,'5-COMP. PROPRIA'!$B$13:$I$518,8,0),""))</f>
        <v>16.41</v>
      </c>
      <c r="I734" s="440">
        <f>H734*'4-BDI'!$E$29</f>
        <v>21.044184000000001</v>
      </c>
      <c r="J734" s="63">
        <f t="shared" si="394"/>
        <v>196.92</v>
      </c>
      <c r="K734" s="190">
        <f t="shared" si="395"/>
        <v>252.53</v>
      </c>
    </row>
    <row r="735" spans="2:11" ht="45">
      <c r="B735" s="13" t="s">
        <v>13350</v>
      </c>
      <c r="C735" s="435">
        <f>QUANT!C2078</f>
        <v>89724</v>
      </c>
      <c r="D735" s="435" t="str">
        <f>QUANT!D2078</f>
        <v>SINAPI</v>
      </c>
      <c r="E735" s="436" t="str">
        <f>IFERROR(VLOOKUP($C735,'SINAPI JULHO 2018'!$1:$1048576,2,0),IFERROR(VLOOKUP($C735,'5-COMP. PROPRIA'!$B$13:$I$518,4,0),""))</f>
        <v>JOELHO 90 GRAUS, PVC, SERIE NORMAL, ESGOTO PREDIAL, DN 40 MM, JUNTA SOLDÁVEL, FORNECIDO E INSTALADO EM RAMAL DE DESCARGA OU RAMAL DE ESGOTO SANITÁRIO. AF_12/2014</v>
      </c>
      <c r="F735" s="437" t="str">
        <f>IFERROR(VLOOKUP($C735,'SINAPI JULHO 2018'!$A:$D,3,0),IFERROR(VLOOKUP($C735,'5-COMP. PROPRIA'!$B$13:$I$518,5,0),""))</f>
        <v>UN</v>
      </c>
      <c r="G735" s="438">
        <f>QUANT!K2078</f>
        <v>58</v>
      </c>
      <c r="H735" s="439">
        <f>IFERROR(VLOOKUP($C735,'SINAPI JULHO 2018'!$A:$D,4,0),IFERROR(VLOOKUP($C735,'5-COMP. PROPRIA'!$B$13:$I$518,8,0),""))</f>
        <v>5.51</v>
      </c>
      <c r="I735" s="440">
        <f>H735*'4-BDI'!$E$29</f>
        <v>7.0660239999999996</v>
      </c>
      <c r="J735" s="63">
        <f t="shared" si="394"/>
        <v>319.58</v>
      </c>
      <c r="K735" s="190">
        <f t="shared" si="395"/>
        <v>409.82</v>
      </c>
    </row>
    <row r="736" spans="2:11" ht="45">
      <c r="B736" s="13" t="s">
        <v>13351</v>
      </c>
      <c r="C736" s="435">
        <f>QUANT!C2079</f>
        <v>89731</v>
      </c>
      <c r="D736" s="435" t="str">
        <f>QUANT!D2079</f>
        <v>SINAPI</v>
      </c>
      <c r="E736" s="436" t="str">
        <f>IFERROR(VLOOKUP($C736,'SINAPI JULHO 2018'!$1:$1048576,2,0),IFERROR(VLOOKUP($C736,'5-COMP. PROPRIA'!$B$13:$I$518,4,0),""))</f>
        <v>JOELHO 90 GRAUS, PVC, SERIE NORMAL, ESGOTO PREDIAL, DN 50 MM, JUNTA ELÁSTICA, FORNECIDO E INSTALADO EM RAMAL DE DESCARGA OU RAMAL DE ESGOTO SANITÁRIO. AF_12/2014</v>
      </c>
      <c r="F736" s="437" t="str">
        <f>IFERROR(VLOOKUP($C736,'SINAPI JULHO 2018'!$A:$D,3,0),IFERROR(VLOOKUP($C736,'5-COMP. PROPRIA'!$B$13:$I$518,5,0),""))</f>
        <v>UN</v>
      </c>
      <c r="G736" s="438">
        <f>QUANT!K2079</f>
        <v>3</v>
      </c>
      <c r="H736" s="439">
        <f>IFERROR(VLOOKUP($C736,'SINAPI JULHO 2018'!$A:$D,4,0),IFERROR(VLOOKUP($C736,'5-COMP. PROPRIA'!$B$13:$I$518,8,0),""))</f>
        <v>7.19</v>
      </c>
      <c r="I736" s="440">
        <f>H736*'4-BDI'!$E$29</f>
        <v>9.2204560000000004</v>
      </c>
      <c r="J736" s="63">
        <f t="shared" si="394"/>
        <v>21.57</v>
      </c>
      <c r="K736" s="190">
        <f t="shared" si="395"/>
        <v>27.66</v>
      </c>
    </row>
    <row r="737" spans="2:11" ht="45">
      <c r="B737" s="13" t="s">
        <v>13352</v>
      </c>
      <c r="C737" s="435">
        <f>QUANT!C2080</f>
        <v>89744</v>
      </c>
      <c r="D737" s="435" t="str">
        <f>QUANT!D2080</f>
        <v>SINAPI</v>
      </c>
      <c r="E737" s="436" t="str">
        <f>IFERROR(VLOOKUP($C737,'SINAPI JULHO 2018'!$1:$1048576,2,0),IFERROR(VLOOKUP($C737,'5-COMP. PROPRIA'!$B$13:$I$518,4,0),""))</f>
        <v>JOELHO 90 GRAUS, PVC, SERIE NORMAL, ESGOTO PREDIAL, DN 100 MM, JUNTA ELÁSTICA, FORNECIDO E INSTALADO EM RAMAL DE DESCARGA OU RAMAL DE ESGOTO SANITÁRIO. AF_12/2014</v>
      </c>
      <c r="F737" s="437" t="str">
        <f>IFERROR(VLOOKUP($C737,'SINAPI JULHO 2018'!$A:$D,3,0),IFERROR(VLOOKUP($C737,'5-COMP. PROPRIA'!$B$13:$I$518,5,0),""))</f>
        <v>UN</v>
      </c>
      <c r="G737" s="438">
        <f>QUANT!K2080</f>
        <v>20</v>
      </c>
      <c r="H737" s="439">
        <f>IFERROR(VLOOKUP($C737,'SINAPI JULHO 2018'!$A:$D,4,0),IFERROR(VLOOKUP($C737,'5-COMP. PROPRIA'!$B$13:$I$518,8,0),""))</f>
        <v>16.34</v>
      </c>
      <c r="I737" s="440">
        <f>H737*'4-BDI'!$E$29</f>
        <v>20.954415999999998</v>
      </c>
      <c r="J737" s="63">
        <f t="shared" si="394"/>
        <v>326.8</v>
      </c>
      <c r="K737" s="190">
        <f t="shared" si="395"/>
        <v>419.08</v>
      </c>
    </row>
    <row r="738" spans="2:11" ht="15">
      <c r="B738" s="13" t="s">
        <v>13353</v>
      </c>
      <c r="C738" s="435" t="str">
        <f>QUANT!C2084</f>
        <v>CP-SAN-02</v>
      </c>
      <c r="D738" s="435" t="str">
        <f>QUANT!D2084</f>
        <v>PROPRIA</v>
      </c>
      <c r="E738" s="436" t="str">
        <f>IFERROR(VLOOKUP($C738,'SINAPI JULHO 2018'!$1:$1048576,2,0),IFERROR(VLOOKUP($C738,'5-COMP. PROPRIA'!$B$13:$I$518,4,0),""))</f>
        <v>FORNECIMENTO E INSTALAÇÃO DE JUNÇÃO SIMPLES PVC ESGOTO 100X50MM</v>
      </c>
      <c r="F738" s="437" t="str">
        <f>IFERROR(VLOOKUP($C738,'SINAPI JULHO 2018'!$A:$D,3,0),IFERROR(VLOOKUP($C738,'5-COMP. PROPRIA'!$B$13:$I$518,5,0),""))</f>
        <v>UNI</v>
      </c>
      <c r="G738" s="438">
        <f>QUANT!K2084</f>
        <v>18</v>
      </c>
      <c r="H738" s="439">
        <f>IFERROR(VLOOKUP($C738,'SINAPI JULHO 2018'!$A:$D,4,0),IFERROR(VLOOKUP($C738,'5-COMP. PROPRIA'!$B$13:$I$518,8,0),""))</f>
        <v>44.65</v>
      </c>
      <c r="I738" s="440">
        <f>H738*'4-BDI'!$E$29</f>
        <v>57.259159999999994</v>
      </c>
      <c r="J738" s="63">
        <f t="shared" si="394"/>
        <v>803.7</v>
      </c>
      <c r="K738" s="190">
        <f t="shared" si="395"/>
        <v>1030.6600000000001</v>
      </c>
    </row>
    <row r="739" spans="2:11" ht="45">
      <c r="B739" s="13" t="s">
        <v>13354</v>
      </c>
      <c r="C739" s="435">
        <f>QUANT!C2085</f>
        <v>89797</v>
      </c>
      <c r="D739" s="435" t="str">
        <f>QUANT!D2085</f>
        <v>SINAPI</v>
      </c>
      <c r="E739" s="436" t="str">
        <f>IFERROR(VLOOKUP($C739,'SINAPI JULHO 2018'!$1:$1048576,2,0),IFERROR(VLOOKUP($C739,'5-COMP. PROPRIA'!$B$13:$I$518,4,0),""))</f>
        <v>JUNÇÃO SIMPLES, PVC, SERIE NORMAL, ESGOTO PREDIAL, DN 100 X 100 MM, JUNTA ELÁSTICA, FORNECIDO E INSTALADO EM RAMAL DE DESCARGA OU RAMAL DE ESGOTO SANITÁRIO. AF_12/2014</v>
      </c>
      <c r="F739" s="437" t="str">
        <f>IFERROR(VLOOKUP($C739,'SINAPI JULHO 2018'!$A:$D,3,0),IFERROR(VLOOKUP($C739,'5-COMP. PROPRIA'!$B$13:$I$518,5,0),""))</f>
        <v>UN</v>
      </c>
      <c r="G739" s="438">
        <f>QUANT!K2085</f>
        <v>2</v>
      </c>
      <c r="H739" s="439">
        <f>IFERROR(VLOOKUP($C739,'SINAPI JULHO 2018'!$A:$D,4,0),IFERROR(VLOOKUP($C739,'5-COMP. PROPRIA'!$B$13:$I$518,8,0),""))</f>
        <v>30.92</v>
      </c>
      <c r="I739" s="440">
        <f>H739*'4-BDI'!$E$29</f>
        <v>39.651808000000003</v>
      </c>
      <c r="J739" s="63">
        <f t="shared" si="394"/>
        <v>61.84</v>
      </c>
      <c r="K739" s="190">
        <f t="shared" si="395"/>
        <v>79.3</v>
      </c>
    </row>
    <row r="740" spans="2:11" ht="45">
      <c r="B740" s="13" t="s">
        <v>13355</v>
      </c>
      <c r="C740" s="435">
        <f>QUANT!C2089</f>
        <v>89782</v>
      </c>
      <c r="D740" s="435" t="str">
        <f>QUANT!D2089</f>
        <v>SINAPI</v>
      </c>
      <c r="E740" s="436" t="str">
        <f>IFERROR(VLOOKUP($C740,'SINAPI JULHO 2018'!$1:$1048576,2,0),IFERROR(VLOOKUP($C740,'5-COMP. PROPRIA'!$B$13:$I$518,4,0),""))</f>
        <v>TE, PVC, SERIE NORMAL, ESGOTO PREDIAL, DN 40 X 40 MM, JUNTA SOLDÁVEL, FORNECIDO E INSTALADO EM RAMAL DE DESCARGA OU RAMAL DE ESGOTO SANITÁRIO. AF_12/2014</v>
      </c>
      <c r="F740" s="437" t="str">
        <f>IFERROR(VLOOKUP($C740,'SINAPI JULHO 2018'!$A:$D,3,0),IFERROR(VLOOKUP($C740,'5-COMP. PROPRIA'!$B$13:$I$518,5,0),""))</f>
        <v>UN</v>
      </c>
      <c r="G740" s="438">
        <f>QUANT!K2089</f>
        <v>8</v>
      </c>
      <c r="H740" s="439">
        <f>IFERROR(VLOOKUP($C740,'SINAPI JULHO 2018'!$A:$D,4,0),IFERROR(VLOOKUP($C740,'5-COMP. PROPRIA'!$B$13:$I$518,8,0),""))</f>
        <v>7.98</v>
      </c>
      <c r="I740" s="440">
        <f>H740*'4-BDI'!$E$29</f>
        <v>10.233552</v>
      </c>
      <c r="J740" s="63">
        <f t="shared" si="394"/>
        <v>63.84</v>
      </c>
      <c r="K740" s="190">
        <f t="shared" si="395"/>
        <v>81.86</v>
      </c>
    </row>
    <row r="741" spans="2:11" ht="30">
      <c r="B741" s="13" t="s">
        <v>13356</v>
      </c>
      <c r="C741" s="435" t="str">
        <f>QUANT!C2091</f>
        <v>CP-SAN-03</v>
      </c>
      <c r="D741" s="435" t="str">
        <f>QUANT!D2091</f>
        <v>PROPRIA</v>
      </c>
      <c r="E741" s="436" t="str">
        <f>IFERROR(VLOOKUP($C741,'SINAPI JULHO 2018'!$1:$1048576,2,0),IFERROR(VLOOKUP($C741,'5-COMP. PROPRIA'!$B$13:$I$518,4,0),""))</f>
        <v>TE, PVC, SERIE NORMAL, ESGOTO PREDIAL, DN 100 X 50 MM, JUNTA ELÁSTICA, FORNECIDO E INSTALADO EM PRUMADA DE ESGOTO SANITÁRIO.</v>
      </c>
      <c r="F741" s="437" t="str">
        <f>IFERROR(VLOOKUP($C741,'SINAPI JULHO 2018'!$A:$D,3,0),IFERROR(VLOOKUP($C741,'5-COMP. PROPRIA'!$B$13:$I$518,5,0),""))</f>
        <v>UNI</v>
      </c>
      <c r="G741" s="438">
        <f>QUANT!K2091</f>
        <v>1</v>
      </c>
      <c r="H741" s="439">
        <f>IFERROR(VLOOKUP($C741,'SINAPI JULHO 2018'!$A:$D,4,0),IFERROR(VLOOKUP($C741,'5-COMP. PROPRIA'!$B$13:$I$518,8,0),""))</f>
        <v>24.389999999999997</v>
      </c>
      <c r="I741" s="440">
        <f>H741*'4-BDI'!$E$29</f>
        <v>31.277735999999997</v>
      </c>
      <c r="J741" s="63">
        <f t="shared" si="394"/>
        <v>24.39</v>
      </c>
      <c r="K741" s="190">
        <f t="shared" si="395"/>
        <v>31.27</v>
      </c>
    </row>
    <row r="742" spans="2:11" ht="30">
      <c r="B742" s="13" t="s">
        <v>13357</v>
      </c>
      <c r="C742" s="435">
        <f>QUANT!C2095</f>
        <v>89710</v>
      </c>
      <c r="D742" s="435" t="str">
        <f>QUANT!D2095</f>
        <v>SINAPI</v>
      </c>
      <c r="E742" s="436" t="str">
        <f>IFERROR(VLOOKUP($C742,'SINAPI JULHO 2018'!$1:$1048576,2,0),IFERROR(VLOOKUP($C742,'5-COMP. PROPRIA'!$B$13:$I$518,4,0),""))</f>
        <v>RALO SECO, PVC, DN 100 X 40 MM, JUNTA SOLDÁVEL, FORNECIDO E INSTALADO EM RAMAL DE DESCARGA OU EM RAMAL DE ESGOTO SANITÁRIO. AF_12/2014</v>
      </c>
      <c r="F742" s="437" t="str">
        <f>IFERROR(VLOOKUP($C742,'SINAPI JULHO 2018'!$A:$D,3,0),IFERROR(VLOOKUP($C742,'5-COMP. PROPRIA'!$B$13:$I$518,5,0),""))</f>
        <v>UN</v>
      </c>
      <c r="G742" s="438">
        <f>QUANT!K2095</f>
        <v>11</v>
      </c>
      <c r="H742" s="439">
        <f>IFERROR(VLOOKUP($C742,'SINAPI JULHO 2018'!$A:$D,4,0),IFERROR(VLOOKUP($C742,'5-COMP. PROPRIA'!$B$13:$I$518,8,0),""))</f>
        <v>7.7</v>
      </c>
      <c r="I742" s="440">
        <f>H742*'4-BDI'!$E$29</f>
        <v>9.8744800000000001</v>
      </c>
      <c r="J742" s="63">
        <f t="shared" si="394"/>
        <v>84.7</v>
      </c>
      <c r="K742" s="190">
        <f t="shared" si="395"/>
        <v>108.61</v>
      </c>
    </row>
    <row r="743" spans="2:11" ht="45">
      <c r="B743" s="13" t="s">
        <v>13358</v>
      </c>
      <c r="C743" s="435">
        <f>QUANT!C2099</f>
        <v>89707</v>
      </c>
      <c r="D743" s="435" t="str">
        <f>QUANT!D2099</f>
        <v>SINAPI</v>
      </c>
      <c r="E743" s="436" t="str">
        <f>IFERROR(VLOOKUP($C743,'SINAPI JULHO 2018'!$1:$1048576,2,0),IFERROR(VLOOKUP($C743,'5-COMP. PROPRIA'!$B$13:$I$518,4,0),""))</f>
        <v>CAIXA SIFONADA, PVC, DN 100 X 100 X 50 MM, JUNTA ELÁSTICA, FORNECIDA E INSTALADA EM RAMAL DE DESCARGA OU EM RAMAL DE ESGOTO SANITÁRIO. AF_12/2014</v>
      </c>
      <c r="F743" s="437" t="str">
        <f>IFERROR(VLOOKUP($C743,'SINAPI JULHO 2018'!$A:$D,3,0),IFERROR(VLOOKUP($C743,'5-COMP. PROPRIA'!$B$13:$I$518,5,0),""))</f>
        <v>UN</v>
      </c>
      <c r="G743" s="438">
        <f>QUANT!K2099</f>
        <v>12</v>
      </c>
      <c r="H743" s="439">
        <f>IFERROR(VLOOKUP($C743,'SINAPI JULHO 2018'!$A:$D,4,0),IFERROR(VLOOKUP($C743,'5-COMP. PROPRIA'!$B$13:$I$518,8,0),""))</f>
        <v>20.86</v>
      </c>
      <c r="I743" s="440">
        <f>H743*'4-BDI'!$E$29</f>
        <v>26.750864</v>
      </c>
      <c r="J743" s="63">
        <f t="shared" si="394"/>
        <v>250.32</v>
      </c>
      <c r="K743" s="190">
        <f t="shared" si="395"/>
        <v>321.01</v>
      </c>
    </row>
    <row r="744" spans="2:11" ht="15">
      <c r="B744" s="13" t="s">
        <v>13359</v>
      </c>
      <c r="C744" s="435" t="str">
        <f>QUANT!C2103</f>
        <v>CP-SAN-04</v>
      </c>
      <c r="D744" s="435" t="str">
        <f>QUANT!D2103</f>
        <v>PROPRIA</v>
      </c>
      <c r="E744" s="436" t="str">
        <f>IFERROR(VLOOKUP($C744,'SINAPI JULHO 2018'!$1:$1048576,2,0),IFERROR(VLOOKUP($C744,'5-COMP. PROPRIA'!$B$13:$I$518,4,0),""))</f>
        <v xml:space="preserve">LIGAÇÃO DE TUBULAÇÃO DE ESGOTO A REDE DE ESGOTO </v>
      </c>
      <c r="F744" s="437" t="str">
        <f>IFERROR(VLOOKUP($C744,'SINAPI JULHO 2018'!$A:$D,3,0),IFERROR(VLOOKUP($C744,'5-COMP. PROPRIA'!$B$13:$I$518,5,0),""))</f>
        <v>UNI</v>
      </c>
      <c r="G744" s="438">
        <f>QUANT!K2103</f>
        <v>2</v>
      </c>
      <c r="H744" s="439">
        <f>IFERROR(VLOOKUP($C744,'SINAPI JULHO 2018'!$A:$D,4,0),IFERROR(VLOOKUP($C744,'5-COMP. PROPRIA'!$B$13:$I$518,8,0),""))</f>
        <v>790.6099999999999</v>
      </c>
      <c r="I744" s="440">
        <f>H744*'4-BDI'!$E$29</f>
        <v>1013.8782639999998</v>
      </c>
      <c r="J744" s="63">
        <f t="shared" ref="J744" si="396">TRUNC(G744*H744,2)</f>
        <v>1581.22</v>
      </c>
      <c r="K744" s="190">
        <f t="shared" ref="K744" si="397">TRUNC(G744*I744,2)</f>
        <v>2027.75</v>
      </c>
    </row>
    <row r="745" spans="2:11" ht="15">
      <c r="B745" s="521" t="s">
        <v>12756</v>
      </c>
      <c r="C745" s="522"/>
      <c r="D745" s="522"/>
      <c r="E745" s="522"/>
      <c r="F745" s="522"/>
      <c r="G745" s="522"/>
      <c r="H745" s="522"/>
      <c r="I745" s="218"/>
      <c r="J745" s="64">
        <f>SUM(J728:J744)</f>
        <v>18886.5</v>
      </c>
      <c r="K745" s="434">
        <f>SUM(K728:K744)</f>
        <v>24219.969999999998</v>
      </c>
    </row>
    <row r="746" spans="2:11" ht="15">
      <c r="B746" s="362" t="s">
        <v>13360</v>
      </c>
      <c r="C746" s="363"/>
      <c r="D746" s="363"/>
      <c r="E746" s="363" t="str">
        <f>QUANT!E2108</f>
        <v>INSTALAÇÕES HIDRÁULICAS</v>
      </c>
      <c r="F746" s="364"/>
      <c r="G746" s="365"/>
      <c r="H746" s="366"/>
      <c r="I746" s="367"/>
      <c r="J746" s="368"/>
      <c r="K746" s="369"/>
    </row>
    <row r="747" spans="2:11" ht="30">
      <c r="B747" s="13" t="s">
        <v>13361</v>
      </c>
      <c r="C747" s="435">
        <f>QUANT!C2111</f>
        <v>89356</v>
      </c>
      <c r="D747" s="435" t="str">
        <f>QUANT!D2111</f>
        <v>SINAPI</v>
      </c>
      <c r="E747" s="436" t="str">
        <f>IFERROR(VLOOKUP($C747,'SINAPI JULHO 2018'!$1:$1048576,2,0),IFERROR(VLOOKUP($C747,'5-COMP. PROPRIA'!$B$13:$I$518,4,0),""))</f>
        <v>TUBO, PVC, SOLDÁVEL, DN 25MM, INSTALADO EM RAMAL OU SUB-RAMAL DE ÁGUA - FORNECIMENTO E INSTALAÇÃO. AF_12/2014</v>
      </c>
      <c r="F747" s="437" t="str">
        <f>IFERROR(VLOOKUP($C747,'SINAPI JULHO 2018'!$A:$D,3,0),IFERROR(VLOOKUP($C747,'5-COMP. PROPRIA'!$B$13:$I$518,5,0),""))</f>
        <v>M</v>
      </c>
      <c r="G747" s="438">
        <f>QUANT!K2111</f>
        <v>139.1</v>
      </c>
      <c r="H747" s="439">
        <f>IFERROR(VLOOKUP($C747,'SINAPI JULHO 2018'!$A:$D,4,0),IFERROR(VLOOKUP($C747,'5-COMP. PROPRIA'!$B$13:$I$518,8,0),""))</f>
        <v>15.09</v>
      </c>
      <c r="I747" s="440">
        <f>H747*'4-BDI'!$E$29</f>
        <v>19.351416</v>
      </c>
      <c r="J747" s="63">
        <f t="shared" ref="J747" si="398">TRUNC(G747*H747,2)</f>
        <v>2099.0100000000002</v>
      </c>
      <c r="K747" s="190">
        <f t="shared" ref="K747" si="399">TRUNC(G747*I747,2)</f>
        <v>2691.78</v>
      </c>
    </row>
    <row r="748" spans="2:11" ht="30">
      <c r="B748" s="13" t="s">
        <v>13362</v>
      </c>
      <c r="C748" s="435">
        <f>QUANT!C2113</f>
        <v>89362</v>
      </c>
      <c r="D748" s="435" t="str">
        <f>QUANT!D2113</f>
        <v>SINAPI</v>
      </c>
      <c r="E748" s="436" t="str">
        <f>IFERROR(VLOOKUP($C748,'SINAPI JULHO 2018'!$1:$1048576,2,0),IFERROR(VLOOKUP($C748,'5-COMP. PROPRIA'!$B$13:$I$518,4,0),""))</f>
        <v>JOELHO 90 GRAUS, PVC, SOLDÁVEL, DN 25MM, INSTALADO EM RAMAL OU SUB-RAMAL DE ÁGUA - FORNECIMENTO E INSTALAÇÃO. AF_12/2014</v>
      </c>
      <c r="F748" s="437" t="str">
        <f>IFERROR(VLOOKUP($C748,'SINAPI JULHO 2018'!$A:$D,3,0),IFERROR(VLOOKUP($C748,'5-COMP. PROPRIA'!$B$13:$I$518,5,0),""))</f>
        <v>UN</v>
      </c>
      <c r="G748" s="438">
        <f>QUANT!K2113</f>
        <v>70</v>
      </c>
      <c r="H748" s="439">
        <f>IFERROR(VLOOKUP($C748,'SINAPI JULHO 2018'!$A:$D,4,0),IFERROR(VLOOKUP($C748,'5-COMP. PROPRIA'!$B$13:$I$518,8,0),""))</f>
        <v>6.14</v>
      </c>
      <c r="I748" s="440">
        <f>H748*'4-BDI'!$E$29</f>
        <v>7.8739359999999996</v>
      </c>
      <c r="J748" s="63">
        <f t="shared" ref="J748:J754" si="400">TRUNC(G748*H748,2)</f>
        <v>429.8</v>
      </c>
      <c r="K748" s="190">
        <f t="shared" ref="K748:K754" si="401">TRUNC(G748*I748,2)</f>
        <v>551.16999999999996</v>
      </c>
    </row>
    <row r="749" spans="2:11" ht="45">
      <c r="B749" s="13" t="s">
        <v>13363</v>
      </c>
      <c r="C749" s="435">
        <f>QUANT!C2115</f>
        <v>90373</v>
      </c>
      <c r="D749" s="435" t="str">
        <f>QUANT!D2115</f>
        <v>SINAPI</v>
      </c>
      <c r="E749" s="436" t="str">
        <f>IFERROR(VLOOKUP($C749,'SINAPI JULHO 2018'!$1:$1048576,2,0),IFERROR(VLOOKUP($C749,'5-COMP. PROPRIA'!$B$13:$I$518,4,0),""))</f>
        <v>JOELHO 90 GRAUS COM BUCHA DE LATÃO, PVC, SOLDÁVEL, DN 25MM, X 1/2 INSTALADO EM RAMAL OU SUB-RAMAL DE ÁGUA - FORNECIMENTO E INSTALAÇÃO. AF_12/2014</v>
      </c>
      <c r="F749" s="437" t="str">
        <f>IFERROR(VLOOKUP($C749,'SINAPI JULHO 2018'!$A:$D,3,0),IFERROR(VLOOKUP($C749,'5-COMP. PROPRIA'!$B$13:$I$518,5,0),""))</f>
        <v>UN</v>
      </c>
      <c r="G749" s="438">
        <f>QUANT!K2115</f>
        <v>50</v>
      </c>
      <c r="H749" s="439">
        <f>IFERROR(VLOOKUP($C749,'SINAPI JULHO 2018'!$A:$D,4,0),IFERROR(VLOOKUP($C749,'5-COMP. PROPRIA'!$B$13:$I$518,8,0),""))</f>
        <v>9.92</v>
      </c>
      <c r="I749" s="440">
        <f>H749*'4-BDI'!$E$29</f>
        <v>12.721408</v>
      </c>
      <c r="J749" s="63">
        <f t="shared" si="400"/>
        <v>496</v>
      </c>
      <c r="K749" s="190">
        <f t="shared" si="401"/>
        <v>636.07000000000005</v>
      </c>
    </row>
    <row r="750" spans="2:11" ht="30">
      <c r="B750" s="13" t="s">
        <v>13364</v>
      </c>
      <c r="C750" s="435">
        <f>QUANT!C2117</f>
        <v>89395</v>
      </c>
      <c r="D750" s="435" t="str">
        <f>QUANT!D2117</f>
        <v>SINAPI</v>
      </c>
      <c r="E750" s="436" t="str">
        <f>IFERROR(VLOOKUP($C750,'SINAPI JULHO 2018'!$1:$1048576,2,0),IFERROR(VLOOKUP($C750,'5-COMP. PROPRIA'!$B$13:$I$518,4,0),""))</f>
        <v>TE, PVC, SOLDÁVEL, DN 25MM, INSTALADO EM RAMAL OU SUB-RAMAL DE ÁGUA - FORNECIMENTO E INSTALAÇÃO. AF_12/2014</v>
      </c>
      <c r="F750" s="437" t="str">
        <f>IFERROR(VLOOKUP($C750,'SINAPI JULHO 2018'!$A:$D,3,0),IFERROR(VLOOKUP($C750,'5-COMP. PROPRIA'!$B$13:$I$518,5,0),""))</f>
        <v>UN</v>
      </c>
      <c r="G750" s="438">
        <f>QUANT!K2117</f>
        <v>30</v>
      </c>
      <c r="H750" s="439">
        <f>IFERROR(VLOOKUP($C750,'SINAPI JULHO 2018'!$A:$D,4,0),IFERROR(VLOOKUP($C750,'5-COMP. PROPRIA'!$B$13:$I$518,8,0),""))</f>
        <v>8.5399999999999991</v>
      </c>
      <c r="I750" s="440">
        <f>H750*'4-BDI'!$E$29</f>
        <v>10.951695999999998</v>
      </c>
      <c r="J750" s="63">
        <f t="shared" si="400"/>
        <v>256.2</v>
      </c>
      <c r="K750" s="190">
        <f t="shared" si="401"/>
        <v>328.55</v>
      </c>
    </row>
    <row r="751" spans="2:11" ht="45">
      <c r="B751" s="13" t="s">
        <v>13365</v>
      </c>
      <c r="C751" s="435">
        <f>QUANT!C2119</f>
        <v>89969</v>
      </c>
      <c r="D751" s="435" t="str">
        <f>QUANT!D2119</f>
        <v>SINAPI</v>
      </c>
      <c r="E751" s="436" t="str">
        <f>IFERROR(VLOOKUP($C751,'SINAPI JULHO 2018'!$1:$1048576,2,0),IFERROR(VLOOKUP($C751,'5-COMP. PROPRIA'!$B$13:$I$518,4,0),""))</f>
        <v>KIT DE REGISTRO DE PRESSÃO BRUTO DE LATÃO ½", INCLUSIVE CONEXÕES,  ROSCÁVEL, INSTALADO EM RAMAL DE ÁGUA FRIA - FORNECIMENTO E INSTALAÇÃO. AF_12/2014</v>
      </c>
      <c r="F751" s="437" t="str">
        <f>IFERROR(VLOOKUP($C751,'SINAPI JULHO 2018'!$A:$D,3,0),IFERROR(VLOOKUP($C751,'5-COMP. PROPRIA'!$B$13:$I$518,5,0),""))</f>
        <v>UN</v>
      </c>
      <c r="G751" s="438">
        <f>QUANT!K2119</f>
        <v>8</v>
      </c>
      <c r="H751" s="439">
        <f>IFERROR(VLOOKUP($C751,'SINAPI JULHO 2018'!$A:$D,4,0),IFERROR(VLOOKUP($C751,'5-COMP. PROPRIA'!$B$13:$I$518,8,0),""))</f>
        <v>24.2</v>
      </c>
      <c r="I751" s="440">
        <f>H751*'4-BDI'!$E$29</f>
        <v>31.034079999999999</v>
      </c>
      <c r="J751" s="63">
        <f t="shared" si="400"/>
        <v>193.6</v>
      </c>
      <c r="K751" s="190">
        <f t="shared" si="401"/>
        <v>248.27</v>
      </c>
    </row>
    <row r="752" spans="2:11" ht="60">
      <c r="B752" s="13" t="s">
        <v>13366</v>
      </c>
      <c r="C752" s="435">
        <f>QUANT!C2121</f>
        <v>94703</v>
      </c>
      <c r="D752" s="435" t="str">
        <f>QUANT!D2121</f>
        <v>SINAPI</v>
      </c>
      <c r="E752" s="436" t="str">
        <f>IFERROR(VLOOKUP($C752,'SINAPI JULHO 2018'!$1:$1048576,2,0),IFERROR(VLOOKUP($C752,'5-COMP. PROPRIA'!$B$13:$I$518,4,0),""))</f>
        <v>ADAPTADOR COM FLANGE E ANEL DE VEDAÇÃO, PVC, SOLDÁVEL, DN  25 MM X 3/4 , INSTALADO EM RESERVAÇÃO DE ÁGUA DE EDIFICAÇÃO QUE POSSUA RESERVATÓRIO DE FIBRA/FIBROCIMENTO   FORNECIMENTO E INSTALAÇÃO. AF_06/2016</v>
      </c>
      <c r="F752" s="437" t="str">
        <f>IFERROR(VLOOKUP($C752,'SINAPI JULHO 2018'!$A:$D,3,0),IFERROR(VLOOKUP($C752,'5-COMP. PROPRIA'!$B$13:$I$518,5,0),""))</f>
        <v>UN</v>
      </c>
      <c r="G752" s="438">
        <f>QUANT!K2121</f>
        <v>14</v>
      </c>
      <c r="H752" s="439">
        <f>IFERROR(VLOOKUP($C752,'SINAPI JULHO 2018'!$A:$D,4,0),IFERROR(VLOOKUP($C752,'5-COMP. PROPRIA'!$B$13:$I$518,8,0),""))</f>
        <v>18.579999999999998</v>
      </c>
      <c r="I752" s="440">
        <f>H752*'4-BDI'!$E$29</f>
        <v>23.826991999999997</v>
      </c>
      <c r="J752" s="63">
        <f t="shared" si="400"/>
        <v>260.12</v>
      </c>
      <c r="K752" s="190">
        <f t="shared" si="401"/>
        <v>333.57</v>
      </c>
    </row>
    <row r="753" spans="2:11" ht="30">
      <c r="B753" s="13" t="s">
        <v>13367</v>
      </c>
      <c r="C753" s="435">
        <f>QUANT!C2123</f>
        <v>40729</v>
      </c>
      <c r="D753" s="435" t="str">
        <f>QUANT!D2123</f>
        <v>SINAPI</v>
      </c>
      <c r="E753" s="436" t="str">
        <f>IFERROR(VLOOKUP($C753,'SINAPI JULHO 2018'!$1:$1048576,2,0),IFERROR(VLOOKUP($C753,'5-COMP. PROPRIA'!$B$13:$I$518,4,0),""))</f>
        <v>VALVULA DESCARGA 1.1/2" COM REGISTRO, ACABAMENTO EM METAL CROMADO - FORNECIMENTO E INSTALACAO</v>
      </c>
      <c r="F753" s="437" t="str">
        <f>IFERROR(VLOOKUP($C753,'SINAPI JULHO 2018'!$A:$D,3,0),IFERROR(VLOOKUP($C753,'5-COMP. PROPRIA'!$B$13:$I$518,5,0),""))</f>
        <v>UN</v>
      </c>
      <c r="G753" s="438">
        <f>QUANT!K2123</f>
        <v>19</v>
      </c>
      <c r="H753" s="439">
        <f>IFERROR(VLOOKUP($C753,'SINAPI JULHO 2018'!$A:$D,4,0),IFERROR(VLOOKUP($C753,'5-COMP. PROPRIA'!$B$13:$I$518,8,0),""))</f>
        <v>171.28</v>
      </c>
      <c r="I753" s="440">
        <f>H753*'4-BDI'!$E$29</f>
        <v>219.649472</v>
      </c>
      <c r="J753" s="63">
        <f t="shared" si="400"/>
        <v>3254.32</v>
      </c>
      <c r="K753" s="190">
        <f t="shared" si="401"/>
        <v>4173.33</v>
      </c>
    </row>
    <row r="754" spans="2:11" ht="45">
      <c r="B754" s="13" t="s">
        <v>13368</v>
      </c>
      <c r="C754" s="435">
        <f>QUANT!C2125</f>
        <v>89971</v>
      </c>
      <c r="D754" s="435" t="str">
        <f>QUANT!D2125</f>
        <v>SINAPI</v>
      </c>
      <c r="E754" s="436" t="str">
        <f>IFERROR(VLOOKUP($C754,'SINAPI JULHO 2018'!$1:$1048576,2,0),IFERROR(VLOOKUP($C754,'5-COMP. PROPRIA'!$B$13:$I$518,4,0),""))</f>
        <v>KIT DE REGISTRO DE GAVETA BRUTO DE LATÃO ½", INCLUSIVE CONEXÕES, ROSCÁVEL, INSTALADO EM RAMAL DE ÁGUA FRIA - FORNECIMENTO E INSTALAÇÃO. AF_12/2014</v>
      </c>
      <c r="F754" s="437" t="str">
        <f>IFERROR(VLOOKUP($C754,'SINAPI JULHO 2018'!$A:$D,3,0),IFERROR(VLOOKUP($C754,'5-COMP. PROPRIA'!$B$13:$I$518,5,0),""))</f>
        <v>UN</v>
      </c>
      <c r="G754" s="438">
        <f>QUANT!K2125</f>
        <v>34</v>
      </c>
      <c r="H754" s="439">
        <f>IFERROR(VLOOKUP($C754,'SINAPI JULHO 2018'!$A:$D,4,0),IFERROR(VLOOKUP($C754,'5-COMP. PROPRIA'!$B$13:$I$518,8,0),""))</f>
        <v>25.23</v>
      </c>
      <c r="I754" s="440">
        <f>H754*'4-BDI'!$E$29</f>
        <v>32.354951999999997</v>
      </c>
      <c r="J754" s="63">
        <f t="shared" si="400"/>
        <v>857.82</v>
      </c>
      <c r="K754" s="190">
        <f t="shared" si="401"/>
        <v>1100.06</v>
      </c>
    </row>
    <row r="755" spans="2:11" ht="15">
      <c r="B755" s="13" t="s">
        <v>13369</v>
      </c>
      <c r="C755" s="435" t="str">
        <f>QUANT!C2127</f>
        <v>CP-HID-01</v>
      </c>
      <c r="D755" s="435" t="str">
        <f>QUANT!D2127</f>
        <v>PROPRIA</v>
      </c>
      <c r="E755" s="436" t="str">
        <f>IFERROR(VLOOKUP($C755,'SINAPI JULHO 2018'!$1:$1048576,2,0),IFERROR(VLOOKUP($C755,'5-COMP. PROPRIA'!$B$13:$I$518,4,0),""))</f>
        <v>BOIA MECANICA DE 1.1/4 - FORNECIMENTO E INSTALAÇÃO</v>
      </c>
      <c r="F755" s="437" t="str">
        <f>IFERROR(VLOOKUP($C755,'SINAPI JULHO 2018'!$A:$D,3,0),IFERROR(VLOOKUP($C755,'5-COMP. PROPRIA'!$B$13:$I$518,5,0),""))</f>
        <v>UNI</v>
      </c>
      <c r="G755" s="438">
        <f>QUANT!K2127</f>
        <v>5</v>
      </c>
      <c r="H755" s="439">
        <f>IFERROR(VLOOKUP($C755,'SINAPI JULHO 2018'!$A:$D,4,0),IFERROR(VLOOKUP($C755,'5-COMP. PROPRIA'!$B$13:$I$518,8,0),""))</f>
        <v>83.34</v>
      </c>
      <c r="I755" s="440">
        <f>H755*'4-BDI'!$E$29</f>
        <v>106.87521600000001</v>
      </c>
      <c r="J755" s="63">
        <f t="shared" ref="J755:J760" si="402">TRUNC(G755*H755,2)</f>
        <v>416.7</v>
      </c>
      <c r="K755" s="190">
        <f t="shared" ref="K755:K760" si="403">TRUNC(G755*I755,2)</f>
        <v>534.37</v>
      </c>
    </row>
    <row r="756" spans="2:11" ht="15">
      <c r="B756" s="13" t="s">
        <v>13370</v>
      </c>
      <c r="C756" s="435">
        <f>QUANT!C2129</f>
        <v>88503</v>
      </c>
      <c r="D756" s="435" t="str">
        <f>QUANT!D2129</f>
        <v>SINAPI</v>
      </c>
      <c r="E756" s="436" t="str">
        <f>IFERROR(VLOOKUP($C756,'SINAPI JULHO 2018'!$1:$1048576,2,0),IFERROR(VLOOKUP($C756,'5-COMP. PROPRIA'!$B$13:$I$518,4,0),""))</f>
        <v>CAIXA D´ÁGUA EM POLIETILENO, 1000 LITROS, COM ACESSÓRIOS</v>
      </c>
      <c r="F756" s="437" t="str">
        <f>IFERROR(VLOOKUP($C756,'SINAPI JULHO 2018'!$A:$D,3,0),IFERROR(VLOOKUP($C756,'5-COMP. PROPRIA'!$B$13:$I$518,5,0),""))</f>
        <v>UN</v>
      </c>
      <c r="G756" s="438">
        <f>QUANT!K2129</f>
        <v>5</v>
      </c>
      <c r="H756" s="439">
        <f>IFERROR(VLOOKUP($C756,'SINAPI JULHO 2018'!$A:$D,4,0),IFERROR(VLOOKUP($C756,'5-COMP. PROPRIA'!$B$13:$I$518,8,0),""))</f>
        <v>642.32000000000005</v>
      </c>
      <c r="I756" s="440">
        <f>H756*'4-BDI'!$E$29</f>
        <v>823.71116800000004</v>
      </c>
      <c r="J756" s="63">
        <f t="shared" si="402"/>
        <v>3211.6</v>
      </c>
      <c r="K756" s="190">
        <f t="shared" si="403"/>
        <v>4118.55</v>
      </c>
    </row>
    <row r="757" spans="2:11" ht="15">
      <c r="B757" s="13" t="s">
        <v>13371</v>
      </c>
      <c r="C757" s="435" t="str">
        <f>QUANT!C2131</f>
        <v>CP-HID-02</v>
      </c>
      <c r="D757" s="435" t="str">
        <f>QUANT!D2131</f>
        <v>PROPRIA</v>
      </c>
      <c r="E757" s="436" t="str">
        <f>IFERROR(VLOOKUP($C757,'SINAPI JULHO 2018'!$1:$1048576,2,0),IFERROR(VLOOKUP($C757,'5-COMP. PROPRIA'!$B$13:$I$518,4,0),""))</f>
        <v>BASE PARA APOIO DE CAIXA D'ÁGUA 1000L EM VIGAS DE MADEIRA</v>
      </c>
      <c r="F757" s="437" t="str">
        <f>IFERROR(VLOOKUP($C757,'SINAPI JULHO 2018'!$A:$D,3,0),IFERROR(VLOOKUP($C757,'5-COMP. PROPRIA'!$B$13:$I$518,5,0),""))</f>
        <v>UNI</v>
      </c>
      <c r="G757" s="438">
        <f>QUANT!K2131</f>
        <v>5</v>
      </c>
      <c r="H757" s="439">
        <f>IFERROR(VLOOKUP($C757,'SINAPI JULHO 2018'!$A:$D,4,0),IFERROR(VLOOKUP($C757,'5-COMP. PROPRIA'!$B$13:$I$518,8,0),""))</f>
        <v>638.86</v>
      </c>
      <c r="I757" s="440">
        <f>H757*'4-BDI'!$E$29</f>
        <v>819.27406399999995</v>
      </c>
      <c r="J757" s="63">
        <f t="shared" si="402"/>
        <v>3194.3</v>
      </c>
      <c r="K757" s="190">
        <f t="shared" si="403"/>
        <v>4096.37</v>
      </c>
    </row>
    <row r="758" spans="2:11" ht="30">
      <c r="B758" s="13" t="s">
        <v>13372</v>
      </c>
      <c r="C758" s="435">
        <f>QUANT!C2133</f>
        <v>89449</v>
      </c>
      <c r="D758" s="435" t="str">
        <f>QUANT!D2133</f>
        <v>SINAPI</v>
      </c>
      <c r="E758" s="436" t="str">
        <f>IFERROR(VLOOKUP($C758,'SINAPI JULHO 2018'!$1:$1048576,2,0),IFERROR(VLOOKUP($C758,'5-COMP. PROPRIA'!$B$13:$I$518,4,0),""))</f>
        <v>TUBO, PVC, SOLDÁVEL, DN 50MM, INSTALADO EM PRUMADA DE ÁGUA - FORNECIMENTO E INSTALAÇÃO. AF_12/2014</v>
      </c>
      <c r="F758" s="437" t="str">
        <f>IFERROR(VLOOKUP($C758,'SINAPI JULHO 2018'!$A:$D,3,0),IFERROR(VLOOKUP($C758,'5-COMP. PROPRIA'!$B$13:$I$518,5,0),""))</f>
        <v>M</v>
      </c>
      <c r="G758" s="438">
        <f>QUANT!K2133</f>
        <v>414</v>
      </c>
      <c r="H758" s="439">
        <f>IFERROR(VLOOKUP($C758,'SINAPI JULHO 2018'!$A:$D,4,0),IFERROR(VLOOKUP($C758,'5-COMP. PROPRIA'!$B$13:$I$518,8,0),""))</f>
        <v>12.72</v>
      </c>
      <c r="I758" s="440">
        <f>H758*'4-BDI'!$E$29</f>
        <v>16.312128000000001</v>
      </c>
      <c r="J758" s="63">
        <f t="shared" si="402"/>
        <v>5266.08</v>
      </c>
      <c r="K758" s="190">
        <f t="shared" si="403"/>
        <v>6753.22</v>
      </c>
    </row>
    <row r="759" spans="2:11" ht="45">
      <c r="B759" s="13" t="s">
        <v>13373</v>
      </c>
      <c r="C759" s="435">
        <f>QUANT!C2135</f>
        <v>94483</v>
      </c>
      <c r="D759" s="435" t="str">
        <f>QUANT!D2135</f>
        <v>SINAPI</v>
      </c>
      <c r="E759" s="436" t="str">
        <f>IFERROR(VLOOKUP($C759,'SINAPI JULHO 2018'!$1:$1048576,2,0),IFERROR(VLOOKUP($C759,'5-COMP. PROPRIA'!$B$13:$I$518,4,0),""))</f>
        <v>CONJUNTO HIDRÁULICO PARA INSTALAÇÃO DE BOMBA EM AÇO ROSCÁVEL, DN SUCÇÃO 32 (1 1/4) E DN RECALQUE 25 (1), PARA EDIFICAÇÃO ATÉ 4 PAVIMENTOS  FORNECIMENTO E INSTALAÇÃO. AF_06/2016</v>
      </c>
      <c r="F759" s="437" t="str">
        <f>IFERROR(VLOOKUP($C759,'SINAPI JULHO 2018'!$A:$D,3,0),IFERROR(VLOOKUP($C759,'5-COMP. PROPRIA'!$B$13:$I$518,5,0),""))</f>
        <v>UN</v>
      </c>
      <c r="G759" s="438">
        <f>QUANT!K2135</f>
        <v>4</v>
      </c>
      <c r="H759" s="439">
        <f>IFERROR(VLOOKUP($C759,'SINAPI JULHO 2018'!$A:$D,4,0),IFERROR(VLOOKUP($C759,'5-COMP. PROPRIA'!$B$13:$I$518,8,0),""))</f>
        <v>725.28</v>
      </c>
      <c r="I759" s="440">
        <f>H759*'4-BDI'!$E$29</f>
        <v>930.09907199999998</v>
      </c>
      <c r="J759" s="63">
        <f t="shared" si="402"/>
        <v>2901.12</v>
      </c>
      <c r="K759" s="190">
        <f t="shared" si="403"/>
        <v>3720.39</v>
      </c>
    </row>
    <row r="760" spans="2:11" ht="15">
      <c r="B760" s="13" t="s">
        <v>13374</v>
      </c>
      <c r="C760" s="435">
        <f>QUANT!C2137</f>
        <v>83647</v>
      </c>
      <c r="D760" s="435" t="str">
        <f>QUANT!D2137</f>
        <v>SINAPI</v>
      </c>
      <c r="E760" s="436" t="str">
        <f>IFERROR(VLOOKUP($C760,'SINAPI JULHO 2018'!$1:$1048576,2,0),IFERROR(VLOOKUP($C760,'5-COMP. PROPRIA'!$B$13:$I$518,4,0),""))</f>
        <v>BOMBA RECALQUE D'AGUA TRIFASICA 1,5HP</v>
      </c>
      <c r="F760" s="437" t="str">
        <f>IFERROR(VLOOKUP($C760,'SINAPI JULHO 2018'!$A:$D,3,0),IFERROR(VLOOKUP($C760,'5-COMP. PROPRIA'!$B$13:$I$518,5,0),""))</f>
        <v>UN</v>
      </c>
      <c r="G760" s="438">
        <f>QUANT!K2137</f>
        <v>4</v>
      </c>
      <c r="H760" s="439">
        <f>IFERROR(VLOOKUP($C760,'SINAPI JULHO 2018'!$A:$D,4,0),IFERROR(VLOOKUP($C760,'5-COMP. PROPRIA'!$B$13:$I$518,8,0),""))</f>
        <v>1143.07</v>
      </c>
      <c r="I760" s="440">
        <f>H760*'4-BDI'!$E$29</f>
        <v>1465.8729679999999</v>
      </c>
      <c r="J760" s="63">
        <f t="shared" si="402"/>
        <v>4572.28</v>
      </c>
      <c r="K760" s="190">
        <f t="shared" si="403"/>
        <v>5863.49</v>
      </c>
    </row>
    <row r="761" spans="2:11" ht="15">
      <c r="B761" s="13" t="s">
        <v>13375</v>
      </c>
      <c r="C761" s="435" t="str">
        <f>QUANT!C2139</f>
        <v>CP-HID-03</v>
      </c>
      <c r="D761" s="435" t="str">
        <f>QUANT!D2139</f>
        <v>PROPRIA</v>
      </c>
      <c r="E761" s="436" t="str">
        <f>IFERROR(VLOOKUP($C761,'SINAPI JULHO 2018'!$1:$1048576,2,0),IFERROR(VLOOKUP($C761,'5-COMP. PROPRIA'!$B$13:$I$518,4,0),""))</f>
        <v>INSTALAÇÃO DE CAIXA D'ÁGUA DE 20.000 L PARA RESERVATÓRIO</v>
      </c>
      <c r="F761" s="437" t="str">
        <f>IFERROR(VLOOKUP($C761,'SINAPI JULHO 2018'!$A:$D,3,0),IFERROR(VLOOKUP($C761,'5-COMP. PROPRIA'!$B$13:$I$518,5,0),""))</f>
        <v>UNI</v>
      </c>
      <c r="G761" s="438">
        <f>QUANT!K2139</f>
        <v>1</v>
      </c>
      <c r="H761" s="439">
        <f>IFERROR(VLOOKUP($C761,'SINAPI JULHO 2018'!$A:$D,4,0),IFERROR(VLOOKUP($C761,'5-COMP. PROPRIA'!$B$13:$I$518,8,0),""))</f>
        <v>9538.7300000000014</v>
      </c>
      <c r="I761" s="440">
        <f>H761*'4-BDI'!$E$29</f>
        <v>12232.467352000001</v>
      </c>
      <c r="J761" s="63">
        <f t="shared" ref="J761" si="404">TRUNC(G761*H761,2)</f>
        <v>9538.73</v>
      </c>
      <c r="K761" s="190">
        <f t="shared" ref="K761" si="405">TRUNC(G761*I761,2)</f>
        <v>12232.46</v>
      </c>
    </row>
    <row r="762" spans="2:11" ht="15">
      <c r="B762" s="521" t="s">
        <v>12756</v>
      </c>
      <c r="C762" s="522"/>
      <c r="D762" s="522"/>
      <c r="E762" s="522"/>
      <c r="F762" s="522"/>
      <c r="G762" s="522"/>
      <c r="H762" s="522"/>
      <c r="I762" s="218"/>
      <c r="J762" s="64">
        <f>SUM(J747:J761)</f>
        <v>36947.68</v>
      </c>
      <c r="K762" s="434">
        <f>SUM(K747:K761)</f>
        <v>47381.65</v>
      </c>
    </row>
    <row r="763" spans="2:11" ht="15">
      <c r="B763" s="305" t="s">
        <v>13376</v>
      </c>
      <c r="C763" s="306"/>
      <c r="D763" s="307"/>
      <c r="E763" s="308" t="str">
        <f>QUANT!E2141</f>
        <v>INSTALAÇÕES ELÉTRICAS</v>
      </c>
      <c r="F763" s="309"/>
      <c r="G763" s="310"/>
      <c r="H763" s="311"/>
      <c r="I763" s="311"/>
      <c r="J763" s="312"/>
      <c r="K763" s="313"/>
    </row>
    <row r="764" spans="2:11" ht="45">
      <c r="B764" s="13" t="s">
        <v>13377</v>
      </c>
      <c r="C764" s="435" t="str">
        <f>QUANT!C2143</f>
        <v>CP-ELE-01</v>
      </c>
      <c r="D764" s="435" t="str">
        <f>QUANT!D2143</f>
        <v>PROPRIA</v>
      </c>
      <c r="E764" s="436" t="str">
        <f>IFERROR(VLOOKUP($C764,'SINAPI JULHO 2018'!$1:$1048576,2,0),IFERROR(VLOOKUP($C764,'5-COMP. PROPRIA'!$B$13:$I$518,4,0),""))</f>
        <v>ENTRADA DE ENERGIA ELÉTRICA AÉREA TRIFÁSICA 150A COM POSTE DE CONCRETO 7M, CABEAMENTO, CAIXA DE PROTEÇÃO PARA MEDIDOR E ATERRAMENTO - FORNECIMENTO E INSTALAÇÃO</v>
      </c>
      <c r="F764" s="437" t="str">
        <f>IFERROR(VLOOKUP($C764,'SINAPI JULHO 2018'!$A:$D,3,0),IFERROR(VLOOKUP($C764,'5-COMP. PROPRIA'!$B$13:$I$518,5,0),""))</f>
        <v>UNI</v>
      </c>
      <c r="G764" s="438">
        <f>QUANT!K2143</f>
        <v>1</v>
      </c>
      <c r="H764" s="439">
        <f>IFERROR(VLOOKUP($C764,'SINAPI JULHO 2018'!$A:$D,4,0),IFERROR(VLOOKUP($C764,'5-COMP. PROPRIA'!$B$13:$I$518,8,0),""))</f>
        <v>3896.6999999999994</v>
      </c>
      <c r="I764" s="440">
        <f>H764*'4-BDI'!$E$29</f>
        <v>4997.1280799999995</v>
      </c>
      <c r="J764" s="63">
        <f t="shared" ref="J764" si="406">TRUNC(G764*H764,2)</f>
        <v>3896.7</v>
      </c>
      <c r="K764" s="190">
        <f t="shared" ref="K764" si="407">TRUNC(G764*I764,2)</f>
        <v>4997.12</v>
      </c>
    </row>
    <row r="765" spans="2:11" ht="30">
      <c r="B765" s="13" t="s">
        <v>13378</v>
      </c>
      <c r="C765" s="435">
        <f>QUANT!C2147</f>
        <v>92868</v>
      </c>
      <c r="D765" s="435" t="str">
        <f>QUANT!D2147</f>
        <v>SINAPI</v>
      </c>
      <c r="E765" s="436" t="str">
        <f>IFERROR(VLOOKUP($C765,'SINAPI JULHO 2018'!$1:$1048576,2,0),IFERROR(VLOOKUP($C765,'5-COMP. PROPRIA'!$B$13:$I$518,4,0),""))</f>
        <v>CAIXA RETANGULAR 4" X 2" MÉDIA (1,30 M DO PISO), METÁLICA, INSTALADA EM PAREDE - FORNECIMENTO E INSTALAÇÃO. AF_12/2015</v>
      </c>
      <c r="F765" s="437" t="str">
        <f>IFERROR(VLOOKUP($C765,'SINAPI JULHO 2018'!$A:$D,3,0),IFERROR(VLOOKUP($C765,'5-COMP. PROPRIA'!$B$13:$I$518,5,0),""))</f>
        <v>UN</v>
      </c>
      <c r="G765" s="438">
        <f>QUANT!K2147</f>
        <v>113</v>
      </c>
      <c r="H765" s="439">
        <f>IFERROR(VLOOKUP($C765,'SINAPI JULHO 2018'!$A:$D,4,0),IFERROR(VLOOKUP($C765,'5-COMP. PROPRIA'!$B$13:$I$518,8,0),""))</f>
        <v>9.74</v>
      </c>
      <c r="I765" s="440">
        <f>H765*'4-BDI'!$E$29</f>
        <v>12.490576000000001</v>
      </c>
      <c r="J765" s="63">
        <f t="shared" ref="J765:J793" si="408">TRUNC(G765*H765,2)</f>
        <v>1100.6199999999999</v>
      </c>
      <c r="K765" s="190">
        <f t="shared" ref="K765:K793" si="409">TRUNC(G765*I765,2)</f>
        <v>1411.43</v>
      </c>
    </row>
    <row r="766" spans="2:11" ht="30">
      <c r="B766" s="13" t="s">
        <v>13379</v>
      </c>
      <c r="C766" s="435">
        <f>QUANT!C2148</f>
        <v>90456</v>
      </c>
      <c r="D766" s="435" t="str">
        <f>QUANT!D2148</f>
        <v>SINAPI</v>
      </c>
      <c r="E766" s="436" t="str">
        <f>IFERROR(VLOOKUP($C766,'SINAPI JULHO 2018'!$1:$1048576,2,0),IFERROR(VLOOKUP($C766,'5-COMP. PROPRIA'!$B$13:$I$518,4,0),""))</f>
        <v>QUEBRA EM ALVENARIA PARA INSTALAÇÃO DE CAIXA DE TOMADA (4X4 OU 4X2). AF_05/2015</v>
      </c>
      <c r="F766" s="437" t="str">
        <f>IFERROR(VLOOKUP($C766,'SINAPI JULHO 2018'!$A:$D,3,0),IFERROR(VLOOKUP($C766,'5-COMP. PROPRIA'!$B$13:$I$518,5,0),""))</f>
        <v>UN</v>
      </c>
      <c r="G766" s="438">
        <f>QUANT!K2148</f>
        <v>113</v>
      </c>
      <c r="H766" s="439">
        <f>IFERROR(VLOOKUP($C766,'SINAPI JULHO 2018'!$A:$D,4,0),IFERROR(VLOOKUP($C766,'5-COMP. PROPRIA'!$B$13:$I$518,8,0),""))</f>
        <v>2.91</v>
      </c>
      <c r="I766" s="440">
        <f>H766*'4-BDI'!$E$29</f>
        <v>3.7317840000000002</v>
      </c>
      <c r="J766" s="63">
        <f t="shared" si="408"/>
        <v>328.83</v>
      </c>
      <c r="K766" s="190">
        <f t="shared" si="409"/>
        <v>421.69</v>
      </c>
    </row>
    <row r="767" spans="2:11" ht="30">
      <c r="B767" s="13" t="s">
        <v>13380</v>
      </c>
      <c r="C767" s="435">
        <f>QUANT!C2152</f>
        <v>91937</v>
      </c>
      <c r="D767" s="435" t="str">
        <f>QUANT!D2152</f>
        <v>SINAPI</v>
      </c>
      <c r="E767" s="436" t="str">
        <f>IFERROR(VLOOKUP($C767,'SINAPI JULHO 2018'!$1:$1048576,2,0),IFERROR(VLOOKUP($C767,'5-COMP. PROPRIA'!$B$13:$I$518,4,0),""))</f>
        <v>CAIXA OCTOGONAL 3" X 3", PVC, INSTALADA EM LAJE - FORNECIMENTO E INSTALAÇÃO. AF_12/2015</v>
      </c>
      <c r="F767" s="437" t="str">
        <f>IFERROR(VLOOKUP($C767,'SINAPI JULHO 2018'!$A:$D,3,0),IFERROR(VLOOKUP($C767,'5-COMP. PROPRIA'!$B$13:$I$518,5,0),""))</f>
        <v>UN</v>
      </c>
      <c r="G767" s="438">
        <f>QUANT!K2152</f>
        <v>197</v>
      </c>
      <c r="H767" s="439">
        <f>IFERROR(VLOOKUP($C767,'SINAPI JULHO 2018'!$A:$D,4,0),IFERROR(VLOOKUP($C767,'5-COMP. PROPRIA'!$B$13:$I$518,8,0),""))</f>
        <v>7.59</v>
      </c>
      <c r="I767" s="440">
        <f>H767*'4-BDI'!$E$29</f>
        <v>9.7334160000000001</v>
      </c>
      <c r="J767" s="63">
        <f t="shared" si="408"/>
        <v>1495.23</v>
      </c>
      <c r="K767" s="190">
        <f t="shared" si="409"/>
        <v>1917.48</v>
      </c>
    </row>
    <row r="768" spans="2:11" ht="30">
      <c r="B768" s="13" t="s">
        <v>13381</v>
      </c>
      <c r="C768" s="435">
        <f>QUANT!C2156</f>
        <v>93018</v>
      </c>
      <c r="D768" s="435" t="str">
        <f>QUANT!D2156</f>
        <v>SINAPI</v>
      </c>
      <c r="E768" s="436" t="str">
        <f>IFERROR(VLOOKUP($C768,'SINAPI JULHO 2018'!$1:$1048576,2,0),IFERROR(VLOOKUP($C768,'5-COMP. PROPRIA'!$B$13:$I$518,4,0),""))</f>
        <v>CURVA 90 GRAUS PARA ELETRODUTO, PVC, ROSCÁVEL, DN 50 MM (1 1/2") - FORNECIMENTO E INSTALAÇÃO. AF_12/2015</v>
      </c>
      <c r="F768" s="437" t="str">
        <f>IFERROR(VLOOKUP($C768,'SINAPI JULHO 2018'!$A:$D,3,0),IFERROR(VLOOKUP($C768,'5-COMP. PROPRIA'!$B$13:$I$518,5,0),""))</f>
        <v>UN</v>
      </c>
      <c r="G768" s="438">
        <f>QUANT!K2156</f>
        <v>2</v>
      </c>
      <c r="H768" s="439">
        <f>IFERROR(VLOOKUP($C768,'SINAPI JULHO 2018'!$A:$D,4,0),IFERROR(VLOOKUP($C768,'5-COMP. PROPRIA'!$B$13:$I$518,8,0),""))</f>
        <v>14.86</v>
      </c>
      <c r="I768" s="440">
        <f>H768*'4-BDI'!$E$29</f>
        <v>19.056463999999998</v>
      </c>
      <c r="J768" s="63">
        <f t="shared" si="408"/>
        <v>29.72</v>
      </c>
      <c r="K768" s="190">
        <f t="shared" si="409"/>
        <v>38.11</v>
      </c>
    </row>
    <row r="769" spans="2:11" ht="30">
      <c r="B769" s="13" t="s">
        <v>13382</v>
      </c>
      <c r="C769" s="435">
        <f>QUANT!C2160</f>
        <v>93013</v>
      </c>
      <c r="D769" s="435" t="str">
        <f>QUANT!D2160</f>
        <v>SINAPI</v>
      </c>
      <c r="E769" s="436" t="str">
        <f>IFERROR(VLOOKUP($C769,'SINAPI JULHO 2018'!$1:$1048576,2,0),IFERROR(VLOOKUP($C769,'5-COMP. PROPRIA'!$B$13:$I$518,4,0),""))</f>
        <v>LUVA PARA ELETRODUTO, PVC, ROSCÁVEL, DN 50 MM (1 1/2") - FORNECIMENTO E INSTALAÇÃO. AF_12/2015</v>
      </c>
      <c r="F769" s="437" t="str">
        <f>IFERROR(VLOOKUP($C769,'SINAPI JULHO 2018'!$A:$D,3,0),IFERROR(VLOOKUP($C769,'5-COMP. PROPRIA'!$B$13:$I$518,5,0),""))</f>
        <v>UN</v>
      </c>
      <c r="G769" s="438">
        <f>QUANT!K2160</f>
        <v>7</v>
      </c>
      <c r="H769" s="439">
        <f>IFERROR(VLOOKUP($C769,'SINAPI JULHO 2018'!$A:$D,4,0),IFERROR(VLOOKUP($C769,'5-COMP. PROPRIA'!$B$13:$I$518,8,0),""))</f>
        <v>9.73</v>
      </c>
      <c r="I769" s="440">
        <f>H769*'4-BDI'!$E$29</f>
        <v>12.477752000000001</v>
      </c>
      <c r="J769" s="63">
        <f t="shared" si="408"/>
        <v>68.11</v>
      </c>
      <c r="K769" s="190">
        <f t="shared" si="409"/>
        <v>87.34</v>
      </c>
    </row>
    <row r="770" spans="2:11" ht="30">
      <c r="B770" s="13" t="s">
        <v>13383</v>
      </c>
      <c r="C770" s="435">
        <f>QUANT!C2164</f>
        <v>93015</v>
      </c>
      <c r="D770" s="435" t="str">
        <f>QUANT!D2164</f>
        <v>SINAPI</v>
      </c>
      <c r="E770" s="436" t="str">
        <f>IFERROR(VLOOKUP($C770,'SINAPI JULHO 2018'!$1:$1048576,2,0),IFERROR(VLOOKUP($C770,'5-COMP. PROPRIA'!$B$13:$I$518,4,0),""))</f>
        <v>LUVA PARA ELETRODUTO, PVC, ROSCÁVEL, DN 75 MM (2 1/2") - FORNECIMENTO E INSTALAÇÃO. AF_12/2015</v>
      </c>
      <c r="F770" s="437" t="str">
        <f>IFERROR(VLOOKUP($C770,'SINAPI JULHO 2018'!$A:$D,3,0),IFERROR(VLOOKUP($C770,'5-COMP. PROPRIA'!$B$13:$I$518,5,0),""))</f>
        <v>UN</v>
      </c>
      <c r="G770" s="438">
        <f>QUANT!K2164</f>
        <v>1</v>
      </c>
      <c r="H770" s="439">
        <f>IFERROR(VLOOKUP($C770,'SINAPI JULHO 2018'!$A:$D,4,0),IFERROR(VLOOKUP($C770,'5-COMP. PROPRIA'!$B$13:$I$518,8,0),""))</f>
        <v>17.98</v>
      </c>
      <c r="I770" s="440">
        <f>H770*'4-BDI'!$E$29</f>
        <v>23.057552000000001</v>
      </c>
      <c r="J770" s="63">
        <f t="shared" si="408"/>
        <v>17.98</v>
      </c>
      <c r="K770" s="190">
        <f t="shared" si="409"/>
        <v>23.05</v>
      </c>
    </row>
    <row r="771" spans="2:11" ht="30">
      <c r="B771" s="13" t="s">
        <v>13384</v>
      </c>
      <c r="C771" s="435">
        <f>QUANT!C2169</f>
        <v>92980</v>
      </c>
      <c r="D771" s="435" t="str">
        <f>QUANT!D2169</f>
        <v>SINAPI</v>
      </c>
      <c r="E771" s="436" t="str">
        <f>IFERROR(VLOOKUP($C771,'SINAPI JULHO 2018'!$1:$1048576,2,0),IFERROR(VLOOKUP($C771,'5-COMP. PROPRIA'!$B$13:$I$518,4,0),""))</f>
        <v>CABO DE COBRE FLEXÍVEL ISOLADO, 10 MM², ANTI-CHAMA 0,6/1,0 KV, PARA DISTRIBUIÇÃO - FORNECIMENTO E INSTALAÇÃO. AF_12/2015</v>
      </c>
      <c r="F771" s="437" t="str">
        <f>IFERROR(VLOOKUP($C771,'SINAPI JULHO 2018'!$A:$D,3,0),IFERROR(VLOOKUP($C771,'5-COMP. PROPRIA'!$B$13:$I$518,5,0),""))</f>
        <v>M</v>
      </c>
      <c r="G771" s="438">
        <f>QUANT!K2169</f>
        <v>605.29999999999995</v>
      </c>
      <c r="H771" s="439">
        <f>IFERROR(VLOOKUP($C771,'SINAPI JULHO 2018'!$A:$D,4,0),IFERROR(VLOOKUP($C771,'5-COMP. PROPRIA'!$B$13:$I$518,8,0),""))</f>
        <v>6.4</v>
      </c>
      <c r="I771" s="440">
        <f>H771*'4-BDI'!$E$29</f>
        <v>8.2073599999999995</v>
      </c>
      <c r="J771" s="63">
        <f t="shared" si="408"/>
        <v>3873.92</v>
      </c>
      <c r="K771" s="190">
        <f t="shared" si="409"/>
        <v>4967.91</v>
      </c>
    </row>
    <row r="772" spans="2:11" ht="30">
      <c r="B772" s="13" t="s">
        <v>13385</v>
      </c>
      <c r="C772" s="435">
        <f>QUANT!C2170</f>
        <v>92982</v>
      </c>
      <c r="D772" s="435" t="str">
        <f>QUANT!D2170</f>
        <v>SINAPI</v>
      </c>
      <c r="E772" s="436" t="str">
        <f>IFERROR(VLOOKUP($C772,'SINAPI JULHO 2018'!$1:$1048576,2,0),IFERROR(VLOOKUP($C772,'5-COMP. PROPRIA'!$B$13:$I$518,4,0),""))</f>
        <v>CABO DE COBRE FLEXÍVEL ISOLADO, 16 MM², ANTI-CHAMA 0,6/1,0 KV, PARA DISTRIBUIÇÃO - FORNECIMENTO E INSTALAÇÃO. AF_12/2015</v>
      </c>
      <c r="F772" s="437" t="str">
        <f>IFERROR(VLOOKUP($C772,'SINAPI JULHO 2018'!$A:$D,3,0),IFERROR(VLOOKUP($C772,'5-COMP. PROPRIA'!$B$13:$I$518,5,0),""))</f>
        <v>M</v>
      </c>
      <c r="G772" s="438">
        <f>QUANT!K2170</f>
        <v>2973</v>
      </c>
      <c r="H772" s="439">
        <f>IFERROR(VLOOKUP($C772,'SINAPI JULHO 2018'!$A:$D,4,0),IFERROR(VLOOKUP($C772,'5-COMP. PROPRIA'!$B$13:$I$518,8,0),""))</f>
        <v>9.77</v>
      </c>
      <c r="I772" s="440">
        <f>H772*'4-BDI'!$E$29</f>
        <v>12.529048</v>
      </c>
      <c r="J772" s="63">
        <f t="shared" si="408"/>
        <v>29046.21</v>
      </c>
      <c r="K772" s="190">
        <f t="shared" si="409"/>
        <v>37248.85</v>
      </c>
    </row>
    <row r="773" spans="2:11" ht="30">
      <c r="B773" s="13" t="s">
        <v>13386</v>
      </c>
      <c r="C773" s="435">
        <f>QUANT!C2171</f>
        <v>92984</v>
      </c>
      <c r="D773" s="435" t="str">
        <f>QUANT!D2171</f>
        <v>SINAPI</v>
      </c>
      <c r="E773" s="436" t="str">
        <f>IFERROR(VLOOKUP($C773,'SINAPI JULHO 2018'!$1:$1048576,2,0),IFERROR(VLOOKUP($C773,'5-COMP. PROPRIA'!$B$13:$I$518,4,0),""))</f>
        <v>CABO DE COBRE FLEXÍVEL ISOLADO, 25 MM², ANTI-CHAMA 0,6/1,0 KV, PARA DISTRIBUIÇÃO - FORNECIMENTO E INSTALAÇÃO. AF_12/2015</v>
      </c>
      <c r="F773" s="437" t="str">
        <f>IFERROR(VLOOKUP($C773,'SINAPI JULHO 2018'!$A:$D,3,0),IFERROR(VLOOKUP($C773,'5-COMP. PROPRIA'!$B$13:$I$518,5,0),""))</f>
        <v>M</v>
      </c>
      <c r="G773" s="438">
        <f>QUANT!K2171</f>
        <v>415.8</v>
      </c>
      <c r="H773" s="439">
        <f>IFERROR(VLOOKUP($C773,'SINAPI JULHO 2018'!$A:$D,4,0),IFERROR(VLOOKUP($C773,'5-COMP. PROPRIA'!$B$13:$I$518,8,0),""))</f>
        <v>16.13</v>
      </c>
      <c r="I773" s="440">
        <f>H773*'4-BDI'!$E$29</f>
        <v>20.685112</v>
      </c>
      <c r="J773" s="63">
        <f t="shared" si="408"/>
        <v>6706.85</v>
      </c>
      <c r="K773" s="190">
        <f t="shared" si="409"/>
        <v>8600.86</v>
      </c>
    </row>
    <row r="774" spans="2:11" ht="30">
      <c r="B774" s="13" t="s">
        <v>13387</v>
      </c>
      <c r="C774" s="435">
        <f>QUANT!C2172</f>
        <v>92986</v>
      </c>
      <c r="D774" s="435" t="str">
        <f>QUANT!D2172</f>
        <v>SINAPI</v>
      </c>
      <c r="E774" s="436" t="str">
        <f>IFERROR(VLOOKUP($C774,'SINAPI JULHO 2018'!$1:$1048576,2,0),IFERROR(VLOOKUP($C774,'5-COMP. PROPRIA'!$B$13:$I$518,4,0),""))</f>
        <v>CABO DE COBRE FLEXÍVEL ISOLADO, 35 MM², ANTI-CHAMA 0,6/1,0 KV, PARA DISTRIBUIÇÃO - FORNECIMENTO E INSTALAÇÃO. AF_12/2015</v>
      </c>
      <c r="F774" s="437" t="str">
        <f>IFERROR(VLOOKUP($C774,'SINAPI JULHO 2018'!$A:$D,3,0),IFERROR(VLOOKUP($C774,'5-COMP. PROPRIA'!$B$13:$I$518,5,0),""))</f>
        <v>M</v>
      </c>
      <c r="G774" s="438">
        <f>QUANT!K2172</f>
        <v>8.1999999999999993</v>
      </c>
      <c r="H774" s="439">
        <f>IFERROR(VLOOKUP($C774,'SINAPI JULHO 2018'!$A:$D,4,0),IFERROR(VLOOKUP($C774,'5-COMP. PROPRIA'!$B$13:$I$518,8,0),""))</f>
        <v>21.75</v>
      </c>
      <c r="I774" s="440">
        <f>H774*'4-BDI'!$E$29</f>
        <v>27.892199999999999</v>
      </c>
      <c r="J774" s="63">
        <f t="shared" si="408"/>
        <v>178.35</v>
      </c>
      <c r="K774" s="190">
        <f t="shared" si="409"/>
        <v>228.71</v>
      </c>
    </row>
    <row r="775" spans="2:11" ht="30">
      <c r="B775" s="13" t="s">
        <v>13388</v>
      </c>
      <c r="C775" s="435">
        <f>QUANT!C2173</f>
        <v>92988</v>
      </c>
      <c r="D775" s="435" t="str">
        <f>QUANT!D2173</f>
        <v>SINAPI</v>
      </c>
      <c r="E775" s="436" t="str">
        <f>IFERROR(VLOOKUP($C775,'SINAPI JULHO 2018'!$1:$1048576,2,0),IFERROR(VLOOKUP($C775,'5-COMP. PROPRIA'!$B$13:$I$518,4,0),""))</f>
        <v>CABO DE COBRE FLEXÍVEL ISOLADO, 50 MM², ANTI-CHAMA 0,6/1,0 KV, PARA DISTRIBUIÇÃO - FORNECIMENTO E INSTALAÇÃO. AF_12/2015</v>
      </c>
      <c r="F775" s="437" t="str">
        <f>IFERROR(VLOOKUP($C775,'SINAPI JULHO 2018'!$A:$D,3,0),IFERROR(VLOOKUP($C775,'5-COMP. PROPRIA'!$B$13:$I$518,5,0),""))</f>
        <v>M</v>
      </c>
      <c r="G775" s="438">
        <f>QUANT!K2173</f>
        <v>6.6</v>
      </c>
      <c r="H775" s="439">
        <f>IFERROR(VLOOKUP($C775,'SINAPI JULHO 2018'!$A:$D,4,0),IFERROR(VLOOKUP($C775,'5-COMP. PROPRIA'!$B$13:$I$518,8,0),""))</f>
        <v>30.44</v>
      </c>
      <c r="I775" s="440">
        <f>H775*'4-BDI'!$E$29</f>
        <v>39.036256000000002</v>
      </c>
      <c r="J775" s="63">
        <f t="shared" si="408"/>
        <v>200.9</v>
      </c>
      <c r="K775" s="190">
        <f t="shared" si="409"/>
        <v>257.63</v>
      </c>
    </row>
    <row r="776" spans="2:11" ht="30">
      <c r="B776" s="13" t="s">
        <v>13389</v>
      </c>
      <c r="C776" s="435">
        <f>QUANT!C2174</f>
        <v>92990</v>
      </c>
      <c r="D776" s="435" t="str">
        <f>QUANT!D2174</f>
        <v>SINAPI</v>
      </c>
      <c r="E776" s="436" t="str">
        <f>IFERROR(VLOOKUP($C776,'SINAPI JULHO 2018'!$1:$1048576,2,0),IFERROR(VLOOKUP($C776,'5-COMP. PROPRIA'!$B$13:$I$518,4,0),""))</f>
        <v>CABO DE COBRE FLEXÍVEL ISOLADO, 70 MM², ANTI-CHAMA 0,6/1,0 KV, PARA DISTRIBUIÇÃO - FORNECIMENTO E INSTALAÇÃO. AF_12/2015</v>
      </c>
      <c r="F776" s="437" t="str">
        <f>IFERROR(VLOOKUP($C776,'SINAPI JULHO 2018'!$A:$D,3,0),IFERROR(VLOOKUP($C776,'5-COMP. PROPRIA'!$B$13:$I$518,5,0),""))</f>
        <v>M</v>
      </c>
      <c r="G776" s="438">
        <f>QUANT!K2174</f>
        <v>41.8</v>
      </c>
      <c r="H776" s="439">
        <f>IFERROR(VLOOKUP($C776,'SINAPI JULHO 2018'!$A:$D,4,0),IFERROR(VLOOKUP($C776,'5-COMP. PROPRIA'!$B$13:$I$518,8,0),""))</f>
        <v>41.66</v>
      </c>
      <c r="I776" s="440">
        <f>H776*'4-BDI'!$E$29</f>
        <v>53.424783999999995</v>
      </c>
      <c r="J776" s="63">
        <f t="shared" si="408"/>
        <v>1741.38</v>
      </c>
      <c r="K776" s="190">
        <f t="shared" si="409"/>
        <v>2233.15</v>
      </c>
    </row>
    <row r="777" spans="2:11" ht="30">
      <c r="B777" s="13" t="s">
        <v>13390</v>
      </c>
      <c r="C777" s="435">
        <f>QUANT!C2178</f>
        <v>92979</v>
      </c>
      <c r="D777" s="435" t="str">
        <f>QUANT!D2178</f>
        <v>SINAPI</v>
      </c>
      <c r="E777" s="436" t="str">
        <f>IFERROR(VLOOKUP($C777,'SINAPI JULHO 2018'!$1:$1048576,2,0),IFERROR(VLOOKUP($C777,'5-COMP. PROPRIA'!$B$13:$I$518,4,0),""))</f>
        <v>CABO DE COBRE FLEXÍVEL ISOLADO, 10 MM², ANTI-CHAMA 450/750 V, PARA DISTRIBUIÇÃO - FORNECIMENTO E INSTALAÇÃO. AF_12/2015</v>
      </c>
      <c r="F777" s="437" t="str">
        <f>IFERROR(VLOOKUP($C777,'SINAPI JULHO 2018'!$A:$D,3,0),IFERROR(VLOOKUP($C777,'5-COMP. PROPRIA'!$B$13:$I$518,5,0),""))</f>
        <v>M</v>
      </c>
      <c r="G777" s="438">
        <f>QUANT!K2178</f>
        <v>20.8</v>
      </c>
      <c r="H777" s="439">
        <f>IFERROR(VLOOKUP($C777,'SINAPI JULHO 2018'!$A:$D,4,0),IFERROR(VLOOKUP($C777,'5-COMP. PROPRIA'!$B$13:$I$518,8,0),""))</f>
        <v>5.89</v>
      </c>
      <c r="I777" s="440">
        <f>H777*'4-BDI'!$E$29</f>
        <v>7.5533359999999998</v>
      </c>
      <c r="J777" s="63">
        <f t="shared" si="408"/>
        <v>122.51</v>
      </c>
      <c r="K777" s="190">
        <f t="shared" si="409"/>
        <v>157.1</v>
      </c>
    </row>
    <row r="778" spans="2:11" ht="30">
      <c r="B778" s="13" t="s">
        <v>13391</v>
      </c>
      <c r="C778" s="435">
        <f>QUANT!C2179</f>
        <v>91926</v>
      </c>
      <c r="D778" s="435" t="str">
        <f>QUANT!D2179</f>
        <v>SINAPI</v>
      </c>
      <c r="E778" s="436" t="str">
        <f>IFERROR(VLOOKUP($C778,'SINAPI JULHO 2018'!$1:$1048576,2,0),IFERROR(VLOOKUP($C778,'5-COMP. PROPRIA'!$B$13:$I$518,4,0),""))</f>
        <v>CABO DE COBRE FLEXÍVEL ISOLADO, 2,5 MM², ANTI-CHAMA 450/750 V, PARA CIRCUITOS TERMINAIS - FORNECIMENTO E INSTALAÇÃO. AF_12/2015</v>
      </c>
      <c r="F778" s="437" t="str">
        <f>IFERROR(VLOOKUP($C778,'SINAPI JULHO 2018'!$A:$D,3,0),IFERROR(VLOOKUP($C778,'5-COMP. PROPRIA'!$B$13:$I$518,5,0),""))</f>
        <v>M</v>
      </c>
      <c r="G778" s="438">
        <f>QUANT!K2179</f>
        <v>1774.3</v>
      </c>
      <c r="H778" s="439">
        <f>IFERROR(VLOOKUP($C778,'SINAPI JULHO 2018'!$A:$D,4,0),IFERROR(VLOOKUP($C778,'5-COMP. PROPRIA'!$B$13:$I$518,8,0),""))</f>
        <v>2.5</v>
      </c>
      <c r="I778" s="440">
        <f>H778*'4-BDI'!$E$29</f>
        <v>3.206</v>
      </c>
      <c r="J778" s="63">
        <f t="shared" si="408"/>
        <v>4435.75</v>
      </c>
      <c r="K778" s="190">
        <f t="shared" si="409"/>
        <v>5688.4</v>
      </c>
    </row>
    <row r="779" spans="2:11" ht="30">
      <c r="B779" s="13" t="s">
        <v>13392</v>
      </c>
      <c r="C779" s="435">
        <f>QUANT!C2180</f>
        <v>91928</v>
      </c>
      <c r="D779" s="435" t="str">
        <f>QUANT!D2180</f>
        <v>SINAPI</v>
      </c>
      <c r="E779" s="436" t="str">
        <f>IFERROR(VLOOKUP($C779,'SINAPI JULHO 2018'!$1:$1048576,2,0),IFERROR(VLOOKUP($C779,'5-COMP. PROPRIA'!$B$13:$I$518,4,0),""))</f>
        <v>CABO DE COBRE FLEXÍVEL ISOLADO, 4 MM², ANTI-CHAMA 450/750 V, PARA CIRCUITOS TERMINAIS - FORNECIMENTO E INSTALAÇÃO. AF_12/2015</v>
      </c>
      <c r="F779" s="437" t="str">
        <f>IFERROR(VLOOKUP($C779,'SINAPI JULHO 2018'!$A:$D,3,0),IFERROR(VLOOKUP($C779,'5-COMP. PROPRIA'!$B$13:$I$518,5,0),""))</f>
        <v>M</v>
      </c>
      <c r="G779" s="438">
        <f>QUANT!K2180</f>
        <v>40.799999999999997</v>
      </c>
      <c r="H779" s="439">
        <f>IFERROR(VLOOKUP($C779,'SINAPI JULHO 2018'!$A:$D,4,0),IFERROR(VLOOKUP($C779,'5-COMP. PROPRIA'!$B$13:$I$518,8,0),""))</f>
        <v>4.01</v>
      </c>
      <c r="I779" s="440">
        <f>H779*'4-BDI'!$E$29</f>
        <v>5.1424240000000001</v>
      </c>
      <c r="J779" s="63">
        <f t="shared" si="408"/>
        <v>163.6</v>
      </c>
      <c r="K779" s="190">
        <f t="shared" si="409"/>
        <v>209.81</v>
      </c>
    </row>
    <row r="780" spans="2:11" ht="30">
      <c r="B780" s="13" t="s">
        <v>13393</v>
      </c>
      <c r="C780" s="435">
        <f>QUANT!C2181</f>
        <v>91930</v>
      </c>
      <c r="D780" s="435" t="str">
        <f>QUANT!D2181</f>
        <v>SINAPI</v>
      </c>
      <c r="E780" s="436" t="str">
        <f>IFERROR(VLOOKUP($C780,'SINAPI JULHO 2018'!$1:$1048576,2,0),IFERROR(VLOOKUP($C780,'5-COMP. PROPRIA'!$B$13:$I$518,4,0),""))</f>
        <v>CABO DE COBRE FLEXÍVEL ISOLADO, 6 MM², ANTI-CHAMA 450/750 V, PARA CIRCUITOS TERMINAIS - FORNECIMENTO E INSTALAÇÃO. AF_12/2015</v>
      </c>
      <c r="F780" s="437" t="str">
        <f>IFERROR(VLOOKUP($C780,'SINAPI JULHO 2018'!$A:$D,3,0),IFERROR(VLOOKUP($C780,'5-COMP. PROPRIA'!$B$13:$I$518,5,0),""))</f>
        <v>M</v>
      </c>
      <c r="G780" s="438">
        <f>QUANT!K2181</f>
        <v>6.4</v>
      </c>
      <c r="H780" s="439">
        <f>IFERROR(VLOOKUP($C780,'SINAPI JULHO 2018'!$A:$D,4,0),IFERROR(VLOOKUP($C780,'5-COMP. PROPRIA'!$B$13:$I$518,8,0),""))</f>
        <v>5.48</v>
      </c>
      <c r="I780" s="440">
        <f>H780*'4-BDI'!$E$29</f>
        <v>7.027552</v>
      </c>
      <c r="J780" s="63">
        <f t="shared" si="408"/>
        <v>35.07</v>
      </c>
      <c r="K780" s="190">
        <f t="shared" si="409"/>
        <v>44.97</v>
      </c>
    </row>
    <row r="781" spans="2:11" ht="45">
      <c r="B781" s="13" t="s">
        <v>13394</v>
      </c>
      <c r="C781" s="435">
        <f>QUANT!C2186</f>
        <v>97887</v>
      </c>
      <c r="D781" s="435" t="str">
        <f>QUANT!D2186</f>
        <v>SINAPI</v>
      </c>
      <c r="E781" s="436" t="str">
        <f>IFERROR(VLOOKUP($C781,'SINAPI JULHO 2018'!$1:$1048576,2,0),IFERROR(VLOOKUP($C781,'5-COMP. PROPRIA'!$B$13:$I$518,4,0),""))</f>
        <v>CAIXA ENTERRADA ELÉTRICA RETANGULAR, EM ALVENARIA COM TIJOLOS CERÂMICOS MACIÇOS, FUNDO COM BRITA, DIMENSÕES INTERNAS: 0,4X0,4X0,4 M. AF_05/2018</v>
      </c>
      <c r="F781" s="437" t="str">
        <f>IFERROR(VLOOKUP($C781,'SINAPI JULHO 2018'!$A:$D,3,0),IFERROR(VLOOKUP($C781,'5-COMP. PROPRIA'!$B$13:$I$518,5,0),""))</f>
        <v>UN</v>
      </c>
      <c r="G781" s="438">
        <f>QUANT!K2186</f>
        <v>14</v>
      </c>
      <c r="H781" s="439">
        <f>IFERROR(VLOOKUP($C781,'SINAPI JULHO 2018'!$A:$D,4,0),IFERROR(VLOOKUP($C781,'5-COMP. PROPRIA'!$B$13:$I$518,8,0),""))</f>
        <v>181.78</v>
      </c>
      <c r="I781" s="440">
        <f>H781*'4-BDI'!$E$29</f>
        <v>233.11467199999998</v>
      </c>
      <c r="J781" s="63">
        <f t="shared" si="408"/>
        <v>2544.92</v>
      </c>
      <c r="K781" s="190">
        <f t="shared" si="409"/>
        <v>3263.6</v>
      </c>
    </row>
    <row r="782" spans="2:11" ht="45">
      <c r="B782" s="13" t="s">
        <v>13395</v>
      </c>
      <c r="C782" s="435" t="str">
        <f>QUANT!C2191</f>
        <v>CP-ELE-02</v>
      </c>
      <c r="D782" s="435" t="str">
        <f>QUANT!D2191</f>
        <v>PROPRIA</v>
      </c>
      <c r="E782" s="436" t="str">
        <f>IFERROR(VLOOKUP($C782,'SINAPI JULHO 2018'!$1:$1048576,2,0),IFERROR(VLOOKUP($C782,'5-COMP. PROPRIA'!$B$13:$I$518,4,0),""))</f>
        <v xml:space="preserve">VARIADOR DE VELOCIDADE PARA VENTILADOR 127V, 150W + 2 INTERRUPTORES PARALELOS, PARA REVERSAO E LAMPADA, CONJUNTO MONTADO PARA EMBUTIR 4" X 2" (PLACA + SUPORTE + MODULOS) - FORNECIMENTO E INSTALAÇÃO </v>
      </c>
      <c r="F782" s="437" t="str">
        <f>IFERROR(VLOOKUP($C782,'SINAPI JULHO 2018'!$A:$D,3,0),IFERROR(VLOOKUP($C782,'5-COMP. PROPRIA'!$B$13:$I$518,5,0),""))</f>
        <v>UNI</v>
      </c>
      <c r="G782" s="438">
        <f>QUANT!K2191</f>
        <v>19</v>
      </c>
      <c r="H782" s="439">
        <f>IFERROR(VLOOKUP($C782,'SINAPI JULHO 2018'!$A:$D,4,0),IFERROR(VLOOKUP($C782,'5-COMP. PROPRIA'!$B$13:$I$518,8,0),""))</f>
        <v>37.659999999999997</v>
      </c>
      <c r="I782" s="440">
        <f>H782*'4-BDI'!$E$29</f>
        <v>48.295183999999992</v>
      </c>
      <c r="J782" s="63">
        <f t="shared" si="408"/>
        <v>715.54</v>
      </c>
      <c r="K782" s="190">
        <f t="shared" si="409"/>
        <v>917.6</v>
      </c>
    </row>
    <row r="783" spans="2:11" ht="30">
      <c r="B783" s="13" t="s">
        <v>13396</v>
      </c>
      <c r="C783" s="435">
        <f>QUANT!C2192</f>
        <v>91953</v>
      </c>
      <c r="D783" s="435" t="str">
        <f>QUANT!D2192</f>
        <v>SINAPI</v>
      </c>
      <c r="E783" s="436" t="str">
        <f>IFERROR(VLOOKUP($C783,'SINAPI JULHO 2018'!$1:$1048576,2,0),IFERROR(VLOOKUP($C783,'5-COMP. PROPRIA'!$B$13:$I$518,4,0),""))</f>
        <v>INTERRUPTOR SIMPLES (1 MÓDULO), 10A/250V, INCLUINDO SUPORTE E PLACA - FORNECIMENTO E INSTALAÇÃO. AF_12/2015</v>
      </c>
      <c r="F783" s="437" t="str">
        <f>IFERROR(VLOOKUP($C783,'SINAPI JULHO 2018'!$A:$D,3,0),IFERROR(VLOOKUP($C783,'5-COMP. PROPRIA'!$B$13:$I$518,5,0),""))</f>
        <v>UN</v>
      </c>
      <c r="G783" s="438">
        <f>QUANT!K2192</f>
        <v>23</v>
      </c>
      <c r="H783" s="439">
        <f>IFERROR(VLOOKUP($C783,'SINAPI JULHO 2018'!$A:$D,4,0),IFERROR(VLOOKUP($C783,'5-COMP. PROPRIA'!$B$13:$I$518,8,0),""))</f>
        <v>16.04</v>
      </c>
      <c r="I783" s="440">
        <f>H783*'4-BDI'!$E$29</f>
        <v>20.569696</v>
      </c>
      <c r="J783" s="63">
        <f t="shared" si="408"/>
        <v>368.92</v>
      </c>
      <c r="K783" s="190">
        <f t="shared" si="409"/>
        <v>473.1</v>
      </c>
    </row>
    <row r="784" spans="2:11" ht="30">
      <c r="B784" s="13" t="s">
        <v>13397</v>
      </c>
      <c r="C784" s="435">
        <f>QUANT!C2193</f>
        <v>91959</v>
      </c>
      <c r="D784" s="435" t="str">
        <f>QUANT!D2193</f>
        <v>SINAPI</v>
      </c>
      <c r="E784" s="436" t="str">
        <f>IFERROR(VLOOKUP($C784,'SINAPI JULHO 2018'!$1:$1048576,2,0),IFERROR(VLOOKUP($C784,'5-COMP. PROPRIA'!$B$13:$I$518,4,0),""))</f>
        <v>INTERRUPTOR SIMPLES (2 MÓDULOS), 10A/250V, INCLUINDO SUPORTE E PLACA - FORNECIMENTO E INSTALAÇÃO. AF_12/2015</v>
      </c>
      <c r="F784" s="437" t="str">
        <f>IFERROR(VLOOKUP($C784,'SINAPI JULHO 2018'!$A:$D,3,0),IFERROR(VLOOKUP($C784,'5-COMP. PROPRIA'!$B$13:$I$518,5,0),""))</f>
        <v>UN</v>
      </c>
      <c r="G784" s="438">
        <f>QUANT!K2193</f>
        <v>1</v>
      </c>
      <c r="H784" s="439">
        <f>IFERROR(VLOOKUP($C784,'SINAPI JULHO 2018'!$A:$D,4,0),IFERROR(VLOOKUP($C784,'5-COMP. PROPRIA'!$B$13:$I$518,8,0),""))</f>
        <v>25.35</v>
      </c>
      <c r="I784" s="440">
        <f>H784*'4-BDI'!$E$29</f>
        <v>32.508839999999999</v>
      </c>
      <c r="J784" s="63">
        <f t="shared" si="408"/>
        <v>25.35</v>
      </c>
      <c r="K784" s="190">
        <f t="shared" si="409"/>
        <v>32.5</v>
      </c>
    </row>
    <row r="785" spans="2:11" ht="30">
      <c r="B785" s="13" t="s">
        <v>13398</v>
      </c>
      <c r="C785" s="435">
        <f>QUANT!C2194</f>
        <v>91967</v>
      </c>
      <c r="D785" s="435" t="str">
        <f>QUANT!D2194</f>
        <v>SINAPI</v>
      </c>
      <c r="E785" s="436" t="str">
        <f>IFERROR(VLOOKUP($C785,'SINAPI JULHO 2018'!$1:$1048576,2,0),IFERROR(VLOOKUP($C785,'5-COMP. PROPRIA'!$B$13:$I$518,4,0),""))</f>
        <v>INTERRUPTOR SIMPLES (3 MÓDULOS), 10A/250V, INCLUINDO SUPORTE E PLACA - FORNECIMENTO E INSTALAÇÃO. AF_12/2015</v>
      </c>
      <c r="F785" s="437" t="str">
        <f>IFERROR(VLOOKUP($C785,'SINAPI JULHO 2018'!$A:$D,3,0),IFERROR(VLOOKUP($C785,'5-COMP. PROPRIA'!$B$13:$I$518,5,0),""))</f>
        <v>UN</v>
      </c>
      <c r="G785" s="438">
        <f>QUANT!K2194</f>
        <v>1</v>
      </c>
      <c r="H785" s="439">
        <f>IFERROR(VLOOKUP($C785,'SINAPI JULHO 2018'!$A:$D,4,0),IFERROR(VLOOKUP($C785,'5-COMP. PROPRIA'!$B$13:$I$518,8,0),""))</f>
        <v>34.659999999999997</v>
      </c>
      <c r="I785" s="440">
        <f>H785*'4-BDI'!$E$29</f>
        <v>44.447983999999998</v>
      </c>
      <c r="J785" s="63">
        <f t="shared" si="408"/>
        <v>34.659999999999997</v>
      </c>
      <c r="K785" s="190">
        <f t="shared" si="409"/>
        <v>44.44</v>
      </c>
    </row>
    <row r="786" spans="2:11" ht="30">
      <c r="B786" s="13" t="s">
        <v>13399</v>
      </c>
      <c r="C786" s="435">
        <f>QUANT!C2195</f>
        <v>92000</v>
      </c>
      <c r="D786" s="435" t="str">
        <f>QUANT!D2195</f>
        <v>SINAPI</v>
      </c>
      <c r="E786" s="436" t="str">
        <f>IFERROR(VLOOKUP($C786,'SINAPI JULHO 2018'!$1:$1048576,2,0),IFERROR(VLOOKUP($C786,'5-COMP. PROPRIA'!$B$13:$I$518,4,0),""))</f>
        <v>TOMADA BAIXA DE EMBUTIR (1 MÓDULO), 2P+T 10 A, INCLUINDO SUPORTE E PLACA - FORNECIMENTO E INSTALAÇÃO. AF_12/2015</v>
      </c>
      <c r="F786" s="437" t="str">
        <f>IFERROR(VLOOKUP($C786,'SINAPI JULHO 2018'!$A:$D,3,0),IFERROR(VLOOKUP($C786,'5-COMP. PROPRIA'!$B$13:$I$518,5,0),""))</f>
        <v>UN</v>
      </c>
      <c r="G786" s="438">
        <f>QUANT!K2195</f>
        <v>58</v>
      </c>
      <c r="H786" s="439">
        <f>IFERROR(VLOOKUP($C786,'SINAPI JULHO 2018'!$A:$D,4,0),IFERROR(VLOOKUP($C786,'5-COMP. PROPRIA'!$B$13:$I$518,8,0),""))</f>
        <v>16.920000000000002</v>
      </c>
      <c r="I786" s="440">
        <f>H786*'4-BDI'!$E$29</f>
        <v>21.698208000000001</v>
      </c>
      <c r="J786" s="63">
        <f t="shared" si="408"/>
        <v>981.36</v>
      </c>
      <c r="K786" s="190">
        <f t="shared" si="409"/>
        <v>1258.49</v>
      </c>
    </row>
    <row r="787" spans="2:11" ht="30">
      <c r="B787" s="13" t="s">
        <v>13400</v>
      </c>
      <c r="C787" s="435">
        <f>QUANT!C2196</f>
        <v>91996</v>
      </c>
      <c r="D787" s="435" t="str">
        <f>QUANT!D2196</f>
        <v>SINAPI</v>
      </c>
      <c r="E787" s="436" t="str">
        <f>IFERROR(VLOOKUP($C787,'SINAPI JULHO 2018'!$1:$1048576,2,0),IFERROR(VLOOKUP($C787,'5-COMP. PROPRIA'!$B$13:$I$518,4,0),""))</f>
        <v>TOMADA MÉDIA DE EMBUTIR (1 MÓDULO), 2P+T 10 A, INCLUINDO SUPORTE E PLACA - FORNECIMENTO E INSTALAÇÃO. AF_12/2015</v>
      </c>
      <c r="F787" s="437" t="str">
        <f>IFERROR(VLOOKUP($C787,'SINAPI JULHO 2018'!$A:$D,3,0),IFERROR(VLOOKUP($C787,'5-COMP. PROPRIA'!$B$13:$I$518,5,0),""))</f>
        <v>UN</v>
      </c>
      <c r="G787" s="438">
        <f>QUANT!K2196</f>
        <v>8</v>
      </c>
      <c r="H787" s="439">
        <f>IFERROR(VLOOKUP($C787,'SINAPI JULHO 2018'!$A:$D,4,0),IFERROR(VLOOKUP($C787,'5-COMP. PROPRIA'!$B$13:$I$518,8,0),""))</f>
        <v>19.29</v>
      </c>
      <c r="I787" s="440">
        <f>H787*'4-BDI'!$E$29</f>
        <v>24.737496</v>
      </c>
      <c r="J787" s="63">
        <f t="shared" si="408"/>
        <v>154.32</v>
      </c>
      <c r="K787" s="190">
        <f t="shared" si="409"/>
        <v>197.89</v>
      </c>
    </row>
    <row r="788" spans="2:11" ht="30">
      <c r="B788" s="13" t="s">
        <v>13401</v>
      </c>
      <c r="C788" s="435">
        <f>QUANT!C2197</f>
        <v>91993</v>
      </c>
      <c r="D788" s="435" t="str">
        <f>QUANT!D2197</f>
        <v>SINAPI</v>
      </c>
      <c r="E788" s="436" t="str">
        <f>IFERROR(VLOOKUP($C788,'SINAPI JULHO 2018'!$1:$1048576,2,0),IFERROR(VLOOKUP($C788,'5-COMP. PROPRIA'!$B$13:$I$518,4,0),""))</f>
        <v>TOMADA ALTA DE EMBUTIR (1 MÓDULO), 2P+T 20 A, INCLUINDO SUPORTE E PLACA - FORNECIMENTO E INSTALAÇÃO. AF_12/2015</v>
      </c>
      <c r="F788" s="437" t="str">
        <f>IFERROR(VLOOKUP($C788,'SINAPI JULHO 2018'!$A:$D,3,0),IFERROR(VLOOKUP($C788,'5-COMP. PROPRIA'!$B$13:$I$518,5,0),""))</f>
        <v>UN</v>
      </c>
      <c r="G788" s="438">
        <f>QUANT!K2197</f>
        <v>1</v>
      </c>
      <c r="H788" s="439">
        <f>IFERROR(VLOOKUP($C788,'SINAPI JULHO 2018'!$A:$D,4,0),IFERROR(VLOOKUP($C788,'5-COMP. PROPRIA'!$B$13:$I$518,8,0),""))</f>
        <v>26.63</v>
      </c>
      <c r="I788" s="440">
        <f>H788*'4-BDI'!$E$29</f>
        <v>34.150312</v>
      </c>
      <c r="J788" s="63">
        <f t="shared" si="408"/>
        <v>26.63</v>
      </c>
      <c r="K788" s="190">
        <f t="shared" si="409"/>
        <v>34.15</v>
      </c>
    </row>
    <row r="789" spans="2:11" ht="30">
      <c r="B789" s="13" t="s">
        <v>13402</v>
      </c>
      <c r="C789" s="435" t="str">
        <f>QUANT!C2202</f>
        <v>CP-ELE-03</v>
      </c>
      <c r="D789" s="435" t="str">
        <f>QUANT!D2202</f>
        <v>PROPRIA</v>
      </c>
      <c r="E789" s="436" t="str">
        <f>IFERROR(VLOOKUP($C789,'SINAPI JULHO 2018'!$1:$1048576,2,0),IFERROR(VLOOKUP($C789,'5-COMP. PROPRIA'!$B$13:$I$518,4,0),""))</f>
        <v>TOMADA INDUSTRIAL DE EMBUTIR 3P+T 30 A, 440 V, COM TRAVA, COM PLACA- FORNCIMENTO E INSTALAÇÃO</v>
      </c>
      <c r="F789" s="437" t="str">
        <f>IFERROR(VLOOKUP($C789,'SINAPI JULHO 2018'!$A:$D,3,0),IFERROR(VLOOKUP($C789,'5-COMP. PROPRIA'!$B$13:$I$518,5,0),""))</f>
        <v>UNI</v>
      </c>
      <c r="G789" s="438">
        <f>QUANT!K2202</f>
        <v>1</v>
      </c>
      <c r="H789" s="439">
        <f>IFERROR(VLOOKUP($C789,'SINAPI JULHO 2018'!$A:$D,4,0),IFERROR(VLOOKUP($C789,'5-COMP. PROPRIA'!$B$13:$I$518,8,0),""))</f>
        <v>44.98</v>
      </c>
      <c r="I789" s="440">
        <f>H789*'4-BDI'!$E$29</f>
        <v>57.682351999999995</v>
      </c>
      <c r="J789" s="63">
        <f t="shared" si="408"/>
        <v>44.98</v>
      </c>
      <c r="K789" s="190">
        <f t="shared" si="409"/>
        <v>57.68</v>
      </c>
    </row>
    <row r="790" spans="2:11" ht="30">
      <c r="B790" s="13" t="s">
        <v>13403</v>
      </c>
      <c r="C790" s="435" t="str">
        <f>QUANT!C2206</f>
        <v>CP-ELE-04</v>
      </c>
      <c r="D790" s="435" t="str">
        <f>QUANT!D2206</f>
        <v>PROPRIA</v>
      </c>
      <c r="E790" s="436" t="str">
        <f>IFERROR(VLOOKUP($C790,'SINAPI JULHO 2018'!$1:$1048576,2,0),IFERROR(VLOOKUP($C790,'5-COMP. PROPRIA'!$B$13:$I$518,4,0),""))</f>
        <v>VENTILADOR DE TETO COMERCIAL 3 PAS EM ACO SIMPLES - FORNECIMENTO E INSTALAÇÃO</v>
      </c>
      <c r="F790" s="437" t="str">
        <f>IFERROR(VLOOKUP($C790,'SINAPI JULHO 2018'!$A:$D,3,0),IFERROR(VLOOKUP($C790,'5-COMP. PROPRIA'!$B$13:$I$518,5,0),""))</f>
        <v>UNI</v>
      </c>
      <c r="G790" s="438">
        <f>QUANT!K2206</f>
        <v>12</v>
      </c>
      <c r="H790" s="439">
        <f>IFERROR(VLOOKUP($C790,'SINAPI JULHO 2018'!$A:$D,4,0),IFERROR(VLOOKUP($C790,'5-COMP. PROPRIA'!$B$13:$I$518,8,0),""))</f>
        <v>182.31</v>
      </c>
      <c r="I790" s="440">
        <f>H790*'4-BDI'!$E$29</f>
        <v>233.794344</v>
      </c>
      <c r="J790" s="63">
        <f t="shared" si="408"/>
        <v>2187.7199999999998</v>
      </c>
      <c r="K790" s="190">
        <f t="shared" si="409"/>
        <v>2805.53</v>
      </c>
    </row>
    <row r="791" spans="2:11" ht="30">
      <c r="B791" s="13" t="s">
        <v>13404</v>
      </c>
      <c r="C791" s="435">
        <f>QUANT!C2211</f>
        <v>93653</v>
      </c>
      <c r="D791" s="435" t="str">
        <f>QUANT!D2211</f>
        <v>SINAPI</v>
      </c>
      <c r="E791" s="436" t="str">
        <f>IFERROR(VLOOKUP($C791,'SINAPI JULHO 2018'!$1:$1048576,2,0),IFERROR(VLOOKUP($C791,'5-COMP. PROPRIA'!$B$13:$I$518,4,0),""))</f>
        <v>DISJUNTOR MONOPOLAR TIPO DIN, CORRENTE NOMINAL DE 10A - FORNECIMENTO E INSTALAÇÃO. AF_04/2016</v>
      </c>
      <c r="F791" s="437" t="str">
        <f>IFERROR(VLOOKUP($C791,'SINAPI JULHO 2018'!$A:$D,3,0),IFERROR(VLOOKUP($C791,'5-COMP. PROPRIA'!$B$13:$I$518,5,0),""))</f>
        <v>UN</v>
      </c>
      <c r="G791" s="438">
        <f>QUANT!K2211</f>
        <v>23</v>
      </c>
      <c r="H791" s="439">
        <f>IFERROR(VLOOKUP($C791,'SINAPI JULHO 2018'!$A:$D,4,0),IFERROR(VLOOKUP($C791,'5-COMP. PROPRIA'!$B$13:$I$518,8,0),""))</f>
        <v>8.24</v>
      </c>
      <c r="I791" s="440">
        <f>H791*'4-BDI'!$E$29</f>
        <v>10.566976</v>
      </c>
      <c r="J791" s="63">
        <f t="shared" si="408"/>
        <v>189.52</v>
      </c>
      <c r="K791" s="190">
        <f t="shared" si="409"/>
        <v>243.04</v>
      </c>
    </row>
    <row r="792" spans="2:11" ht="30">
      <c r="B792" s="13" t="s">
        <v>13405</v>
      </c>
      <c r="C792" s="435">
        <f>QUANT!C2212</f>
        <v>93661</v>
      </c>
      <c r="D792" s="435" t="str">
        <f>QUANT!D2212</f>
        <v>SINAPI</v>
      </c>
      <c r="E792" s="436" t="str">
        <f>IFERROR(VLOOKUP($C792,'SINAPI JULHO 2018'!$1:$1048576,2,0),IFERROR(VLOOKUP($C792,'5-COMP. PROPRIA'!$B$13:$I$518,4,0),""))</f>
        <v>DISJUNTOR BIPOLAR TIPO DIN, CORRENTE NOMINAL DE 16A - FORNECIMENTO E INSTALAÇÃO. AF_04/2016</v>
      </c>
      <c r="F792" s="437" t="str">
        <f>IFERROR(VLOOKUP($C792,'SINAPI JULHO 2018'!$A:$D,3,0),IFERROR(VLOOKUP($C792,'5-COMP. PROPRIA'!$B$13:$I$518,5,0),""))</f>
        <v>UN</v>
      </c>
      <c r="G792" s="438">
        <f>QUANT!K2212</f>
        <v>1</v>
      </c>
      <c r="H792" s="439">
        <f>IFERROR(VLOOKUP($C792,'SINAPI JULHO 2018'!$A:$D,4,0),IFERROR(VLOOKUP($C792,'5-COMP. PROPRIA'!$B$13:$I$518,8,0),""))</f>
        <v>41.95</v>
      </c>
      <c r="I792" s="440">
        <f>H792*'4-BDI'!$E$29</f>
        <v>53.796680000000002</v>
      </c>
      <c r="J792" s="63">
        <f t="shared" si="408"/>
        <v>41.95</v>
      </c>
      <c r="K792" s="190">
        <f t="shared" si="409"/>
        <v>53.79</v>
      </c>
    </row>
    <row r="793" spans="2:11" ht="30">
      <c r="B793" s="13" t="s">
        <v>13406</v>
      </c>
      <c r="C793" s="435">
        <f>QUANT!C2213</f>
        <v>93663</v>
      </c>
      <c r="D793" s="435" t="str">
        <f>QUANT!D2213</f>
        <v>SINAPI</v>
      </c>
      <c r="E793" s="436" t="str">
        <f>IFERROR(VLOOKUP($C793,'SINAPI JULHO 2018'!$1:$1048576,2,0),IFERROR(VLOOKUP($C793,'5-COMP. PROPRIA'!$B$13:$I$518,4,0),""))</f>
        <v>DISJUNTOR BIPOLAR TIPO DIN, CORRENTE NOMINAL DE 25A - FORNECIMENTO E INSTALAÇÃO. AF_04/2016</v>
      </c>
      <c r="F793" s="437" t="str">
        <f>IFERROR(VLOOKUP($C793,'SINAPI JULHO 2018'!$A:$D,3,0),IFERROR(VLOOKUP($C793,'5-COMP. PROPRIA'!$B$13:$I$518,5,0),""))</f>
        <v>UN</v>
      </c>
      <c r="G793" s="438">
        <f>QUANT!K2213</f>
        <v>5</v>
      </c>
      <c r="H793" s="439">
        <f>IFERROR(VLOOKUP($C793,'SINAPI JULHO 2018'!$A:$D,4,0),IFERROR(VLOOKUP($C793,'5-COMP. PROPRIA'!$B$13:$I$518,8,0),""))</f>
        <v>43.48</v>
      </c>
      <c r="I793" s="440">
        <f>H793*'4-BDI'!$E$29</f>
        <v>55.758751999999994</v>
      </c>
      <c r="J793" s="63">
        <f t="shared" si="408"/>
        <v>217.4</v>
      </c>
      <c r="K793" s="190">
        <f t="shared" si="409"/>
        <v>278.79000000000002</v>
      </c>
    </row>
    <row r="794" spans="2:11" ht="30">
      <c r="B794" s="13" t="s">
        <v>13407</v>
      </c>
      <c r="C794" s="435">
        <f>QUANT!C2214</f>
        <v>93665</v>
      </c>
      <c r="D794" s="435" t="str">
        <f>QUANT!D2214</f>
        <v>SINAPI</v>
      </c>
      <c r="E794" s="436" t="str">
        <f>IFERROR(VLOOKUP($C794,'SINAPI JULHO 2018'!$1:$1048576,2,0),IFERROR(VLOOKUP($C794,'5-COMP. PROPRIA'!$B$13:$I$518,4,0),""))</f>
        <v>DISJUNTOR BIPOLAR TIPO DIN, CORRENTE NOMINAL DE 40A - FORNECIMENTO E INSTALAÇÃO. AF_04/2016</v>
      </c>
      <c r="F794" s="437" t="str">
        <f>IFERROR(VLOOKUP($C794,'SINAPI JULHO 2018'!$A:$D,3,0),IFERROR(VLOOKUP($C794,'5-COMP. PROPRIA'!$B$13:$I$518,5,0),""))</f>
        <v>UN</v>
      </c>
      <c r="G794" s="438">
        <f>QUANT!K2214</f>
        <v>12</v>
      </c>
      <c r="H794" s="439">
        <f>IFERROR(VLOOKUP($C794,'SINAPI JULHO 2018'!$A:$D,4,0),IFERROR(VLOOKUP($C794,'5-COMP. PROPRIA'!$B$13:$I$518,8,0),""))</f>
        <v>47.74</v>
      </c>
      <c r="I794" s="440">
        <f>H794*'4-BDI'!$E$29</f>
        <v>61.221775999999998</v>
      </c>
      <c r="J794" s="63">
        <f t="shared" ref="J794:J824" si="410">TRUNC(G794*H794,2)</f>
        <v>572.88</v>
      </c>
      <c r="K794" s="190">
        <f t="shared" ref="K794:K824" si="411">TRUNC(G794*I794,2)</f>
        <v>734.66</v>
      </c>
    </row>
    <row r="795" spans="2:11" ht="30">
      <c r="B795" s="13" t="s">
        <v>13408</v>
      </c>
      <c r="C795" s="435">
        <f>QUANT!C2215</f>
        <v>93673</v>
      </c>
      <c r="D795" s="435" t="str">
        <f>QUANT!D2215</f>
        <v>SINAPI</v>
      </c>
      <c r="E795" s="436" t="str">
        <f>IFERROR(VLOOKUP($C795,'SINAPI JULHO 2018'!$1:$1048576,2,0),IFERROR(VLOOKUP($C795,'5-COMP. PROPRIA'!$B$13:$I$518,4,0),""))</f>
        <v>DISJUNTOR TRIPOLAR TIPO DIN, CORRENTE NOMINAL DE 50A - FORNECIMENTO E INSTALAÇÃO. AF_04/2016</v>
      </c>
      <c r="F795" s="437" t="str">
        <f>IFERROR(VLOOKUP($C795,'SINAPI JULHO 2018'!$A:$D,3,0),IFERROR(VLOOKUP($C795,'5-COMP. PROPRIA'!$B$13:$I$518,5,0),""))</f>
        <v>UN</v>
      </c>
      <c r="G795" s="438">
        <f>QUANT!K2215</f>
        <v>2</v>
      </c>
      <c r="H795" s="439">
        <f>IFERROR(VLOOKUP($C795,'SINAPI JULHO 2018'!$A:$D,4,0),IFERROR(VLOOKUP($C795,'5-COMP. PROPRIA'!$B$13:$I$518,8,0),""))</f>
        <v>67.84</v>
      </c>
      <c r="I795" s="440">
        <f>H795*'4-BDI'!$E$29</f>
        <v>86.998016000000007</v>
      </c>
      <c r="J795" s="63">
        <f t="shared" si="410"/>
        <v>135.68</v>
      </c>
      <c r="K795" s="190">
        <f t="shared" si="411"/>
        <v>173.99</v>
      </c>
    </row>
    <row r="796" spans="2:11" ht="30">
      <c r="B796" s="13" t="s">
        <v>13409</v>
      </c>
      <c r="C796" s="435" t="str">
        <f>QUANT!C2216</f>
        <v>74130/6</v>
      </c>
      <c r="D796" s="435" t="str">
        <f>QUANT!D2216</f>
        <v>SINAPI</v>
      </c>
      <c r="E796" s="436" t="str">
        <f>IFERROR(VLOOKUP($C796,'SINAPI JULHO 2018'!$1:$1048576,2,0),IFERROR(VLOOKUP($C796,'5-COMP. PROPRIA'!$B$13:$I$518,4,0),""))</f>
        <v>DISJUNTOR TERMOMAGNETICO TRIPOLAR PADRAO NEMA (AMERICANO) 125 A 150A 240V, FORNECIMENTO E INSTALACAO</v>
      </c>
      <c r="F796" s="437" t="str">
        <f>IFERROR(VLOOKUP($C796,'SINAPI JULHO 2018'!$A:$D,3,0),IFERROR(VLOOKUP($C796,'5-COMP. PROPRIA'!$B$13:$I$518,5,0),""))</f>
        <v>UN</v>
      </c>
      <c r="G796" s="438">
        <f>QUANT!K2216</f>
        <v>2</v>
      </c>
      <c r="H796" s="439">
        <f>IFERROR(VLOOKUP($C796,'SINAPI JULHO 2018'!$A:$D,4,0),IFERROR(VLOOKUP($C796,'5-COMP. PROPRIA'!$B$13:$I$518,8,0),""))</f>
        <v>265.83999999999997</v>
      </c>
      <c r="I796" s="440">
        <f>H796*'4-BDI'!$E$29</f>
        <v>340.91321599999998</v>
      </c>
      <c r="J796" s="63">
        <f t="shared" si="410"/>
        <v>531.67999999999995</v>
      </c>
      <c r="K796" s="190">
        <f t="shared" si="411"/>
        <v>681.82</v>
      </c>
    </row>
    <row r="797" spans="2:11" ht="30">
      <c r="B797" s="13" t="s">
        <v>13410</v>
      </c>
      <c r="C797" s="435">
        <f>QUANT!C2217</f>
        <v>93671</v>
      </c>
      <c r="D797" s="435" t="str">
        <f>QUANT!D2217</f>
        <v>SINAPI</v>
      </c>
      <c r="E797" s="436" t="str">
        <f>IFERROR(VLOOKUP($C797,'SINAPI JULHO 2018'!$1:$1048576,2,0),IFERROR(VLOOKUP($C797,'5-COMP. PROPRIA'!$B$13:$I$518,4,0),""))</f>
        <v>DISJUNTOR TRIPOLAR TIPO DIN, CORRENTE NOMINAL DE 32A - FORNECIMENTO E INSTALAÇÃO. AF_04/2016</v>
      </c>
      <c r="F797" s="437" t="str">
        <f>IFERROR(VLOOKUP($C797,'SINAPI JULHO 2018'!$A:$D,3,0),IFERROR(VLOOKUP($C797,'5-COMP. PROPRIA'!$B$13:$I$518,5,0),""))</f>
        <v>UN</v>
      </c>
      <c r="G797" s="438">
        <f>QUANT!K2217</f>
        <v>1</v>
      </c>
      <c r="H797" s="439">
        <f>IFERROR(VLOOKUP($C797,'SINAPI JULHO 2018'!$A:$D,4,0),IFERROR(VLOOKUP($C797,'5-COMP. PROPRIA'!$B$13:$I$518,8,0),""))</f>
        <v>57.6</v>
      </c>
      <c r="I797" s="440">
        <f>H797*'4-BDI'!$E$29</f>
        <v>73.866240000000005</v>
      </c>
      <c r="J797" s="63">
        <f t="shared" si="410"/>
        <v>57.6</v>
      </c>
      <c r="K797" s="190">
        <f t="shared" si="411"/>
        <v>73.86</v>
      </c>
    </row>
    <row r="798" spans="2:11" ht="30">
      <c r="B798" s="13" t="s">
        <v>13411</v>
      </c>
      <c r="C798" s="435" t="str">
        <f>QUANT!C2218</f>
        <v>74130/5</v>
      </c>
      <c r="D798" s="435" t="str">
        <f>QUANT!D2218</f>
        <v>SINAPI</v>
      </c>
      <c r="E798" s="436" t="str">
        <f>IFERROR(VLOOKUP($C798,'SINAPI JULHO 2018'!$1:$1048576,2,0),IFERROR(VLOOKUP($C798,'5-COMP. PROPRIA'!$B$13:$I$518,4,0),""))</f>
        <v>DISJUNTOR TERMOMAGNETICO TRIPOLAR PADRAO NEMA (AMERICANO) 60 A 100A 240V, FORNECIMENTO E INSTALACAO</v>
      </c>
      <c r="F798" s="437" t="str">
        <f>IFERROR(VLOOKUP($C798,'SINAPI JULHO 2018'!$A:$D,3,0),IFERROR(VLOOKUP($C798,'5-COMP. PROPRIA'!$B$13:$I$518,5,0),""))</f>
        <v>UN</v>
      </c>
      <c r="G798" s="438">
        <f>QUANT!K2218</f>
        <v>2</v>
      </c>
      <c r="H798" s="439">
        <f>IFERROR(VLOOKUP($C798,'SINAPI JULHO 2018'!$A:$D,4,0),IFERROR(VLOOKUP($C798,'5-COMP. PROPRIA'!$B$13:$I$518,8,0),""))</f>
        <v>93.81</v>
      </c>
      <c r="I798" s="440">
        <f>H798*'4-BDI'!$E$29</f>
        <v>120.30194400000001</v>
      </c>
      <c r="J798" s="63">
        <f t="shared" si="410"/>
        <v>187.62</v>
      </c>
      <c r="K798" s="190">
        <f t="shared" si="411"/>
        <v>240.6</v>
      </c>
    </row>
    <row r="799" spans="2:11" ht="30">
      <c r="B799" s="13" t="s">
        <v>13412</v>
      </c>
      <c r="C799" s="435" t="str">
        <f>QUANT!C2222</f>
        <v>CP-ELE-05</v>
      </c>
      <c r="D799" s="435" t="str">
        <f>QUANT!D2222</f>
        <v>PROPRIA</v>
      </c>
      <c r="E799" s="436" t="str">
        <f>IFERROR(VLOOKUP($C799,'SINAPI JULHO 2018'!$1:$1048576,2,0),IFERROR(VLOOKUP($C799,'5-COMP. PROPRIA'!$B$13:$I$518,4,0),""))</f>
        <v>DISPOSITIVO DPS CLASSE II, 1 POLO, TENSAO MAXIMA DE 175 V, CORRENTE MAXIMA DE *45* KA (TIPO AC) - FORNECIMENTO E INSTALAÇÃO</v>
      </c>
      <c r="F799" s="437" t="str">
        <f>IFERROR(VLOOKUP($C799,'SINAPI JULHO 2018'!$A:$D,3,0),IFERROR(VLOOKUP($C799,'5-COMP. PROPRIA'!$B$13:$I$518,5,0),""))</f>
        <v>UNI</v>
      </c>
      <c r="G799" s="438">
        <f>QUANT!K2222</f>
        <v>8</v>
      </c>
      <c r="H799" s="439">
        <f>IFERROR(VLOOKUP($C799,'SINAPI JULHO 2018'!$A:$D,4,0),IFERROR(VLOOKUP($C799,'5-COMP. PROPRIA'!$B$13:$I$518,8,0),""))</f>
        <v>92.69</v>
      </c>
      <c r="I799" s="440">
        <f>H799*'4-BDI'!$E$29</f>
        <v>118.865656</v>
      </c>
      <c r="J799" s="63">
        <f t="shared" si="410"/>
        <v>741.52</v>
      </c>
      <c r="K799" s="190">
        <f t="shared" si="411"/>
        <v>950.92</v>
      </c>
    </row>
    <row r="800" spans="2:11" ht="30">
      <c r="B800" s="13" t="s">
        <v>13413</v>
      </c>
      <c r="C800" s="435">
        <f>QUANT!C2227</f>
        <v>91836</v>
      </c>
      <c r="D800" s="435" t="str">
        <f>QUANT!D2227</f>
        <v>SINAPI</v>
      </c>
      <c r="E800" s="436" t="str">
        <f>IFERROR(VLOOKUP($C800,'SINAPI JULHO 2018'!$1:$1048576,2,0),IFERROR(VLOOKUP($C800,'5-COMP. PROPRIA'!$B$13:$I$518,4,0),""))</f>
        <v>ELETRODUTO FLEXÍVEL CORRUGADO, PVC, DN 32 MM (1"), PARA CIRCUITOS TERMINAIS, INSTALADO EM FORRO - FORNECIMENTO E INSTALAÇÃO. AF_12/2015</v>
      </c>
      <c r="F800" s="437" t="str">
        <f>IFERROR(VLOOKUP($C800,'SINAPI JULHO 2018'!$A:$D,3,0),IFERROR(VLOOKUP($C800,'5-COMP. PROPRIA'!$B$13:$I$518,5,0),""))</f>
        <v>M</v>
      </c>
      <c r="G800" s="438">
        <f>QUANT!K2227</f>
        <v>32.4</v>
      </c>
      <c r="H800" s="439">
        <f>IFERROR(VLOOKUP($C800,'SINAPI JULHO 2018'!$A:$D,4,0),IFERROR(VLOOKUP($C800,'5-COMP. PROPRIA'!$B$13:$I$518,8,0),""))</f>
        <v>7</v>
      </c>
      <c r="I800" s="440">
        <f>H800*'4-BDI'!$E$29</f>
        <v>8.9768000000000008</v>
      </c>
      <c r="J800" s="63">
        <f t="shared" si="410"/>
        <v>226.8</v>
      </c>
      <c r="K800" s="190">
        <f t="shared" si="411"/>
        <v>290.83999999999997</v>
      </c>
    </row>
    <row r="801" spans="2:11" ht="30">
      <c r="B801" s="13" t="s">
        <v>13414</v>
      </c>
      <c r="C801" s="435">
        <f>QUANT!C2228</f>
        <v>91834</v>
      </c>
      <c r="D801" s="435" t="str">
        <f>QUANT!D2228</f>
        <v>SINAPI</v>
      </c>
      <c r="E801" s="436" t="str">
        <f>IFERROR(VLOOKUP($C801,'SINAPI JULHO 2018'!$1:$1048576,2,0),IFERROR(VLOOKUP($C801,'5-COMP. PROPRIA'!$B$13:$I$518,4,0),""))</f>
        <v>ELETRODUTO FLEXÍVEL CORRUGADO, PVC, DN 25 MM (3/4"), PARA CIRCUITOS TERMINAIS, INSTALADO EM FORRO - FORNECIMENTO E INSTALAÇÃO. AF_12/2015</v>
      </c>
      <c r="F801" s="437" t="str">
        <f>IFERROR(VLOOKUP($C801,'SINAPI JULHO 2018'!$A:$D,3,0),IFERROR(VLOOKUP($C801,'5-COMP. PROPRIA'!$B$13:$I$518,5,0),""))</f>
        <v>M</v>
      </c>
      <c r="G801" s="438">
        <f>QUANT!K2228</f>
        <v>554.76</v>
      </c>
      <c r="H801" s="439">
        <f>IFERROR(VLOOKUP($C801,'SINAPI JULHO 2018'!$A:$D,4,0),IFERROR(VLOOKUP($C801,'5-COMP. PROPRIA'!$B$13:$I$518,8,0),""))</f>
        <v>5.5</v>
      </c>
      <c r="I801" s="440">
        <f>H801*'4-BDI'!$E$29</f>
        <v>7.0532000000000004</v>
      </c>
      <c r="J801" s="63">
        <f t="shared" si="410"/>
        <v>3051.18</v>
      </c>
      <c r="K801" s="190">
        <f t="shared" si="411"/>
        <v>3912.83</v>
      </c>
    </row>
    <row r="802" spans="2:11" ht="45">
      <c r="B802" s="13" t="s">
        <v>13415</v>
      </c>
      <c r="C802" s="435">
        <f>QUANT!C2232</f>
        <v>39246</v>
      </c>
      <c r="D802" s="435" t="str">
        <f>QUANT!D2232</f>
        <v>SINAPI</v>
      </c>
      <c r="E802" s="436" t="str">
        <f>IFERROR(VLOOKUP($C802,'SINAPI JULHO 2018'!$1:$1048576,2,0),IFERROR(VLOOKUP($C802,'5-COMP. PROPRIA'!$B$13:$I$518,4,0),""))</f>
        <v>ELETRODUTODUTO PEAD FLEXIVEL PAREDE SIMPLES, CORRUGACAO HELICOIDAL, COR PRETA, SEM ROSCA, DE 1 1/2",  PARA CABEAMENTO SUBTERRANEO (NBR 15715)</v>
      </c>
      <c r="F802" s="437" t="str">
        <f>IFERROR(VLOOKUP($C802,'SINAPI JULHO 2018'!$A:$D,3,0),IFERROR(VLOOKUP($C802,'5-COMP. PROPRIA'!$B$13:$I$518,5,0),""))</f>
        <v xml:space="preserve">M     </v>
      </c>
      <c r="G802" s="438">
        <f>QUANT!K2232</f>
        <v>143.88000000000002</v>
      </c>
      <c r="H802" s="439">
        <f>IFERROR(VLOOKUP($C802,'SINAPI JULHO 2018'!$A:$D,4,0),IFERROR(VLOOKUP($C802,'5-COMP. PROPRIA'!$B$13:$I$518,8,0),""))</f>
        <v>2.67</v>
      </c>
      <c r="I802" s="440">
        <f>H802*'4-BDI'!$E$29</f>
        <v>3.4240079999999997</v>
      </c>
      <c r="J802" s="63">
        <f t="shared" si="410"/>
        <v>384.15</v>
      </c>
      <c r="K802" s="190">
        <f t="shared" si="411"/>
        <v>492.64</v>
      </c>
    </row>
    <row r="803" spans="2:11" ht="30">
      <c r="B803" s="13" t="s">
        <v>13416</v>
      </c>
      <c r="C803" s="435">
        <f>QUANT!C2233</f>
        <v>2446</v>
      </c>
      <c r="D803" s="435" t="str">
        <f>QUANT!D2233</f>
        <v>SINAPI</v>
      </c>
      <c r="E803" s="436" t="str">
        <f>IFERROR(VLOOKUP($C803,'SINAPI JULHO 2018'!$1:$1048576,2,0),IFERROR(VLOOKUP($C803,'5-COMP. PROPRIA'!$B$13:$I$518,4,0),""))</f>
        <v>ELETRODUTO/DUTO PEAD FLEXIVEL PAREDE SIMPLES, CORRUGACAO HELICOIDAL, COR PRETA, SEM ROSCA, DE 2",  PARA CABEAMENTO SUBTERRANEO (NBR 15715)</v>
      </c>
      <c r="F803" s="437" t="str">
        <f>IFERROR(VLOOKUP($C803,'SINAPI JULHO 2018'!$A:$D,3,0),IFERROR(VLOOKUP($C803,'5-COMP. PROPRIA'!$B$13:$I$518,5,0),""))</f>
        <v xml:space="preserve">M     </v>
      </c>
      <c r="G803" s="438">
        <f>QUANT!K2233</f>
        <v>81.510000000000005</v>
      </c>
      <c r="H803" s="439">
        <f>IFERROR(VLOOKUP($C803,'SINAPI JULHO 2018'!$A:$D,4,0),IFERROR(VLOOKUP($C803,'5-COMP. PROPRIA'!$B$13:$I$518,8,0),""))</f>
        <v>3.84</v>
      </c>
      <c r="I803" s="440">
        <f>H803*'4-BDI'!$E$29</f>
        <v>4.9244159999999999</v>
      </c>
      <c r="J803" s="63">
        <f t="shared" si="410"/>
        <v>312.99</v>
      </c>
      <c r="K803" s="190">
        <f t="shared" si="411"/>
        <v>401.38</v>
      </c>
    </row>
    <row r="804" spans="2:11" ht="30">
      <c r="B804" s="13" t="s">
        <v>13417</v>
      </c>
      <c r="C804" s="435">
        <f>QUANT!C2234</f>
        <v>2442</v>
      </c>
      <c r="D804" s="435" t="str">
        <f>QUANT!D2234</f>
        <v>SINAPI</v>
      </c>
      <c r="E804" s="436" t="str">
        <f>IFERROR(VLOOKUP($C804,'SINAPI JULHO 2018'!$1:$1048576,2,0),IFERROR(VLOOKUP($C804,'5-COMP. PROPRIA'!$B$13:$I$518,4,0),""))</f>
        <v>ELETRODUTO/DUTO PEAD FLEXIVEL PAREDE SIMPLES, CORRUGACAO HELICOIDAL, COR PRETA, SEM ROSCA, DE 3",  PARA CABEAMENTO SUBTERRANEO (NBR 15715)</v>
      </c>
      <c r="F804" s="437" t="str">
        <f>IFERROR(VLOOKUP($C804,'SINAPI JULHO 2018'!$A:$D,3,0),IFERROR(VLOOKUP($C804,'5-COMP. PROPRIA'!$B$13:$I$518,5,0),""))</f>
        <v xml:space="preserve">M     </v>
      </c>
      <c r="G804" s="438">
        <f>QUANT!K2234</f>
        <v>1806.6</v>
      </c>
      <c r="H804" s="439">
        <f>IFERROR(VLOOKUP($C804,'SINAPI JULHO 2018'!$A:$D,4,0),IFERROR(VLOOKUP($C804,'5-COMP. PROPRIA'!$B$13:$I$518,8,0),""))</f>
        <v>5.38</v>
      </c>
      <c r="I804" s="440">
        <f>H804*'4-BDI'!$E$29</f>
        <v>6.8993120000000001</v>
      </c>
      <c r="J804" s="63">
        <f t="shared" si="410"/>
        <v>9719.5</v>
      </c>
      <c r="K804" s="190">
        <f t="shared" si="411"/>
        <v>12464.29</v>
      </c>
    </row>
    <row r="805" spans="2:11" ht="30">
      <c r="B805" s="13" t="s">
        <v>13418</v>
      </c>
      <c r="C805" s="435">
        <f>QUANT!C2235</f>
        <v>39248</v>
      </c>
      <c r="D805" s="435" t="str">
        <f>QUANT!D2235</f>
        <v>SINAPI</v>
      </c>
      <c r="E805" s="436" t="str">
        <f>IFERROR(VLOOKUP($C805,'SINAPI JULHO 2018'!$1:$1048576,2,0),IFERROR(VLOOKUP($C805,'5-COMP. PROPRIA'!$B$13:$I$518,4,0),""))</f>
        <v>ELETRODUTODUTO PEAD FLEXIVEL PAREDE SIMPLES, CORRUGACAO HELICOIDAL, COR PRETA, SEM ROSCA, DE 4",  PARA CABEAMENTO SUBTERRANEO (NBR 15715)</v>
      </c>
      <c r="F805" s="437" t="str">
        <f>IFERROR(VLOOKUP($C805,'SINAPI JULHO 2018'!$A:$D,3,0),IFERROR(VLOOKUP($C805,'5-COMP. PROPRIA'!$B$13:$I$518,5,0),""))</f>
        <v xml:space="preserve">M     </v>
      </c>
      <c r="G805" s="438">
        <f>QUANT!K2235</f>
        <v>256.96000000000004</v>
      </c>
      <c r="H805" s="439">
        <f>IFERROR(VLOOKUP($C805,'SINAPI JULHO 2018'!$A:$D,4,0),IFERROR(VLOOKUP($C805,'5-COMP. PROPRIA'!$B$13:$I$518,8,0),""))</f>
        <v>7.49</v>
      </c>
      <c r="I805" s="440">
        <f>H805*'4-BDI'!$E$29</f>
        <v>9.6051760000000002</v>
      </c>
      <c r="J805" s="63">
        <f t="shared" si="410"/>
        <v>1924.63</v>
      </c>
      <c r="K805" s="190">
        <f t="shared" si="411"/>
        <v>2468.14</v>
      </c>
    </row>
    <row r="806" spans="2:11" ht="30">
      <c r="B806" s="13" t="s">
        <v>13419</v>
      </c>
      <c r="C806" s="435">
        <f>QUANT!C2240</f>
        <v>97593</v>
      </c>
      <c r="D806" s="435" t="str">
        <f>QUANT!D2240</f>
        <v>SINAPI</v>
      </c>
      <c r="E806" s="436" t="str">
        <f>IFERROR(VLOOKUP($C806,'SINAPI JULHO 2018'!$1:$1048576,2,0),IFERROR(VLOOKUP($C806,'5-COMP. PROPRIA'!$B$13:$I$518,4,0),""))</f>
        <v>LUMINÁRIA TIPO SPOT, DE SOBREPOR, COM 1 LÂMPADA DE 15 W - FORNECIMENTO E INSTALAÇÃO. AF_11/2017</v>
      </c>
      <c r="F806" s="437" t="str">
        <f>IFERROR(VLOOKUP($C806,'SINAPI JULHO 2018'!$A:$D,3,0),IFERROR(VLOOKUP($C806,'5-COMP. PROPRIA'!$B$13:$I$518,5,0),""))</f>
        <v>UN</v>
      </c>
      <c r="G806" s="438">
        <f>QUANT!K2240</f>
        <v>5</v>
      </c>
      <c r="H806" s="439">
        <f>IFERROR(VLOOKUP($C806,'SINAPI JULHO 2018'!$A:$D,4,0),IFERROR(VLOOKUP($C806,'5-COMP. PROPRIA'!$B$13:$I$518,8,0),""))</f>
        <v>63.39</v>
      </c>
      <c r="I806" s="440">
        <f>H806*'4-BDI'!$E$29</f>
        <v>81.291336000000001</v>
      </c>
      <c r="J806" s="63">
        <f t="shared" si="410"/>
        <v>316.95</v>
      </c>
      <c r="K806" s="190">
        <f t="shared" si="411"/>
        <v>406.45</v>
      </c>
    </row>
    <row r="807" spans="2:11" ht="45">
      <c r="B807" s="13" t="s">
        <v>13420</v>
      </c>
      <c r="C807" s="435" t="str">
        <f>QUANT!C2244</f>
        <v>CP-ELE-07</v>
      </c>
      <c r="D807" s="435" t="str">
        <f>QUANT!D2244</f>
        <v>PROPRIA</v>
      </c>
      <c r="E807" s="436" t="str">
        <f>IFERROR(VLOOKUP($C807,'SINAPI JULHO 2018'!$1:$1048576,2,0),IFERROR(VLOOKUP($C807,'5-COMP. PROPRIA'!$B$13:$I$518,4,0),""))</f>
        <v>PROJETOR RETANGULAR FECHADO EM LED 250 W , CORPO EM ALUMINIO FUNDIDO COM PINTURA ELETROSTATICA,  FECHAMENTO EM VIDRO TEMPERADO - FORNECIMENTO E INSTALAÇÃO</v>
      </c>
      <c r="F807" s="437" t="str">
        <f>IFERROR(VLOOKUP($C807,'SINAPI JULHO 2018'!$A:$D,3,0),IFERROR(VLOOKUP($C807,'5-COMP. PROPRIA'!$B$13:$I$518,5,0),""))</f>
        <v>UNI</v>
      </c>
      <c r="G807" s="438">
        <f>QUANT!K2244</f>
        <v>4</v>
      </c>
      <c r="H807" s="439">
        <f>IFERROR(VLOOKUP($C807,'SINAPI JULHO 2018'!$A:$D,4,0),IFERROR(VLOOKUP($C807,'5-COMP. PROPRIA'!$B$13:$I$518,8,0),""))</f>
        <v>378.60999999999996</v>
      </c>
      <c r="I807" s="440">
        <f>H807*'4-BDI'!$E$29</f>
        <v>485.52946399999996</v>
      </c>
      <c r="J807" s="63">
        <f t="shared" si="410"/>
        <v>1514.44</v>
      </c>
      <c r="K807" s="190">
        <f t="shared" si="411"/>
        <v>1942.11</v>
      </c>
    </row>
    <row r="808" spans="2:11" ht="30">
      <c r="B808" s="13" t="s">
        <v>13421</v>
      </c>
      <c r="C808" s="435">
        <f>QUANT!C2245</f>
        <v>97608</v>
      </c>
      <c r="D808" s="435" t="str">
        <f>QUANT!D2245</f>
        <v>SINAPI</v>
      </c>
      <c r="E808" s="436" t="str">
        <f>IFERROR(VLOOKUP($C808,'SINAPI JULHO 2018'!$1:$1048576,2,0),IFERROR(VLOOKUP($C808,'5-COMP. PROPRIA'!$B$13:$I$518,4,0),""))</f>
        <v>LUMINÁRIA ARANDELA TIPO TARTARUGA, COM GRADE, PARA 1 LÂMPADA DE 15 W - FORNECIMENTO E INSTALAÇÃO. AF_11/2017</v>
      </c>
      <c r="F808" s="437" t="str">
        <f>IFERROR(VLOOKUP($C808,'SINAPI JULHO 2018'!$A:$D,3,0),IFERROR(VLOOKUP($C808,'5-COMP. PROPRIA'!$B$13:$I$518,5,0),""))</f>
        <v>UN</v>
      </c>
      <c r="G808" s="438">
        <f>QUANT!K2245</f>
        <v>4</v>
      </c>
      <c r="H808" s="439">
        <f>IFERROR(VLOOKUP($C808,'SINAPI JULHO 2018'!$A:$D,4,0),IFERROR(VLOOKUP($C808,'5-COMP. PROPRIA'!$B$13:$I$518,8,0),""))</f>
        <v>62.58</v>
      </c>
      <c r="I808" s="440">
        <f>H808*'4-BDI'!$E$29</f>
        <v>80.252591999999993</v>
      </c>
      <c r="J808" s="63">
        <f t="shared" si="410"/>
        <v>250.32</v>
      </c>
      <c r="K808" s="190">
        <f t="shared" si="411"/>
        <v>321.01</v>
      </c>
    </row>
    <row r="809" spans="2:11" ht="45">
      <c r="B809" s="13" t="s">
        <v>13422</v>
      </c>
      <c r="C809" s="435" t="str">
        <f>QUANT!C2249</f>
        <v>CP-ELE-06</v>
      </c>
      <c r="D809" s="435" t="str">
        <f>QUANT!D2249</f>
        <v>PROPRIA</v>
      </c>
      <c r="E809" s="436" t="str">
        <f>IFERROR(VLOOKUP($C809,'SINAPI JULHO 2018'!$1:$1048576,2,0),IFERROR(VLOOKUP($C809,'5-COMP. PROPRIA'!$B$13:$I$518,4,0),""))</f>
        <v>PROJETOR RETANGULAR FECHADO EM LED 150 W , CORPO EM ALUMINIO FUNDIDO COM PINTURA ELETROSTATICA,  FECHAMENTO EM VIDRO TEMPERADO - FORNECIMENTO E INSTALAÇÃO</v>
      </c>
      <c r="F809" s="437" t="str">
        <f>IFERROR(VLOOKUP($C809,'SINAPI JULHO 2018'!$A:$D,3,0),IFERROR(VLOOKUP($C809,'5-COMP. PROPRIA'!$B$13:$I$518,5,0),""))</f>
        <v>UNI</v>
      </c>
      <c r="G809" s="438">
        <f>QUANT!K2249</f>
        <v>12</v>
      </c>
      <c r="H809" s="439">
        <f>IFERROR(VLOOKUP($C809,'SINAPI JULHO 2018'!$A:$D,4,0),IFERROR(VLOOKUP($C809,'5-COMP. PROPRIA'!$B$13:$I$518,8,0),""))</f>
        <v>290.39999999999998</v>
      </c>
      <c r="I809" s="440">
        <f>H809*'4-BDI'!$E$29</f>
        <v>372.40895999999998</v>
      </c>
      <c r="J809" s="63">
        <f t="shared" si="410"/>
        <v>3484.8</v>
      </c>
      <c r="K809" s="190">
        <f t="shared" si="411"/>
        <v>4468.8999999999996</v>
      </c>
    </row>
    <row r="810" spans="2:11" ht="45">
      <c r="B810" s="13" t="s">
        <v>13423</v>
      </c>
      <c r="C810" s="435" t="str">
        <f>QUANT!C2250</f>
        <v>CP-ELE-07</v>
      </c>
      <c r="D810" s="435" t="str">
        <f>QUANT!D2250</f>
        <v>PROPRIA</v>
      </c>
      <c r="E810" s="436" t="str">
        <f>IFERROR(VLOOKUP($C810,'SINAPI JULHO 2018'!$1:$1048576,2,0),IFERROR(VLOOKUP($C810,'5-COMP. PROPRIA'!$B$13:$I$518,4,0),""))</f>
        <v>PROJETOR RETANGULAR FECHADO EM LED 250 W , CORPO EM ALUMINIO FUNDIDO COM PINTURA ELETROSTATICA,  FECHAMENTO EM VIDRO TEMPERADO - FORNECIMENTO E INSTALAÇÃO</v>
      </c>
      <c r="F810" s="437" t="str">
        <f>IFERROR(VLOOKUP($C810,'SINAPI JULHO 2018'!$A:$D,3,0),IFERROR(VLOOKUP($C810,'5-COMP. PROPRIA'!$B$13:$I$518,5,0),""))</f>
        <v>UNI</v>
      </c>
      <c r="G810" s="438">
        <f>QUANT!K2250</f>
        <v>96</v>
      </c>
      <c r="H810" s="439">
        <f>IFERROR(VLOOKUP($C810,'SINAPI JULHO 2018'!$A:$D,4,0),IFERROR(VLOOKUP($C810,'5-COMP. PROPRIA'!$B$13:$I$518,8,0),""))</f>
        <v>378.60999999999996</v>
      </c>
      <c r="I810" s="440">
        <f>H810*'4-BDI'!$E$29</f>
        <v>485.52946399999996</v>
      </c>
      <c r="J810" s="63">
        <f t="shared" si="410"/>
        <v>36346.559999999998</v>
      </c>
      <c r="K810" s="190">
        <f t="shared" si="411"/>
        <v>46610.82</v>
      </c>
    </row>
    <row r="811" spans="2:11" ht="30">
      <c r="B811" s="13" t="s">
        <v>13424</v>
      </c>
      <c r="C811" s="435">
        <f>QUANT!C2254</f>
        <v>97589</v>
      </c>
      <c r="D811" s="435" t="str">
        <f>QUANT!D2254</f>
        <v>SINAPI</v>
      </c>
      <c r="E811" s="436" t="str">
        <f>IFERROR(VLOOKUP($C811,'SINAPI JULHO 2018'!$1:$1048576,2,0),IFERROR(VLOOKUP($C811,'5-COMP. PROPRIA'!$B$13:$I$518,4,0),""))</f>
        <v>LUMINÁRIA TIPO PLAFON EM PLÁSTICO, DE SOBREPOR, COM 1 LÂMPADA DE 15 W, - FORNECIMENTO E INSTALAÇÃO. AF_11/2017</v>
      </c>
      <c r="F811" s="437" t="str">
        <f>IFERROR(VLOOKUP($C811,'SINAPI JULHO 2018'!$A:$D,3,0),IFERROR(VLOOKUP($C811,'5-COMP. PROPRIA'!$B$13:$I$518,5,0),""))</f>
        <v>UN</v>
      </c>
      <c r="G811" s="438">
        <f>QUANT!K2254</f>
        <v>64</v>
      </c>
      <c r="H811" s="439">
        <f>IFERROR(VLOOKUP($C811,'SINAPI JULHO 2018'!$A:$D,4,0),IFERROR(VLOOKUP($C811,'5-COMP. PROPRIA'!$B$13:$I$518,8,0),""))</f>
        <v>23.46</v>
      </c>
      <c r="I811" s="440">
        <f>H811*'4-BDI'!$E$29</f>
        <v>30.085104000000001</v>
      </c>
      <c r="J811" s="63">
        <f t="shared" si="410"/>
        <v>1501.44</v>
      </c>
      <c r="K811" s="190">
        <f t="shared" si="411"/>
        <v>1925.44</v>
      </c>
    </row>
    <row r="812" spans="2:11" ht="30">
      <c r="B812" s="13" t="s">
        <v>13425</v>
      </c>
      <c r="C812" s="435">
        <f>QUANT!C2259</f>
        <v>97589</v>
      </c>
      <c r="D812" s="435" t="str">
        <f>QUANT!D2259</f>
        <v>SINAPI</v>
      </c>
      <c r="E812" s="436" t="str">
        <f>IFERROR(VLOOKUP($C812,'SINAPI JULHO 2018'!$1:$1048576,2,0),IFERROR(VLOOKUP($C812,'5-COMP. PROPRIA'!$B$13:$I$518,4,0),""))</f>
        <v>LUMINÁRIA TIPO PLAFON EM PLÁSTICO, DE SOBREPOR, COM 1 LÂMPADA DE 15 W, - FORNECIMENTO E INSTALAÇÃO. AF_11/2017</v>
      </c>
      <c r="F812" s="437" t="str">
        <f>IFERROR(VLOOKUP($C812,'SINAPI JULHO 2018'!$A:$D,3,0),IFERROR(VLOOKUP($C812,'5-COMP. PROPRIA'!$B$13:$I$518,5,0),""))</f>
        <v>UN</v>
      </c>
      <c r="G812" s="438">
        <f>QUANT!K2259</f>
        <v>23</v>
      </c>
      <c r="H812" s="439">
        <f>IFERROR(VLOOKUP($C812,'SINAPI JULHO 2018'!$A:$D,4,0),IFERROR(VLOOKUP($C812,'5-COMP. PROPRIA'!$B$13:$I$518,8,0),""))</f>
        <v>23.46</v>
      </c>
      <c r="I812" s="440">
        <f>H812*'4-BDI'!$E$29</f>
        <v>30.085104000000001</v>
      </c>
      <c r="J812" s="63">
        <f t="shared" si="410"/>
        <v>539.58000000000004</v>
      </c>
      <c r="K812" s="190">
        <f t="shared" si="411"/>
        <v>691.95</v>
      </c>
    </row>
    <row r="813" spans="2:11" ht="30">
      <c r="B813" s="13" t="s">
        <v>13426</v>
      </c>
      <c r="C813" s="435">
        <f>QUANT!C2263</f>
        <v>97608</v>
      </c>
      <c r="D813" s="435" t="str">
        <f>QUANT!D2263</f>
        <v>SINAPI</v>
      </c>
      <c r="E813" s="436" t="str">
        <f>IFERROR(VLOOKUP($C813,'SINAPI JULHO 2018'!$1:$1048576,2,0),IFERROR(VLOOKUP($C813,'5-COMP. PROPRIA'!$B$13:$I$518,4,0),""))</f>
        <v>LUMINÁRIA ARANDELA TIPO TARTARUGA, COM GRADE, PARA 1 LÂMPADA DE 15 W - FORNECIMENTO E INSTALAÇÃO. AF_11/2017</v>
      </c>
      <c r="F813" s="437" t="str">
        <f>IFERROR(VLOOKUP($C813,'SINAPI JULHO 2018'!$A:$D,3,0),IFERROR(VLOOKUP($C813,'5-COMP. PROPRIA'!$B$13:$I$518,5,0),""))</f>
        <v>UN</v>
      </c>
      <c r="G813" s="438">
        <f>QUANT!K2263</f>
        <v>5</v>
      </c>
      <c r="H813" s="439">
        <f>IFERROR(VLOOKUP($C813,'SINAPI JULHO 2018'!$A:$D,4,0),IFERROR(VLOOKUP($C813,'5-COMP. PROPRIA'!$B$13:$I$518,8,0),""))</f>
        <v>62.58</v>
      </c>
      <c r="I813" s="440">
        <f>H813*'4-BDI'!$E$29</f>
        <v>80.252591999999993</v>
      </c>
      <c r="J813" s="63">
        <f t="shared" ref="J813" si="412">TRUNC(G813*H813,2)</f>
        <v>312.89999999999998</v>
      </c>
      <c r="K813" s="190">
        <f t="shared" ref="K813" si="413">TRUNC(G813*I813,2)</f>
        <v>401.26</v>
      </c>
    </row>
    <row r="814" spans="2:11" ht="45">
      <c r="B814" s="13" t="s">
        <v>13427</v>
      </c>
      <c r="C814" s="435" t="str">
        <f>QUANT!C2268</f>
        <v>74131/5</v>
      </c>
      <c r="D814" s="435" t="str">
        <f>QUANT!D2268</f>
        <v>SINAPI</v>
      </c>
      <c r="E814" s="436" t="str">
        <f>IFERROR(VLOOKUP($C814,'SINAPI JULHO 2018'!$1:$1048576,2,0),IFERROR(VLOOKUP($C814,'5-COMP. PROPRIA'!$B$13:$I$518,4,0),""))</f>
        <v>QUADRO DE DISTRIBUICAO DE ENERGIA DE EMBUTIR, EM CHAPA METALICA, PARA 24 DISJUNTORES TERMOMAGNETICOS MONOPOLARES, COM BARRAMENTO TRIFASICO E NEUTRO, FORNECIMENTO E INSTALACAO</v>
      </c>
      <c r="F814" s="437" t="str">
        <f>IFERROR(VLOOKUP($C814,'SINAPI JULHO 2018'!$A:$D,3,0),IFERROR(VLOOKUP($C814,'5-COMP. PROPRIA'!$B$13:$I$518,5,0),""))</f>
        <v>UN</v>
      </c>
      <c r="G814" s="438">
        <f>QUANT!K2268</f>
        <v>1</v>
      </c>
      <c r="H814" s="439">
        <f>IFERROR(VLOOKUP($C814,'SINAPI JULHO 2018'!$A:$D,4,0),IFERROR(VLOOKUP($C814,'5-COMP. PROPRIA'!$B$13:$I$518,8,0),""))</f>
        <v>483.43</v>
      </c>
      <c r="I814" s="440">
        <f>H814*'4-BDI'!$E$29</f>
        <v>619.95063200000004</v>
      </c>
      <c r="J814" s="63">
        <f t="shared" si="410"/>
        <v>483.43</v>
      </c>
      <c r="K814" s="190">
        <f t="shared" si="411"/>
        <v>619.95000000000005</v>
      </c>
    </row>
    <row r="815" spans="2:11" ht="45">
      <c r="B815" s="13" t="s">
        <v>13428</v>
      </c>
      <c r="C815" s="435" t="str">
        <f>QUANT!C2269</f>
        <v>74131/6</v>
      </c>
      <c r="D815" s="435" t="str">
        <f>QUANT!D2269</f>
        <v>SINAPI</v>
      </c>
      <c r="E815" s="436" t="str">
        <f>IFERROR(VLOOKUP($C815,'SINAPI JULHO 2018'!$1:$1048576,2,0),IFERROR(VLOOKUP($C815,'5-COMP. PROPRIA'!$B$13:$I$518,4,0),""))</f>
        <v>QUADRO DE DISTRIBUICAO DE ENERGIA DE EMBUTIR, EM CHAPA METALICA, PARA 32 DISJUNTORES TERMOMAGNETICOS MONOPOLARES, COM BARRAMENTO TRIFASICO E NEUTRO, FORNECIMENTO E INSTALACAO</v>
      </c>
      <c r="F815" s="437" t="str">
        <f>IFERROR(VLOOKUP($C815,'SINAPI JULHO 2018'!$A:$D,3,0),IFERROR(VLOOKUP($C815,'5-COMP. PROPRIA'!$B$13:$I$518,5,0),""))</f>
        <v>UN</v>
      </c>
      <c r="G815" s="438">
        <f>QUANT!K2269</f>
        <v>1</v>
      </c>
      <c r="H815" s="439">
        <f>IFERROR(VLOOKUP($C815,'SINAPI JULHO 2018'!$A:$D,4,0),IFERROR(VLOOKUP($C815,'5-COMP. PROPRIA'!$B$13:$I$518,8,0),""))</f>
        <v>958.33</v>
      </c>
      <c r="I815" s="440">
        <f>H815*'4-BDI'!$E$29</f>
        <v>1228.9623920000001</v>
      </c>
      <c r="J815" s="63">
        <f t="shared" si="410"/>
        <v>958.33</v>
      </c>
      <c r="K815" s="190">
        <f t="shared" si="411"/>
        <v>1228.96</v>
      </c>
    </row>
    <row r="816" spans="2:11" ht="45">
      <c r="B816" s="13" t="s">
        <v>13429</v>
      </c>
      <c r="C816" s="435" t="str">
        <f>QUANT!C2273</f>
        <v>74131/5</v>
      </c>
      <c r="D816" s="435" t="str">
        <f>QUANT!D2273</f>
        <v>SINAPI</v>
      </c>
      <c r="E816" s="436" t="str">
        <f>IFERROR(VLOOKUP($C816,'SINAPI JULHO 2018'!$1:$1048576,2,0),IFERROR(VLOOKUP($C816,'5-COMP. PROPRIA'!$B$13:$I$518,4,0),""))</f>
        <v>QUADRO DE DISTRIBUICAO DE ENERGIA DE EMBUTIR, EM CHAPA METALICA, PARA 24 DISJUNTORES TERMOMAGNETICOS MONOPOLARES, COM BARRAMENTO TRIFASICO E NEUTRO, FORNECIMENTO E INSTALACAO</v>
      </c>
      <c r="F816" s="437" t="str">
        <f>IFERROR(VLOOKUP($C816,'SINAPI JULHO 2018'!$A:$D,3,0),IFERROR(VLOOKUP($C816,'5-COMP. PROPRIA'!$B$13:$I$518,5,0),""))</f>
        <v>UN</v>
      </c>
      <c r="G816" s="438">
        <f>QUANT!K2273</f>
        <v>6</v>
      </c>
      <c r="H816" s="439">
        <f>IFERROR(VLOOKUP($C816,'SINAPI JULHO 2018'!$A:$D,4,0),IFERROR(VLOOKUP($C816,'5-COMP. PROPRIA'!$B$13:$I$518,8,0),""))</f>
        <v>483.43</v>
      </c>
      <c r="I816" s="440">
        <f>H816*'4-BDI'!$E$29</f>
        <v>619.95063200000004</v>
      </c>
      <c r="J816" s="63">
        <f t="shared" si="410"/>
        <v>2900.58</v>
      </c>
      <c r="K816" s="190">
        <f t="shared" si="411"/>
        <v>3719.7</v>
      </c>
    </row>
    <row r="817" spans="2:11" ht="30">
      <c r="B817" s="13" t="s">
        <v>13430</v>
      </c>
      <c r="C817" s="435">
        <f>QUANT!C2277</f>
        <v>79480</v>
      </c>
      <c r="D817" s="435" t="str">
        <f>QUANT!D2277</f>
        <v>SINAPI</v>
      </c>
      <c r="E817" s="436" t="str">
        <f>IFERROR(VLOOKUP($C817,'SINAPI JULHO 2018'!$1:$1048576,2,0),IFERROR(VLOOKUP($C817,'5-COMP. PROPRIA'!$B$13:$I$518,4,0),""))</f>
        <v>ESCAVACAO MECANICA CAMPO ABERTO EM SOLO EXCETO ROCHA ATE 2,00M PROFUNDIDADE</v>
      </c>
      <c r="F817" s="437" t="str">
        <f>IFERROR(VLOOKUP($C817,'SINAPI JULHO 2018'!$A:$D,3,0),IFERROR(VLOOKUP($C817,'5-COMP. PROPRIA'!$B$13:$I$518,5,0),""))</f>
        <v>M3</v>
      </c>
      <c r="G817" s="438">
        <f>QUANT!K2277</f>
        <v>43.65</v>
      </c>
      <c r="H817" s="439">
        <f>IFERROR(VLOOKUP($C817,'SINAPI JULHO 2018'!$A:$D,4,0),IFERROR(VLOOKUP($C817,'5-COMP. PROPRIA'!$B$13:$I$518,8,0),""))</f>
        <v>2.04</v>
      </c>
      <c r="I817" s="440">
        <f>H817*'4-BDI'!$E$29</f>
        <v>2.6160960000000002</v>
      </c>
      <c r="J817" s="63">
        <f t="shared" si="410"/>
        <v>89.04</v>
      </c>
      <c r="K817" s="190">
        <f t="shared" si="411"/>
        <v>114.19</v>
      </c>
    </row>
    <row r="818" spans="2:11" ht="15">
      <c r="B818" s="13" t="s">
        <v>13431</v>
      </c>
      <c r="C818" s="435">
        <f>QUANT!C2278</f>
        <v>93382</v>
      </c>
      <c r="D818" s="435" t="str">
        <f>QUANT!D2278</f>
        <v>SINAPI</v>
      </c>
      <c r="E818" s="436" t="str">
        <f>IFERROR(VLOOKUP($C818,'SINAPI JULHO 2018'!$1:$1048576,2,0),IFERROR(VLOOKUP($C818,'5-COMP. PROPRIA'!$B$13:$I$518,4,0),""))</f>
        <v>REATERRO MANUAL DE VALAS COM COMPACTAÇÃO MECANIZADA. AF_04/2016</v>
      </c>
      <c r="F818" s="437" t="str">
        <f>IFERROR(VLOOKUP($C818,'SINAPI JULHO 2018'!$A:$D,3,0),IFERROR(VLOOKUP($C818,'5-COMP. PROPRIA'!$B$13:$I$518,5,0),""))</f>
        <v>M3</v>
      </c>
      <c r="G818" s="438">
        <f>QUANT!K2278</f>
        <v>43.65</v>
      </c>
      <c r="H818" s="439">
        <f>IFERROR(VLOOKUP($C818,'SINAPI JULHO 2018'!$A:$D,4,0),IFERROR(VLOOKUP($C818,'5-COMP. PROPRIA'!$B$13:$I$518,8,0),""))</f>
        <v>19.27</v>
      </c>
      <c r="I818" s="440">
        <f>H818*'4-BDI'!$E$29</f>
        <v>24.711848</v>
      </c>
      <c r="J818" s="63">
        <f t="shared" si="410"/>
        <v>841.13</v>
      </c>
      <c r="K818" s="190">
        <f t="shared" si="411"/>
        <v>1078.67</v>
      </c>
    </row>
    <row r="819" spans="2:11" ht="30">
      <c r="B819" s="13" t="s">
        <v>13432</v>
      </c>
      <c r="C819" s="435">
        <f>QUANT!C2279</f>
        <v>96985</v>
      </c>
      <c r="D819" s="435" t="str">
        <f>QUANT!D2279</f>
        <v>SINAPI</v>
      </c>
      <c r="E819" s="436" t="str">
        <f>IFERROR(VLOOKUP($C819,'SINAPI JULHO 2018'!$1:$1048576,2,0),IFERROR(VLOOKUP($C819,'5-COMP. PROPRIA'!$B$13:$I$518,4,0),""))</f>
        <v>HASTE DE ATERRAMENTO 5/8  PARA SPDA - FORNECIMENTO E INSTALAÇÃO. AF_12/2017</v>
      </c>
      <c r="F819" s="437" t="str">
        <f>IFERROR(VLOOKUP($C819,'SINAPI JULHO 2018'!$A:$D,3,0),IFERROR(VLOOKUP($C819,'5-COMP. PROPRIA'!$B$13:$I$518,5,0),""))</f>
        <v>UN</v>
      </c>
      <c r="G819" s="438">
        <f>QUANT!K2279</f>
        <v>28</v>
      </c>
      <c r="H819" s="439">
        <f>IFERROR(VLOOKUP($C819,'SINAPI JULHO 2018'!$A:$D,4,0),IFERROR(VLOOKUP($C819,'5-COMP. PROPRIA'!$B$13:$I$518,8,0),""))</f>
        <v>41.75</v>
      </c>
      <c r="I819" s="440">
        <f>H819*'4-BDI'!$E$29</f>
        <v>53.540199999999999</v>
      </c>
      <c r="J819" s="63">
        <f t="shared" si="410"/>
        <v>1169</v>
      </c>
      <c r="K819" s="190">
        <f t="shared" si="411"/>
        <v>1499.12</v>
      </c>
    </row>
    <row r="820" spans="2:11" ht="30">
      <c r="B820" s="13" t="s">
        <v>13433</v>
      </c>
      <c r="C820" s="435">
        <f>QUANT!C2280</f>
        <v>91934</v>
      </c>
      <c r="D820" s="435" t="str">
        <f>QUANT!D2280</f>
        <v>SINAPI</v>
      </c>
      <c r="E820" s="436" t="str">
        <f>IFERROR(VLOOKUP($C820,'SINAPI JULHO 2018'!$1:$1048576,2,0),IFERROR(VLOOKUP($C820,'5-COMP. PROPRIA'!$B$13:$I$518,4,0),""))</f>
        <v>CABO DE COBRE FLEXÍVEL ISOLADO, 16 MM², ANTI-CHAMA 450/750 V, PARA CIRCUITOS TERMINAIS - FORNECIMENTO E INSTALAÇÃO. AF_12/2015</v>
      </c>
      <c r="F820" s="437" t="str">
        <f>IFERROR(VLOOKUP($C820,'SINAPI JULHO 2018'!$A:$D,3,0),IFERROR(VLOOKUP($C820,'5-COMP. PROPRIA'!$B$13:$I$518,5,0),""))</f>
        <v>M</v>
      </c>
      <c r="G820" s="438">
        <f>QUANT!K2280</f>
        <v>92.4</v>
      </c>
      <c r="H820" s="439">
        <f>IFERROR(VLOOKUP($C820,'SINAPI JULHO 2018'!$A:$D,4,0),IFERROR(VLOOKUP($C820,'5-COMP. PROPRIA'!$B$13:$I$518,8,0),""))</f>
        <v>13.72</v>
      </c>
      <c r="I820" s="440">
        <f>H820*'4-BDI'!$E$29</f>
        <v>17.594528</v>
      </c>
      <c r="J820" s="63">
        <f t="shared" si="410"/>
        <v>1267.72</v>
      </c>
      <c r="K820" s="190">
        <f t="shared" si="411"/>
        <v>1625.73</v>
      </c>
    </row>
    <row r="821" spans="2:11" ht="30">
      <c r="B821" s="13" t="s">
        <v>13434</v>
      </c>
      <c r="C821" s="435">
        <f>QUANT!C2281</f>
        <v>96977</v>
      </c>
      <c r="D821" s="435" t="str">
        <f>QUANT!D2281</f>
        <v>SINAPI</v>
      </c>
      <c r="E821" s="436" t="str">
        <f>IFERROR(VLOOKUP($C821,'SINAPI JULHO 2018'!$1:$1048576,2,0),IFERROR(VLOOKUP($C821,'5-COMP. PROPRIA'!$B$13:$I$518,4,0),""))</f>
        <v>CORDOALHA DE COBRE NU 50 MM², ENTERRADA, SEM ISOLADOR - FORNECIMENTO E INSTALAÇÃO. AF_12/2017</v>
      </c>
      <c r="F821" s="437" t="str">
        <f>IFERROR(VLOOKUP($C821,'SINAPI JULHO 2018'!$A:$D,3,0),IFERROR(VLOOKUP($C821,'5-COMP. PROPRIA'!$B$13:$I$518,5,0),""))</f>
        <v>M</v>
      </c>
      <c r="G821" s="438">
        <f>QUANT!K2281</f>
        <v>140</v>
      </c>
      <c r="H821" s="439">
        <f>IFERROR(VLOOKUP($C821,'SINAPI JULHO 2018'!$A:$D,4,0),IFERROR(VLOOKUP($C821,'5-COMP. PROPRIA'!$B$13:$I$518,8,0),""))</f>
        <v>27.75</v>
      </c>
      <c r="I821" s="440">
        <f>H821*'4-BDI'!$E$29</f>
        <v>35.586599999999997</v>
      </c>
      <c r="J821" s="63">
        <f t="shared" si="410"/>
        <v>3885</v>
      </c>
      <c r="K821" s="190">
        <f t="shared" si="411"/>
        <v>4982.12</v>
      </c>
    </row>
    <row r="822" spans="2:11" ht="30">
      <c r="B822" s="13" t="s">
        <v>13435</v>
      </c>
      <c r="C822" s="435">
        <f>QUANT!C2282</f>
        <v>95748</v>
      </c>
      <c r="D822" s="435" t="str">
        <f>QUANT!D2282</f>
        <v>SINAPI</v>
      </c>
      <c r="E822" s="436" t="str">
        <f>IFERROR(VLOOKUP($C822,'SINAPI JULHO 2018'!$1:$1048576,2,0),IFERROR(VLOOKUP($C822,'5-COMP. PROPRIA'!$B$13:$I$518,4,0),""))</f>
        <v>ELETRODUTO DE AÇO GALVANIZADO, CLASSE SEMI PESADO, DN 40 MM (1 1/2 ), APARENTE, INSTALADO EM TETO - FORNECIMENTO E INSTALAÇÃO. AF_11/2016_P</v>
      </c>
      <c r="F822" s="437" t="str">
        <f>IFERROR(VLOOKUP($C822,'SINAPI JULHO 2018'!$A:$D,3,0),IFERROR(VLOOKUP($C822,'5-COMP. PROPRIA'!$B$13:$I$518,5,0),""))</f>
        <v>M</v>
      </c>
      <c r="G822" s="438">
        <f>QUANT!K2282</f>
        <v>84</v>
      </c>
      <c r="H822" s="439">
        <f>IFERROR(VLOOKUP($C822,'SINAPI JULHO 2018'!$A:$D,4,0),IFERROR(VLOOKUP($C822,'5-COMP. PROPRIA'!$B$13:$I$518,8,0),""))</f>
        <v>41.01</v>
      </c>
      <c r="I822" s="440">
        <f>H822*'4-BDI'!$E$29</f>
        <v>52.591223999999997</v>
      </c>
      <c r="J822" s="63">
        <f t="shared" si="410"/>
        <v>3444.84</v>
      </c>
      <c r="K822" s="190">
        <f t="shared" si="411"/>
        <v>4417.66</v>
      </c>
    </row>
    <row r="823" spans="2:11" ht="45">
      <c r="B823" s="13" t="s">
        <v>13436</v>
      </c>
      <c r="C823" s="435" t="str">
        <f>QUANT!C2286</f>
        <v>73783/11</v>
      </c>
      <c r="D823" s="435" t="str">
        <f>QUANT!D2286</f>
        <v>SINAPI</v>
      </c>
      <c r="E823" s="436" t="str">
        <f>IFERROR(VLOOKUP($C823,'SINAPI JULHO 2018'!$1:$1048576,2,0),IFERROR(VLOOKUP($C823,'5-COMP. PROPRIA'!$B$13:$I$518,4,0),""))</f>
        <v>POSTE CONCRETO SEÇÃO CIRCULAR COMPRIMENTO=14M  CARGA NOMINAL NO TOPO 400KG INCLUSIVE ESCAVACAO EXCLUSIVE TRANSPORTE - FORNECIMENTO E COLOCAÇÃO</v>
      </c>
      <c r="F823" s="437" t="str">
        <f>IFERROR(VLOOKUP($C823,'SINAPI JULHO 2018'!$A:$D,3,0),IFERROR(VLOOKUP($C823,'5-COMP. PROPRIA'!$B$13:$I$518,5,0),""))</f>
        <v>UN</v>
      </c>
      <c r="G823" s="438">
        <f>QUANT!K2286</f>
        <v>6</v>
      </c>
      <c r="H823" s="439">
        <f>IFERROR(VLOOKUP($C823,'SINAPI JULHO 2018'!$A:$D,4,0),IFERROR(VLOOKUP($C823,'5-COMP. PROPRIA'!$B$13:$I$518,8,0),""))</f>
        <v>1997.59</v>
      </c>
      <c r="I823" s="440">
        <f>H823*'4-BDI'!$E$29</f>
        <v>2561.7094159999997</v>
      </c>
      <c r="J823" s="63">
        <f t="shared" si="410"/>
        <v>11985.54</v>
      </c>
      <c r="K823" s="190">
        <f t="shared" si="411"/>
        <v>15370.25</v>
      </c>
    </row>
    <row r="824" spans="2:11" ht="30">
      <c r="B824" s="13" t="s">
        <v>13437</v>
      </c>
      <c r="C824" s="435" t="str">
        <f>QUANT!C2287</f>
        <v>CP-ELE-08</v>
      </c>
      <c r="D824" s="435" t="str">
        <f>QUANT!D2287</f>
        <v>PROPRIA</v>
      </c>
      <c r="E824" s="436" t="str">
        <f>IFERROR(VLOOKUP($C824,'SINAPI JULHO 2018'!$1:$1048576,2,0),IFERROR(VLOOKUP($C824,'5-COMP. PROPRIA'!$B$13:$I$518,4,0),""))</f>
        <v>CRUZETA DE CONCRETO LEVE, COMP. 2000 MM SECÇÃO, 90 X 90 MM - FORNECIMENTO E INSTALAÇÃO</v>
      </c>
      <c r="F824" s="437" t="str">
        <f>IFERROR(VLOOKUP($C824,'SINAPI JULHO 2018'!$A:$D,3,0),IFERROR(VLOOKUP($C824,'5-COMP. PROPRIA'!$B$13:$I$518,5,0),""))</f>
        <v>UNI</v>
      </c>
      <c r="G824" s="438">
        <f>QUANT!K2287</f>
        <v>18</v>
      </c>
      <c r="H824" s="439">
        <f>IFERROR(VLOOKUP($C824,'SINAPI JULHO 2018'!$A:$D,4,0),IFERROR(VLOOKUP($C824,'5-COMP. PROPRIA'!$B$13:$I$518,8,0),""))</f>
        <v>174.62000000000003</v>
      </c>
      <c r="I824" s="440">
        <f>H824*'4-BDI'!$E$29</f>
        <v>223.93268800000004</v>
      </c>
      <c r="J824" s="63">
        <f t="shared" si="410"/>
        <v>3143.16</v>
      </c>
      <c r="K824" s="190">
        <f t="shared" si="411"/>
        <v>4030.78</v>
      </c>
    </row>
    <row r="825" spans="2:11" ht="15">
      <c r="B825" s="521" t="s">
        <v>12756</v>
      </c>
      <c r="C825" s="522"/>
      <c r="D825" s="522"/>
      <c r="E825" s="522"/>
      <c r="F825" s="522"/>
      <c r="G825" s="522"/>
      <c r="H825" s="522"/>
      <c r="I825" s="218"/>
      <c r="J825" s="64">
        <f>SUM(J764:J824)</f>
        <v>153255.99000000002</v>
      </c>
      <c r="K825" s="434">
        <f>SUM(K764:K824)</f>
        <v>196535.25000000006</v>
      </c>
    </row>
    <row r="826" spans="2:11" ht="15">
      <c r="B826" s="305" t="s">
        <v>13438</v>
      </c>
      <c r="C826" s="306"/>
      <c r="D826" s="307"/>
      <c r="E826" s="308" t="str">
        <f>QUANT!E2289</f>
        <v>SERVIÇOS DIVERSOS</v>
      </c>
      <c r="F826" s="309"/>
      <c r="G826" s="310"/>
      <c r="H826" s="311"/>
      <c r="I826" s="311"/>
      <c r="J826" s="312"/>
      <c r="K826" s="313"/>
    </row>
    <row r="827" spans="2:11" ht="15">
      <c r="B827" s="13" t="s">
        <v>13439</v>
      </c>
      <c r="C827" s="435" t="str">
        <f>QUANT!C2293</f>
        <v>CP-SD-01</v>
      </c>
      <c r="D827" s="435" t="str">
        <f>QUANT!D2293</f>
        <v>PROPRIA</v>
      </c>
      <c r="E827" s="436" t="str">
        <f>IFERROR(VLOOKUP($C827,'SINAPI JULHO 2018'!$1:$1048576,2,0),IFERROR(VLOOKUP($C827,'5-COMP. PROPRIA'!$B$13:$I$518,4,0),""))</f>
        <v>FORNECIMENTO E INSTALAÇÃO DE PLACA DE INAUGURAÇÃO DE 40X60CM</v>
      </c>
      <c r="F827" s="437" t="str">
        <f>IFERROR(VLOOKUP($C827,'SINAPI JULHO 2018'!$A:$D,3,0),IFERROR(VLOOKUP($C827,'5-COMP. PROPRIA'!$B$13:$I$518,5,0),""))</f>
        <v>UNI</v>
      </c>
      <c r="G827" s="438">
        <f>QUANT!K2293</f>
        <v>1</v>
      </c>
      <c r="H827" s="439">
        <f>IFERROR(VLOOKUP($C827,'SINAPI JULHO 2018'!$A:$D,4,0),IFERROR(VLOOKUP($C827,'5-COMP. PROPRIA'!$B$13:$I$518,8,0),""))</f>
        <v>1523.46</v>
      </c>
      <c r="I827" s="440">
        <f>H827*'4-BDI'!$E$29</f>
        <v>1953.6851039999999</v>
      </c>
      <c r="J827" s="63">
        <f t="shared" ref="J827" si="414">TRUNC(G827*H827,2)</f>
        <v>1523.46</v>
      </c>
      <c r="K827" s="190">
        <f t="shared" ref="K827" si="415">TRUNC(G827*I827,2)</f>
        <v>1953.68</v>
      </c>
    </row>
    <row r="828" spans="2:11" ht="15">
      <c r="B828" s="13" t="s">
        <v>13440</v>
      </c>
      <c r="C828" s="435" t="str">
        <f>QUANT!C2295</f>
        <v>CP-SD-02</v>
      </c>
      <c r="D828" s="435" t="str">
        <f>QUANT!D2295</f>
        <v>PROPRIA</v>
      </c>
      <c r="E828" s="436" t="str">
        <f>IFERROR(VLOOKUP($C828,'SINAPI JULHO 2018'!$1:$1048576,2,0),IFERROR(VLOOKUP($C828,'5-COMP. PROPRIA'!$B$13:$I$518,4,0),""))</f>
        <v>CONJUNTO DE MASTRO PARA TRÊS BANDEIRAS E PEDESTAL</v>
      </c>
      <c r="F828" s="437" t="str">
        <f>IFERROR(VLOOKUP($C828,'SINAPI JULHO 2018'!$A:$D,3,0),IFERROR(VLOOKUP($C828,'5-COMP. PROPRIA'!$B$13:$I$518,5,0),""))</f>
        <v>UNI</v>
      </c>
      <c r="G828" s="438">
        <f>QUANT!K2295</f>
        <v>1</v>
      </c>
      <c r="H828" s="439">
        <f>IFERROR(VLOOKUP($C828,'SINAPI JULHO 2018'!$A:$D,4,0),IFERROR(VLOOKUP($C828,'5-COMP. PROPRIA'!$B$13:$I$518,8,0),""))</f>
        <v>2384.21</v>
      </c>
      <c r="I828" s="440">
        <f>H828*'4-BDI'!$E$29</f>
        <v>3057.5109040000002</v>
      </c>
      <c r="J828" s="63">
        <f t="shared" ref="J828" si="416">TRUNC(G828*H828,2)</f>
        <v>2384.21</v>
      </c>
      <c r="K828" s="190">
        <f t="shared" ref="K828" si="417">TRUNC(G828*I828,2)</f>
        <v>3057.51</v>
      </c>
    </row>
    <row r="829" spans="2:11" ht="15">
      <c r="B829" s="521" t="s">
        <v>12756</v>
      </c>
      <c r="C829" s="522"/>
      <c r="D829" s="522"/>
      <c r="E829" s="522"/>
      <c r="F829" s="522"/>
      <c r="G829" s="522"/>
      <c r="H829" s="522"/>
      <c r="I829" s="218"/>
      <c r="J829" s="64">
        <f>TRUNC(SUM(J827:J828),2)</f>
        <v>3907.67</v>
      </c>
      <c r="K829" s="434">
        <f>SUM(K827:K828)</f>
        <v>5011.1900000000005</v>
      </c>
    </row>
    <row r="830" spans="2:11" s="174" customFormat="1" ht="15">
      <c r="B830" s="305" t="s">
        <v>13441</v>
      </c>
      <c r="C830" s="306"/>
      <c r="D830" s="307"/>
      <c r="E830" s="308" t="str">
        <f>QUANT!E2297</f>
        <v xml:space="preserve">LIMPEZA DE OBRA </v>
      </c>
      <c r="F830" s="309"/>
      <c r="G830" s="310"/>
      <c r="H830" s="311"/>
      <c r="I830" s="311"/>
      <c r="J830" s="312"/>
      <c r="K830" s="313"/>
    </row>
    <row r="831" spans="2:11" ht="15">
      <c r="B831" s="14" t="s">
        <v>13442</v>
      </c>
      <c r="C831" s="435">
        <f>QUANT!C2299</f>
        <v>9537</v>
      </c>
      <c r="D831" s="435" t="str">
        <f>QUANT!D2299</f>
        <v>SINAPI</v>
      </c>
      <c r="E831" s="436" t="str">
        <f>IFERROR(VLOOKUP($C831,'SINAPI JULHO 2018'!$1:$1048576,2,0),IFERROR(VLOOKUP($C831,'5-COMP. PROPRIA'!$B$13:$I$518,4,0),""))</f>
        <v>LIMPEZA FINAL DA OBRA</v>
      </c>
      <c r="F831" s="437" t="str">
        <f>IFERROR(VLOOKUP($C831,'SINAPI JULHO 2018'!$A:$D,3,0),IFERROR(VLOOKUP($C831,'5-COMP. PROPRIA'!$B$13:$I$518,5,0),""))</f>
        <v>M2</v>
      </c>
      <c r="G831" s="438">
        <f>QUANT!K2299</f>
        <v>5050</v>
      </c>
      <c r="H831" s="439">
        <f>IFERROR(VLOOKUP($C831,'SINAPI JULHO 2018'!$A:$D,4,0),IFERROR(VLOOKUP($C831,'5-COMP. PROPRIA'!$B$13:$I$518,8,0),""))</f>
        <v>2.77</v>
      </c>
      <c r="I831" s="440">
        <f>H831*'4-BDI'!$E$29</f>
        <v>3.5522480000000001</v>
      </c>
      <c r="J831" s="63">
        <f t="shared" ref="J831" si="418">TRUNC(G831*H831,2)</f>
        <v>13988.5</v>
      </c>
      <c r="K831" s="190">
        <f t="shared" ref="K831" si="419">TRUNC(G831*I831,2)</f>
        <v>17938.849999999999</v>
      </c>
    </row>
    <row r="832" spans="2:11" ht="15">
      <c r="B832" s="521" t="s">
        <v>12756</v>
      </c>
      <c r="C832" s="522"/>
      <c r="D832" s="522"/>
      <c r="E832" s="522"/>
      <c r="F832" s="522"/>
      <c r="G832" s="522"/>
      <c r="H832" s="522"/>
      <c r="I832" s="218"/>
      <c r="J832" s="64">
        <f>TRUNC(SUM(J831),2)</f>
        <v>13988.5</v>
      </c>
      <c r="K832" s="434">
        <f>TRUNC(SUM(K831),2)</f>
        <v>17938.849999999999</v>
      </c>
    </row>
    <row r="833" spans="2:11" ht="15.75" thickBot="1">
      <c r="B833" s="542"/>
      <c r="C833" s="543"/>
      <c r="D833" s="543"/>
      <c r="E833" s="543"/>
      <c r="F833" s="543"/>
      <c r="G833" s="543"/>
      <c r="H833" s="543"/>
      <c r="I833" s="543"/>
      <c r="J833" s="543"/>
      <c r="K833" s="193"/>
    </row>
    <row r="834" spans="2:11" s="385" customFormat="1" ht="15.75" hidden="1" thickBot="1">
      <c r="B834" s="544" t="s">
        <v>13443</v>
      </c>
      <c r="C834" s="545"/>
      <c r="D834" s="545"/>
      <c r="E834" s="545"/>
      <c r="F834" s="545"/>
      <c r="G834" s="545"/>
      <c r="H834" s="545"/>
      <c r="I834" s="312"/>
      <c r="J834" s="312">
        <f>J14+J26+J36+J95+J117+J122+J127+J187+J192+J204+J211+J217+J222+J228+J272+J315+J395+J460+J552+J588+J676+J719+J725+J745+J825+J829+J832+J762</f>
        <v>1347408.5799999998</v>
      </c>
      <c r="K834" s="313"/>
    </row>
    <row r="835" spans="2:11" s="385" customFormat="1" ht="15.75" thickBot="1">
      <c r="B835" s="540" t="s">
        <v>13444</v>
      </c>
      <c r="C835" s="541"/>
      <c r="D835" s="541"/>
      <c r="E835" s="541"/>
      <c r="F835" s="541"/>
      <c r="G835" s="541"/>
      <c r="H835" s="541"/>
      <c r="I835" s="386"/>
      <c r="J835" s="386"/>
      <c r="K835" s="387">
        <f>K14+K26+K36+K95+K117+K122+K127+K187+K192+K204+K211+K217+K222+K228+K272+K315+K395+K460+K552+K588+K676+K719+K725+K745+K825+K829+K832+K762</f>
        <v>1903341.2200000002</v>
      </c>
    </row>
    <row r="836" spans="2:11">
      <c r="B836" s="194"/>
      <c r="K836" s="195"/>
    </row>
    <row r="837" spans="2:11">
      <c r="B837" s="194"/>
      <c r="K837" s="195"/>
    </row>
    <row r="838" spans="2:11" ht="15">
      <c r="B838" s="194"/>
      <c r="C838" s="32" t="s">
        <v>12635</v>
      </c>
      <c r="D838" s="169"/>
      <c r="E838" s="399"/>
      <c r="F838" s="179"/>
      <c r="K838" s="195"/>
    </row>
    <row r="839" spans="2:11" ht="15.75" thickBot="1">
      <c r="B839" s="196"/>
      <c r="C839" s="33" t="s">
        <v>12636</v>
      </c>
      <c r="D839" s="197"/>
      <c r="E839" s="31"/>
      <c r="F839" s="198"/>
      <c r="G839" s="199"/>
      <c r="H839" s="200"/>
      <c r="I839" s="200"/>
      <c r="J839" s="201"/>
      <c r="K839" s="202"/>
    </row>
  </sheetData>
  <protectedRanges>
    <protectedRange password="C715" sqref="C303 C311 C324 C217 C211 C204 C579 C336 C187 C192 C222 C339 C343 C347 C129 C14 C228:C230 C272:C274 C315:C318 C194 C38:C39 C57 C76 C45 C95 C122 C355:C356 C570 C362 C374 C380 C386 C36 C26 C117 C97 C110 C127 C138 C145 C152 C160 C166 C175 C462 C471:C472 C482 C494:C495 C501 C507 C517 C522 C528 C562 C395 C224 C236 C248 C251 C255 C259 C268 C280 C292 C295 C299 C397 C407 C419 C425 C431 C438 C443 C452 C460 C552:C554 C585 C589:C591 C601 C613:C614 C620 C626 C636 C641 C650 C658 C667 C677:C678 C680 C692 C698 C708 C715 C720 C705 C726:C727 C763 C826 C746 C197:C198" name="Intervalo3" securityDescriptor="O:WDG:WDD:(A;;CC;;;S-1-5-21-331323738-3957049979-2397494211-500)"/>
    <protectedRange password="C715" sqref="E347 G192:I192 E217 G217:I217 B217:C217 E211 G211:I211 B211:C211 E204 G204:I204 B204:C204 B579:C579 E579 G579:I579 G347:I347 G122:I122 E122 E187 G187:I187 B187:C187 E192 B192:C192 B222:C222 B129:C129 E129 G14:H14 G129:I129 G194:I194 B38:C39 E38:E39 G36:I39 B57:C57 E57 G57:I57 B76:C76 E76 G76:I76 B45:C45 E45 G45:I45 B95:C95 E95 E117 G117:I118 B194:C194 E194 B251:C251 B255:C255 G570:I570 B259:C259 B268:C268 B228:C230 G228:I230 E228:E230 B272:C274 G272:I274 E272:E274 B315:C318 G315:I318 E315:E318 B355:C356 E355:E356 B362:C362 E362 B374:C374 E374 B380:C380 D382:D385 B382:C386 B395:C395 B36:C36 E36 B26:C26 E26 G26:H26 B14:C14 E14 G222:I222 B122:C122 B117:C117 B97:C97 E97 G95:I98 B110:C110 E110 G110:I110 E127 G127:I127 B127:C127 B138:C138 E138 G138:I138 B145:C145 E145 G145:I145 B152:C152 E152 G152:I152 B160:C160 E160 G160:I160 B166:C166 E166 G166:I166 B175:C175 E175 G175:I175 B462:C462 E462 G462:I462 B471:C472 E471:E472 G471:I472 E482 G482:I482 B494:C495 E494:E495 G494:I495 G104:I104 E501 G501:I501 B507:C507 E507 G507:I507 B517:C517 E517 G517:I517 B522:C522 E522 G522:I522 B528:C528 E528 G528:I528 E541 G541:I541 B562:C562 E562 G562:I562 B570:C570 E570 G355:I395 B224:C224 E222:E224 G224:I224 B236:C236 E236 G236:I236 B248:C248 E248 G248:I248 E251 G251:I251 E255 G255:I255 E259 G259:I259 E268 G268:I268 B280:C280 E280 G280:I280 B292:C292 E292 G292:I292 B295:C295 E295 G295:I295 B299:C299 E299 G299:I299 B303:C303 E303 G303:I303 B311:C311 E311 G311:I311 B324:C324 E324 G324:I324 B336:C336 E336 G336:I336 B339:C339 E339 G339:I339 B343:C343 E343 G343:I343 B347:C347 B397:C397 B407:C407 B419:C419 B425:C425 B431:C431 B438:C438 B443:C443 B452:C452 B460:C460 B482:C482 B501:C501 B541 B552:C554 G552:I554 E552:E554 B585:C585 E585 G585:I585 G397:I460 E380:E460 B589:C591 E589:E591 G589:I591 B601:C601 E601 G601:I601 B613:C614 E613:E614 G613:I614 B620:C620 E620 G620:I620 B626:C626 E626 G626:I626 B636:C636 E636 G636:I636 B641:C641 E641 G641:I641 B650:C650 E650 G650:I650 B658:C658 E658 G658:I658 B667:C667 E667 G667:I667 B677:C678 E677:E678 G677:I678 B680:C680 E680 G680:I680 B692:C692 E692 G692:I692 B698:C698 E698 G698:I698 B708:C708 E708 G708:I708 B715:C715 G715:I715 E715:E718 B720:C720 E720 G720:I720 B705:C705 E705 G705:I705 B726:C727 E726:E727 G726:I727 B763:C763 E763 G763:I763 B826:C826 E826 G826:I826 B746:C746 E746 G746:I746 B197:C198 E197:E198 G197:I200" name="Intervalo3_18" securityDescriptor="O:WDG:WDD:(A;;CC;;;S-1-5-21-331323738-3957049979-2397494211-500)"/>
    <protectedRange sqref="G347:I347 G222:I222 B579 B129 G217:I217 B217 G211:I211 B211 G204:I204 B204 G129:I129 G579:I579 G187:I187 B192 G192:I192 B222 G14:H14 B194 G194:I194 B38:B39 G38:I39 B57 G57:I57 B76 G76:I76 B45 G45:I45 B95 G95:I95 G122:I122 B187 B251 B255 B259 G570:I570 B268 G228:I230 B228:B230 G272:I274 B272:B274 G315:I318 B315:B318 G355:I356 G362:I362 G374:I374 G376:I380 G386:I386 G395:I395 B36 G36:I36 B26 G26:H26 B14 G117:I117 B97 G97:I97 B110 G110:I110 G127:I127 B127 B138 G138:I138 B145 G145:I145 B152 G152:I152 B160 G160:I160 B166 G166:I166 B175 G175:I175 B462 G462:I462 B471:B472 G471:I472 G482:I482 B494:B495 G494:I495 G501:I501 B507 G507:I507 B517 G517:I517 B522 G522:I522 B528 G528:I528 G541:I541 B562 G562:I562 B570 B355:B395 B224 G224:I224 B236 G236:I236 B248 G248:I248 G251:I251 G255:I255 G259:I259 G268:I268 B280 G280:I280 B292 G292:I292 B295 G295:I295 B299 G299:I299 B303 G303:I303 B311 G311:I311 B324 G324:I324 B336 G336:I336 B339 G339:I339 B343 G343:I343 B347 G397:I397 G407:I407 G419:I419 G425:I425 G431:I431 G438:I438 G443:I443 G452:I452 G460:I460 B482 B501 B541 G552:I554 B552:B554 B585 G585:I585 B397:B460 B589:B591 G589:I591 B601 G601:I601 B613:B614 G613:I614 B620 G620:I620 B626 G626:I626 B636 G636:I636 B641 G641:I641 B650 G650:I650 B658 G658:I658 B667 G667:I667 B677:B678 G677:I678 B680 G680:I680 B692 G692:I692 B698 G698:I698 B708 G708:I708 B715 G715:I718 B720 G720:I720 B705 G705:I705 B726:B727 G726:I727 B763 G763:I763 B826 G826:I826 B746 G746:I746 B197:B198 G197:I198 B117:B122" name="Intervalo2_16"/>
    <protectedRange password="C715" sqref="B259 B268 B217 B211 B204 B579 B222 B187 B192 B14 B194 B38:B39 B57 B76 B45 B95 B122 B228:B230 B570 B272:B274 B315:B318 B355:B356 B362 B374 B380 B386 B36 B26 B117 B97 B110 B127 B138 B145 B152 B160 B166 B175 B462 B471:B472 B494:B495 B507 B517 B522 B528 B562 B395 B224 B236 B248 B280 B292 B295 B299 B303 B311 B324 B336 B339 B343 B347 B129 B251 B255 B397 B407 B419 B425 B431 B438 B443 B452 B460 B482 B501 B541 B552:B554 B585 B589:B591 B601 B613:B614 B620 B626 B636 B641 B650 B658 B667 B677:B678 B680 B692 B698 B708 B715 B720 B705 B726:B727 B763 B826 B746 B197:B198" name="Intervalo3_1_2_1" securityDescriptor="O:WDG:WDD:(A;;CC;;;S-1-5-21-331323738-3957049979-2397494211-500)"/>
    <protectedRange sqref="B259 B268 B217 B211 B204 B579 B222 B187 B192 B14 B194 B38:B39 B57 B76 B45 B95 B122 B228:B230 B570 B272:B274 B315:B318 B355:B356 B362 B374 B380 B386 B36 B26 B117 B97 B110 B127 B138 B145 B152 B160 B166 B175 B462 B471:B472 B494:B495 B507 B517 B522 B528 B562 B395 B224 B236 B248 B280 B292 B295 B299 B303 B311 B324 B336 B339 B343 B347 B129 B251 B255 B397 B407 B419 B425 B431 B438 B443 B452 B460 B482 B501 B541 B552:B554 B585 B589:B591 B601 B613:B614 B620 B626 B636 B641 B650 B658 B667 B677:B678 B680 B692 B698 B708 B715 B720 B705 B726:B727 B763 B826 B746 B197:B198" name="Intervalo2_1_2"/>
    <protectedRange password="C715" sqref="F129 F217 F211 F204 F579 F222 F187 F192 F14 F228:F230 F194 F38:F39 F57 F76 F45 F95 F122 F272:F274 F570 F315:F318 F355:F356 F362 F374 F380 F386 F36 F26 F117 F97 F110 F127 F138 F145 F152 F160 F166 F175 F462 F471:F472 F482 F494:F495 F501 F507 F517 F522 F528 F541 F562 F395 F224 F236 F248 F251 F255 F259 F268 F280 F292 F295 F299 F303 F311 F324 F336 F339 F343 F347 F397 F407 F419 F425 F431 F438 F443 F452 F460 F552:F554 F585 F589:F591 F601 F613:F614 F620 F626 F636 F641 F650 F658 F667 F677:F678 F680 F692 F698 F708 F715 F720 F705 F726:F727 F763 F826 F746 F197:F198" name="Intervalo3_4_1_1_5" securityDescriptor="O:WDG:WDD:(A;;CC;;;S-1-5-21-331323738-3957049979-2397494211-500)"/>
    <protectedRange password="C715" sqref="B832 B676 B719 B725 B745 B825 B829 B762" name="Intervalo3_19" securityDescriptor="O:WDG:WDD:(A;;CC;;;S-1-5-21-331323738-3957049979-2397494211-500)"/>
    <protectedRange sqref="B832 B676 B719 B725 B745 B825 B829 B762" name="Intervalo2_17"/>
    <protectedRange password="C715" sqref="B832 B676 B719 B725 B745 B825 B829 B762" name="Intervalo3_1_3" securityDescriptor="O:WDG:WDD:(A;;CC;;;S-1-5-21-331323738-3957049979-2397494211-500)"/>
    <protectedRange sqref="B832 B676 B719 B725 B745 B825 B829 B762" name="Intervalo2_1_3"/>
    <protectedRange password="C715" sqref="F832 F676 F719 F725 F745 F825 F829 F762" name="Intervalo3_8_7" securityDescriptor="O:WDG:WDD:(A;;CC;;;S-1-5-21-331323738-3957049979-2397494211-500)"/>
    <protectedRange password="C715" sqref="F832 F676 F719 F725 F745 F825 F829 F762" name="Intervalo3_3_1_7" securityDescriptor="O:WDG:WDD:(A;;CC;;;S-1-5-21-331323738-3957049979-2397494211-500)"/>
    <protectedRange password="C715" sqref="F832 F676 F719 F725 F745 F825 F829 F762" name="Intervalo3_4_1_1_1_1_7" securityDescriptor="O:WDG:WDD:(A;;CC;;;S-1-5-21-331323738-3957049979-2397494211-500)"/>
  </protectedRanges>
  <mergeCells count="38">
    <mergeCell ref="B835:H835"/>
    <mergeCell ref="B211:H211"/>
    <mergeCell ref="B833:J833"/>
    <mergeCell ref="B217:H217"/>
    <mergeCell ref="B832:H832"/>
    <mergeCell ref="B834:H834"/>
    <mergeCell ref="B395:H395"/>
    <mergeCell ref="B460:H460"/>
    <mergeCell ref="B228:H228"/>
    <mergeCell ref="B272:H272"/>
    <mergeCell ref="B315:H315"/>
    <mergeCell ref="B676:H676"/>
    <mergeCell ref="B719:H719"/>
    <mergeCell ref="B725:H725"/>
    <mergeCell ref="B745:H745"/>
    <mergeCell ref="B825:H825"/>
    <mergeCell ref="B2:K2"/>
    <mergeCell ref="B8:K8"/>
    <mergeCell ref="B3:K3"/>
    <mergeCell ref="B4:K4"/>
    <mergeCell ref="B5:K5"/>
    <mergeCell ref="B6:K6"/>
    <mergeCell ref="B7:K7"/>
    <mergeCell ref="B829:H829"/>
    <mergeCell ref="B14:H14"/>
    <mergeCell ref="B588:H588"/>
    <mergeCell ref="B222:H222"/>
    <mergeCell ref="B122:H122"/>
    <mergeCell ref="B204:H204"/>
    <mergeCell ref="B552:H552"/>
    <mergeCell ref="B26:H26"/>
    <mergeCell ref="B36:H36"/>
    <mergeCell ref="B192:H192"/>
    <mergeCell ref="B117:H117"/>
    <mergeCell ref="B187:H187"/>
    <mergeCell ref="B95:H95"/>
    <mergeCell ref="B127:H127"/>
    <mergeCell ref="B762:H762"/>
  </mergeCells>
  <printOptions horizontalCentered="1"/>
  <pageMargins left="0.59055118110236227" right="0.39370078740157483" top="0.39370078740157483" bottom="0.59055118110236227" header="0" footer="0"/>
  <pageSetup paperSize="9" scale="55" orientation="portrait" r:id="rId1"/>
  <headerFooter>
    <oddFooter>Página &amp;P de &amp;N</oddFooter>
  </headerFooter>
  <rowBreaks count="13" manualBreakCount="13">
    <brk id="59" min="1" max="10" man="1"/>
    <brk id="112" min="1" max="10" man="1"/>
    <brk id="163" min="1" max="10" man="1"/>
    <brk id="224" min="1" max="10" man="1"/>
    <brk id="277" min="1" max="10" man="1"/>
    <brk id="315" min="1" max="10" man="1"/>
    <brk id="364" min="1" max="10" man="1"/>
    <brk id="414" min="1" max="10" man="1"/>
    <brk id="493" min="1" max="10" man="1"/>
    <brk id="539" min="1" max="10" man="1"/>
    <brk id="593" min="1" max="10" man="1"/>
    <brk id="676" min="1" max="10" man="1"/>
    <brk id="725" min="1" max="10" man="1"/>
  </rowBreaks>
  <drawing r:id="rId2"/>
</worksheet>
</file>

<file path=xl/worksheets/sheet5.xml><?xml version="1.0" encoding="utf-8"?>
<worksheet xmlns="http://schemas.openxmlformats.org/spreadsheetml/2006/main" xmlns:r="http://schemas.openxmlformats.org/officeDocument/2006/relationships">
  <dimension ref="B1:K70"/>
  <sheetViews>
    <sheetView view="pageBreakPreview" zoomScale="70" zoomScaleNormal="70" zoomScaleSheetLayoutView="70" workbookViewId="0">
      <selection activeCell="K70" sqref="B2:K70"/>
    </sheetView>
  </sheetViews>
  <sheetFormatPr defaultRowHeight="12.75"/>
  <cols>
    <col min="2" max="2" width="10.85546875" customWidth="1"/>
    <col min="3" max="3" width="58.140625" customWidth="1"/>
    <col min="4" max="4" width="23.42578125" style="8" bestFit="1" customWidth="1"/>
    <col min="5" max="5" width="16.7109375" customWidth="1"/>
    <col min="6" max="6" width="21" customWidth="1"/>
    <col min="7" max="7" width="21" bestFit="1" customWidth="1"/>
    <col min="8" max="8" width="22.140625" customWidth="1"/>
    <col min="9" max="11" width="23.140625" customWidth="1"/>
  </cols>
  <sheetData>
    <row r="1" spans="2:11" ht="47.25" customHeight="1" thickBot="1"/>
    <row r="2" spans="2:11" ht="97.5" customHeight="1" thickBot="1">
      <c r="B2" s="574"/>
      <c r="C2" s="575"/>
      <c r="D2" s="575"/>
      <c r="E2" s="575"/>
      <c r="F2" s="575"/>
      <c r="G2" s="575"/>
      <c r="H2" s="575"/>
      <c r="I2" s="575"/>
      <c r="J2" s="575"/>
      <c r="K2" s="576"/>
    </row>
    <row r="3" spans="2:11" ht="15.75" thickBot="1">
      <c r="B3" s="580" t="str">
        <f>'2-ORÇAMENTO'!B3:G3</f>
        <v xml:space="preserve">OBRA: REFORMA DO ESTÁDIO BENEDITO LAURINDO DE SOUZA </v>
      </c>
      <c r="C3" s="581"/>
      <c r="D3" s="581"/>
      <c r="E3" s="581"/>
      <c r="F3" s="581"/>
      <c r="G3" s="581"/>
      <c r="H3" s="581"/>
      <c r="I3" s="581"/>
      <c r="J3" s="581"/>
      <c r="K3" s="582"/>
    </row>
    <row r="4" spans="2:11" ht="15.75" thickBot="1">
      <c r="B4" s="583" t="str">
        <f>'2-ORÇAMENTO'!B4:G4</f>
        <v>LOCAL: ESTÁDIO BENEDITO LAURINDO DE SOUZA "DITO SOUZA"</v>
      </c>
      <c r="C4" s="584"/>
      <c r="D4" s="584"/>
      <c r="E4" s="584"/>
      <c r="F4" s="584"/>
      <c r="G4" s="584"/>
      <c r="H4" s="584"/>
      <c r="I4" s="584"/>
      <c r="J4" s="584"/>
      <c r="K4" s="585"/>
    </row>
    <row r="5" spans="2:11" ht="15.75" thickBot="1">
      <c r="B5" s="580" t="str">
        <f>'2-ORÇAMENTO'!B5:G5</f>
        <v>ENDEREÇO: RUA PROF. ISABEL PINTO ESQUINA COM RUA MIGUEL MARCONDES, BAIRRO CRISTO REI, S/N</v>
      </c>
      <c r="C5" s="581"/>
      <c r="D5" s="581"/>
      <c r="E5" s="581"/>
      <c r="F5" s="581"/>
      <c r="G5" s="581"/>
      <c r="H5" s="581"/>
      <c r="I5" s="581"/>
      <c r="J5" s="581"/>
      <c r="K5" s="582"/>
    </row>
    <row r="6" spans="2:11" ht="15" customHeight="1" thickBot="1">
      <c r="B6" s="580" t="str">
        <f>'2-ORÇAMENTO'!B6:G6</f>
        <v>MUNICÍPIO: VÁRZEA GRANDE - MT</v>
      </c>
      <c r="C6" s="581"/>
      <c r="D6" s="581"/>
      <c r="E6" s="581"/>
      <c r="F6" s="581"/>
      <c r="G6" s="581"/>
      <c r="H6" s="581"/>
      <c r="I6" s="581"/>
      <c r="J6" s="581"/>
      <c r="K6" s="582"/>
    </row>
    <row r="7" spans="2:11" ht="15.75" thickBot="1">
      <c r="B7" s="537" t="str">
        <f>'2-ORÇAMENTO'!B7:G7</f>
        <v>DATA BASE: SINAPI JULHO- COM DESONERAÇÃO / 2018 - BDI - 28,24%</v>
      </c>
      <c r="C7" s="538"/>
      <c r="D7" s="538"/>
      <c r="E7" s="538"/>
      <c r="F7" s="538"/>
      <c r="G7" s="538"/>
      <c r="H7" s="538"/>
      <c r="I7" s="538"/>
      <c r="J7" s="538"/>
      <c r="K7" s="539"/>
    </row>
    <row r="8" spans="2:11" ht="16.5" customHeight="1" thickBot="1">
      <c r="B8" s="577" t="s">
        <v>13445</v>
      </c>
      <c r="C8" s="578"/>
      <c r="D8" s="578"/>
      <c r="E8" s="578"/>
      <c r="F8" s="578"/>
      <c r="G8" s="578"/>
      <c r="H8" s="578"/>
      <c r="I8" s="578"/>
      <c r="J8" s="578"/>
      <c r="K8" s="579"/>
    </row>
    <row r="9" spans="2:11" ht="17.25" customHeight="1" thickBot="1">
      <c r="B9" s="563" t="s">
        <v>12629</v>
      </c>
      <c r="C9" s="563" t="s">
        <v>12630</v>
      </c>
      <c r="D9" s="565" t="s">
        <v>12631</v>
      </c>
      <c r="E9" s="566"/>
      <c r="F9" s="577" t="s">
        <v>13446</v>
      </c>
      <c r="G9" s="578"/>
      <c r="H9" s="578"/>
      <c r="I9" s="578"/>
      <c r="J9" s="578"/>
      <c r="K9" s="579"/>
    </row>
    <row r="10" spans="2:11" ht="16.5" thickBot="1">
      <c r="B10" s="564"/>
      <c r="C10" s="564"/>
      <c r="D10" s="9" t="s">
        <v>12632</v>
      </c>
      <c r="E10" s="10" t="s">
        <v>12633</v>
      </c>
      <c r="F10" s="12" t="s">
        <v>13447</v>
      </c>
      <c r="G10" s="12" t="s">
        <v>13448</v>
      </c>
      <c r="H10" s="12" t="s">
        <v>13449</v>
      </c>
      <c r="I10" s="12" t="s">
        <v>13450</v>
      </c>
      <c r="J10" s="12" t="s">
        <v>13451</v>
      </c>
      <c r="K10" s="12" t="s">
        <v>13452</v>
      </c>
    </row>
    <row r="11" spans="2:11" ht="18">
      <c r="B11" s="547" t="str">
        <f>'2-ORÇAMENTO'!B10</f>
        <v>1.0</v>
      </c>
      <c r="C11" s="549" t="str">
        <f>'2-ORÇAMENTO'!E10</f>
        <v>ADIMINISTRAÇÃO LOCAL</v>
      </c>
      <c r="D11" s="567">
        <f>'2-ORÇAMENTO'!K14</f>
        <v>106269.95999999999</v>
      </c>
      <c r="E11" s="552">
        <f>D11/$D$67</f>
        <v>5.5833372851558365E-2</v>
      </c>
      <c r="F11" s="11">
        <f>F12*$D$11</f>
        <v>10924.551888</v>
      </c>
      <c r="G11" s="11">
        <f t="shared" ref="G11:I11" si="0">G12*$D$11</f>
        <v>13687.570847999999</v>
      </c>
      <c r="H11" s="11">
        <f t="shared" si="0"/>
        <v>19713.077579999997</v>
      </c>
      <c r="I11" s="11">
        <f t="shared" si="0"/>
        <v>19415.521691999998</v>
      </c>
      <c r="J11" s="11">
        <f t="shared" ref="J11" si="1">J12*$D$11</f>
        <v>20127.530424</v>
      </c>
      <c r="K11" s="203">
        <f t="shared" ref="K11" si="2">K12*$D$11</f>
        <v>22401.707567999998</v>
      </c>
    </row>
    <row r="12" spans="2:11" ht="18">
      <c r="B12" s="555"/>
      <c r="C12" s="560"/>
      <c r="D12" s="561"/>
      <c r="E12" s="553"/>
      <c r="F12" s="215">
        <v>0.1028</v>
      </c>
      <c r="G12" s="215">
        <v>0.1288</v>
      </c>
      <c r="H12" s="215">
        <v>0.1855</v>
      </c>
      <c r="I12" s="215">
        <v>0.1827</v>
      </c>
      <c r="J12" s="215">
        <v>0.18940000000000001</v>
      </c>
      <c r="K12" s="216">
        <f>100%-J12-I12-H12-G12-F12</f>
        <v>0.21079999999999999</v>
      </c>
    </row>
    <row r="13" spans="2:11" ht="18">
      <c r="B13" s="555" t="str">
        <f>'2-ORÇAMENTO'!B15</f>
        <v>2.0</v>
      </c>
      <c r="C13" s="548" t="str">
        <f>'2-ORÇAMENTO'!E15</f>
        <v>INSTALAÇÕES DE CANTEIRO E SERVIÇOS PRELIMINARES</v>
      </c>
      <c r="D13" s="569">
        <f>'2-ORÇAMENTO'!K26</f>
        <v>77403.589999999982</v>
      </c>
      <c r="E13" s="552">
        <f>D13/$D$67</f>
        <v>4.066721677997389E-2</v>
      </c>
      <c r="F13" s="1">
        <f t="shared" ref="F13:K37" si="3">$D13*F14</f>
        <v>77403.589999999982</v>
      </c>
      <c r="G13" s="2"/>
      <c r="H13" s="2"/>
      <c r="I13" s="2"/>
      <c r="J13" s="2"/>
      <c r="K13" s="7"/>
    </row>
    <row r="14" spans="2:11" ht="18">
      <c r="B14" s="555"/>
      <c r="C14" s="549"/>
      <c r="D14" s="567"/>
      <c r="E14" s="553"/>
      <c r="F14" s="215">
        <v>1</v>
      </c>
      <c r="G14" s="2"/>
      <c r="H14" s="2"/>
      <c r="I14" s="2"/>
      <c r="J14" s="2"/>
      <c r="K14" s="7"/>
    </row>
    <row r="15" spans="2:11" ht="18">
      <c r="B15" s="555" t="str">
        <f>'2-ORÇAMENTO'!B27</f>
        <v>3.0</v>
      </c>
      <c r="C15" s="548" t="str">
        <f>'2-ORÇAMENTO'!E27</f>
        <v>DEMOLIÇÕES E RETIRADAS</v>
      </c>
      <c r="D15" s="569">
        <f>'2-ORÇAMENTO'!K36</f>
        <v>31362.649999999998</v>
      </c>
      <c r="E15" s="552">
        <f>D15/$D$67</f>
        <v>1.6477681285124481E-2</v>
      </c>
      <c r="F15" s="1">
        <f t="shared" si="3"/>
        <v>31362.649999999998</v>
      </c>
      <c r="G15" s="2"/>
      <c r="H15" s="2"/>
      <c r="I15" s="2"/>
      <c r="J15" s="2"/>
      <c r="K15" s="7"/>
    </row>
    <row r="16" spans="2:11" ht="18">
      <c r="B16" s="555"/>
      <c r="C16" s="549"/>
      <c r="D16" s="567"/>
      <c r="E16" s="553"/>
      <c r="F16" s="215">
        <v>1</v>
      </c>
      <c r="G16" s="2"/>
      <c r="H16" s="2"/>
      <c r="I16" s="2"/>
      <c r="J16" s="2"/>
      <c r="K16" s="7"/>
    </row>
    <row r="17" spans="2:11" ht="18" customHeight="1">
      <c r="B17" s="555" t="str">
        <f>'2-ORÇAMENTO'!B37</f>
        <v>4.0</v>
      </c>
      <c r="C17" s="548" t="str">
        <f>'2-ORÇAMENTO'!E37</f>
        <v xml:space="preserve">FUNDAÇÕES </v>
      </c>
      <c r="D17" s="569">
        <f>'2-ORÇAMENTO'!K95</f>
        <v>33582.860000000015</v>
      </c>
      <c r="E17" s="552">
        <f>D17/$D$67</f>
        <v>1.7644161565523186E-2</v>
      </c>
      <c r="F17" s="1">
        <f t="shared" si="3"/>
        <v>33582.860000000015</v>
      </c>
      <c r="G17" s="1"/>
      <c r="H17" s="2"/>
      <c r="I17" s="2"/>
      <c r="J17" s="2"/>
      <c r="K17" s="7"/>
    </row>
    <row r="18" spans="2:11" ht="18">
      <c r="B18" s="555"/>
      <c r="C18" s="549"/>
      <c r="D18" s="567"/>
      <c r="E18" s="553"/>
      <c r="F18" s="215">
        <v>1</v>
      </c>
      <c r="G18" s="1"/>
      <c r="H18" s="2"/>
      <c r="I18" s="2"/>
      <c r="J18" s="2"/>
      <c r="K18" s="7"/>
    </row>
    <row r="19" spans="2:11" ht="18">
      <c r="B19" s="586" t="str">
        <f>'2-ORÇAMENTO'!B96</f>
        <v>5.0</v>
      </c>
      <c r="C19" s="570" t="str">
        <f>'2-ORÇAMENTO'!E96</f>
        <v xml:space="preserve">SUPERESTRUTURA </v>
      </c>
      <c r="D19" s="569">
        <f>'2-ORÇAMENTO'!K117</f>
        <v>9256.5499999999993</v>
      </c>
      <c r="E19" s="552">
        <f>D19/$D$67</f>
        <v>4.8633161005150714E-3</v>
      </c>
      <c r="F19" s="1">
        <f t="shared" si="3"/>
        <v>4628.2749999999996</v>
      </c>
      <c r="G19" s="1">
        <f t="shared" si="3"/>
        <v>4628.2749999999996</v>
      </c>
      <c r="H19" s="2"/>
      <c r="I19" s="2"/>
      <c r="J19" s="2"/>
      <c r="K19" s="7"/>
    </row>
    <row r="20" spans="2:11" ht="18">
      <c r="B20" s="586"/>
      <c r="C20" s="571"/>
      <c r="D20" s="567"/>
      <c r="E20" s="553"/>
      <c r="F20" s="215">
        <v>0.5</v>
      </c>
      <c r="G20" s="215">
        <v>0.5</v>
      </c>
      <c r="H20" s="2"/>
      <c r="I20" s="2"/>
      <c r="J20" s="2"/>
      <c r="K20" s="7"/>
    </row>
    <row r="21" spans="2:11" ht="18">
      <c r="B21" s="555" t="str">
        <f>'2-ORÇAMENTO'!B118</f>
        <v>6.0</v>
      </c>
      <c r="C21" s="560" t="str">
        <f>'2-ORÇAMENTO'!E118</f>
        <v>ALAMBRADO</v>
      </c>
      <c r="D21" s="561">
        <f>'2-ORÇAMENTO'!K122</f>
        <v>98450.7</v>
      </c>
      <c r="E21" s="552">
        <f>D21/$D$67</f>
        <v>5.1725197229743169E-2</v>
      </c>
      <c r="F21" s="2"/>
      <c r="G21" s="1">
        <f t="shared" si="3"/>
        <v>49225.35</v>
      </c>
      <c r="H21" s="1">
        <f t="shared" si="3"/>
        <v>49225.35</v>
      </c>
      <c r="I21" s="2"/>
      <c r="J21" s="2"/>
      <c r="K21" s="7"/>
    </row>
    <row r="22" spans="2:11" ht="18">
      <c r="B22" s="555"/>
      <c r="C22" s="560"/>
      <c r="D22" s="561"/>
      <c r="E22" s="553"/>
      <c r="F22" s="2"/>
      <c r="G22" s="215">
        <v>0.5</v>
      </c>
      <c r="H22" s="215">
        <v>0.5</v>
      </c>
      <c r="I22" s="2"/>
      <c r="J22" s="2"/>
      <c r="K22" s="7"/>
    </row>
    <row r="23" spans="2:11" ht="18">
      <c r="B23" s="555" t="str">
        <f>'2-ORÇAMENTO'!B123</f>
        <v>7.0</v>
      </c>
      <c r="C23" s="560" t="str">
        <f>'2-ORÇAMENTO'!E123</f>
        <v xml:space="preserve">MURETA </v>
      </c>
      <c r="D23" s="561">
        <f>'2-ORÇAMENTO'!K127</f>
        <v>13709.860000000002</v>
      </c>
      <c r="E23" s="552">
        <f>D23/$D$67</f>
        <v>7.2030489624976442E-3</v>
      </c>
      <c r="F23" s="2"/>
      <c r="G23" s="1">
        <f t="shared" si="3"/>
        <v>13709.860000000002</v>
      </c>
      <c r="H23" s="2"/>
      <c r="I23" s="2"/>
      <c r="J23" s="2"/>
      <c r="K23" s="7"/>
    </row>
    <row r="24" spans="2:11" ht="18">
      <c r="B24" s="555"/>
      <c r="C24" s="560"/>
      <c r="D24" s="561"/>
      <c r="E24" s="553"/>
      <c r="F24" s="2"/>
      <c r="G24" s="215">
        <v>1</v>
      </c>
      <c r="H24" s="1"/>
      <c r="I24" s="2"/>
      <c r="J24" s="2"/>
      <c r="K24" s="7"/>
    </row>
    <row r="25" spans="2:11" ht="18">
      <c r="B25" s="555" t="str">
        <f>'2-ORÇAMENTO'!B128</f>
        <v>8.0</v>
      </c>
      <c r="C25" s="562" t="str">
        <f>'2-ORÇAMENTO'!E128</f>
        <v>REFORMA DE VESTIARIOS E BILHETERIA EXISTENTES</v>
      </c>
      <c r="D25" s="561">
        <f>'2-ORÇAMENTO'!K187</f>
        <v>185627.70000000004</v>
      </c>
      <c r="E25" s="552">
        <f>D25/$D$67</f>
        <v>9.7527284151393528E-2</v>
      </c>
      <c r="F25" s="2"/>
      <c r="G25" s="1">
        <f t="shared" si="3"/>
        <v>37125.540000000008</v>
      </c>
      <c r="H25" s="1">
        <f t="shared" si="3"/>
        <v>92813.85000000002</v>
      </c>
      <c r="I25" s="1">
        <f t="shared" si="3"/>
        <v>55688.310000000012</v>
      </c>
      <c r="J25" s="1"/>
      <c r="K25" s="6"/>
    </row>
    <row r="26" spans="2:11" ht="18">
      <c r="B26" s="555"/>
      <c r="C26" s="560"/>
      <c r="D26" s="561"/>
      <c r="E26" s="553"/>
      <c r="F26" s="2"/>
      <c r="G26" s="215">
        <v>0.2</v>
      </c>
      <c r="H26" s="215">
        <v>0.5</v>
      </c>
      <c r="I26" s="215">
        <v>0.3</v>
      </c>
      <c r="J26" s="1"/>
      <c r="K26" s="6"/>
    </row>
    <row r="27" spans="2:11" ht="18">
      <c r="B27" s="555" t="str">
        <f>'2-ORÇAMENTO'!B188</f>
        <v>9.0</v>
      </c>
      <c r="C27" s="560" t="str">
        <f>'2-ORÇAMENTO'!E188</f>
        <v xml:space="preserve">GUARDA CORPO </v>
      </c>
      <c r="D27" s="561">
        <f>'2-ORÇAMENTO'!K192</f>
        <v>6432.1399999999994</v>
      </c>
      <c r="E27" s="552">
        <f>D27/$D$67</f>
        <v>3.3793940531587911E-3</v>
      </c>
      <c r="F27" s="1"/>
      <c r="G27" s="1">
        <f t="shared" si="3"/>
        <v>6432.1399999999994</v>
      </c>
      <c r="H27" s="1"/>
      <c r="I27" s="1"/>
      <c r="J27" s="1"/>
      <c r="K27" s="6"/>
    </row>
    <row r="28" spans="2:11" ht="18">
      <c r="B28" s="555"/>
      <c r="C28" s="560"/>
      <c r="D28" s="561"/>
      <c r="E28" s="553"/>
      <c r="F28" s="2"/>
      <c r="G28" s="215">
        <v>1</v>
      </c>
      <c r="H28" s="1"/>
      <c r="I28" s="1"/>
      <c r="J28" s="1"/>
      <c r="K28" s="6"/>
    </row>
    <row r="29" spans="2:11" ht="18">
      <c r="B29" s="555" t="str">
        <f>'2-ORÇAMENTO'!B193</f>
        <v>10.0</v>
      </c>
      <c r="C29" s="560" t="str">
        <f>'2-ORÇAMENTO'!E193</f>
        <v>URBANIZAÇÃO</v>
      </c>
      <c r="D29" s="561">
        <f>'2-ORÇAMENTO'!K204</f>
        <v>141531.22</v>
      </c>
      <c r="E29" s="552">
        <f>D29/$D$67</f>
        <v>7.4359352129199405E-2</v>
      </c>
      <c r="F29" s="2"/>
      <c r="G29" s="2"/>
      <c r="H29" s="1"/>
      <c r="I29" s="1"/>
      <c r="J29" s="1">
        <f t="shared" si="3"/>
        <v>56612.488000000005</v>
      </c>
      <c r="K29" s="6">
        <f t="shared" si="3"/>
        <v>84918.732000000004</v>
      </c>
    </row>
    <row r="30" spans="2:11" ht="18">
      <c r="B30" s="555"/>
      <c r="C30" s="560"/>
      <c r="D30" s="561"/>
      <c r="E30" s="553"/>
      <c r="F30" s="2"/>
      <c r="G30" s="2"/>
      <c r="H30" s="1"/>
      <c r="I30" s="1"/>
      <c r="J30" s="215">
        <v>0.4</v>
      </c>
      <c r="K30" s="216">
        <v>0.6</v>
      </c>
    </row>
    <row r="31" spans="2:11" ht="18">
      <c r="B31" s="555" t="str">
        <f>'2-ORÇAMENTO'!B205</f>
        <v>11.0</v>
      </c>
      <c r="C31" s="560" t="str">
        <f>'2-ORÇAMENTO'!E205</f>
        <v>PISOS EXTERNOS E CALÇAMENTOS</v>
      </c>
      <c r="D31" s="561">
        <f>'2-ORÇAMENTO'!K211</f>
        <v>20087.95</v>
      </c>
      <c r="E31" s="552">
        <f>D31/$D$67</f>
        <v>1.0554045585163126E-2</v>
      </c>
      <c r="F31" s="1"/>
      <c r="G31" s="1">
        <f t="shared" si="3"/>
        <v>10043.975</v>
      </c>
      <c r="H31" s="1">
        <f t="shared" si="3"/>
        <v>10043.975</v>
      </c>
      <c r="I31" s="1"/>
      <c r="J31" s="1"/>
      <c r="K31" s="6"/>
    </row>
    <row r="32" spans="2:11" ht="18">
      <c r="B32" s="555"/>
      <c r="C32" s="560"/>
      <c r="D32" s="561"/>
      <c r="E32" s="553"/>
      <c r="F32" s="1"/>
      <c r="G32" s="215">
        <v>0.5</v>
      </c>
      <c r="H32" s="215">
        <v>0.5</v>
      </c>
      <c r="I32" s="1"/>
      <c r="J32" s="1"/>
      <c r="K32" s="6"/>
    </row>
    <row r="33" spans="2:11" ht="18">
      <c r="B33" s="555" t="str">
        <f>'2-ORÇAMENTO'!B212</f>
        <v>12.0</v>
      </c>
      <c r="C33" s="568" t="str">
        <f>'2-ORÇAMENTO'!E212</f>
        <v>PORTÕES DE ACESSO</v>
      </c>
      <c r="D33" s="561">
        <f>'2-ORÇAMENTO'!K217</f>
        <v>15383.77</v>
      </c>
      <c r="E33" s="552">
        <f>D33/$D$67</f>
        <v>8.0825076651258564E-3</v>
      </c>
      <c r="F33" s="2"/>
      <c r="G33" s="2"/>
      <c r="H33" s="1"/>
      <c r="I33" s="1">
        <f t="shared" si="3"/>
        <v>7691.8850000000002</v>
      </c>
      <c r="J33" s="1">
        <f t="shared" si="3"/>
        <v>7691.8850000000002</v>
      </c>
      <c r="K33" s="6"/>
    </row>
    <row r="34" spans="2:11" ht="18">
      <c r="B34" s="555"/>
      <c r="C34" s="560"/>
      <c r="D34" s="561"/>
      <c r="E34" s="553"/>
      <c r="F34" s="2"/>
      <c r="G34" s="2"/>
      <c r="H34" s="1"/>
      <c r="I34" s="215">
        <v>0.5</v>
      </c>
      <c r="J34" s="215">
        <v>0.5</v>
      </c>
      <c r="K34" s="6"/>
    </row>
    <row r="35" spans="2:11" ht="18">
      <c r="B35" s="555" t="str">
        <f>'2-ORÇAMENTO'!B218</f>
        <v>13.0</v>
      </c>
      <c r="C35" s="560" t="str">
        <f>'2-ORÇAMENTO'!E218</f>
        <v>ARQUIBANCADA</v>
      </c>
      <c r="D35" s="561">
        <f>'2-ORÇAMENTO'!K222</f>
        <v>39717.550000000003</v>
      </c>
      <c r="E35" s="552">
        <f>D35/$D$67</f>
        <v>2.0867277807391782E-2</v>
      </c>
      <c r="F35" s="2"/>
      <c r="G35" s="2"/>
      <c r="H35" s="1">
        <f t="shared" si="3"/>
        <v>19858.775000000001</v>
      </c>
      <c r="I35" s="1">
        <f t="shared" si="3"/>
        <v>19858.775000000001</v>
      </c>
      <c r="J35" s="2"/>
      <c r="K35" s="7"/>
    </row>
    <row r="36" spans="2:11" ht="18">
      <c r="B36" s="555"/>
      <c r="C36" s="560"/>
      <c r="D36" s="561"/>
      <c r="E36" s="553"/>
      <c r="F36" s="2"/>
      <c r="G36" s="2"/>
      <c r="H36" s="215">
        <v>0.5</v>
      </c>
      <c r="I36" s="215">
        <v>0.5</v>
      </c>
      <c r="J36" s="2"/>
      <c r="K36" s="7"/>
    </row>
    <row r="37" spans="2:11" ht="18">
      <c r="B37" s="555" t="str">
        <f>'2-ORÇAMENTO'!B223</f>
        <v>14.0</v>
      </c>
      <c r="C37" s="560" t="str">
        <f>'2-ORÇAMENTO'!E223</f>
        <v>MURO DE VEDAÇÃO</v>
      </c>
      <c r="D37" s="561">
        <f>'2-ORÇAMENTO'!K228+'2-ORÇAMENTO'!K272+'2-ORÇAMENTO'!K315+'2-ORÇAMENTO'!K395</f>
        <v>386603.85000000003</v>
      </c>
      <c r="E37" s="552">
        <f>D37/$D$67</f>
        <v>0.2031185191271169</v>
      </c>
      <c r="F37" s="1">
        <f t="shared" si="3"/>
        <v>38660.385000000002</v>
      </c>
      <c r="G37" s="1">
        <f t="shared" si="3"/>
        <v>77320.77</v>
      </c>
      <c r="H37" s="1">
        <f t="shared" si="3"/>
        <v>77320.77</v>
      </c>
      <c r="I37" s="1">
        <f t="shared" si="3"/>
        <v>77320.77</v>
      </c>
      <c r="J37" s="1">
        <f t="shared" si="3"/>
        <v>77320.77</v>
      </c>
      <c r="K37" s="6">
        <f t="shared" si="3"/>
        <v>38660.385000000002</v>
      </c>
    </row>
    <row r="38" spans="2:11" ht="18">
      <c r="B38" s="555"/>
      <c r="C38" s="560"/>
      <c r="D38" s="561"/>
      <c r="E38" s="553"/>
      <c r="F38" s="215">
        <v>0.1</v>
      </c>
      <c r="G38" s="215">
        <v>0.2</v>
      </c>
      <c r="H38" s="215">
        <v>0.2</v>
      </c>
      <c r="I38" s="215">
        <v>0.2</v>
      </c>
      <c r="J38" s="215">
        <v>0.2</v>
      </c>
      <c r="K38" s="216">
        <v>0.1</v>
      </c>
    </row>
    <row r="39" spans="2:11" ht="18" hidden="1" customHeight="1">
      <c r="B39" s="555" t="e">
        <f>'2-ORÇAMENTO'!#REF!</f>
        <v>#REF!</v>
      </c>
      <c r="C39" s="548"/>
      <c r="D39" s="558"/>
      <c r="E39" s="552">
        <f>D39/$D$67</f>
        <v>0</v>
      </c>
      <c r="F39" s="1"/>
      <c r="G39" s="1"/>
      <c r="H39" s="1"/>
      <c r="I39" s="1"/>
      <c r="J39" s="1"/>
      <c r="K39" s="6"/>
    </row>
    <row r="40" spans="2:11" ht="18" hidden="1" customHeight="1">
      <c r="B40" s="555"/>
      <c r="C40" s="549"/>
      <c r="D40" s="559"/>
      <c r="E40" s="553"/>
      <c r="F40" s="2"/>
      <c r="G40" s="2"/>
      <c r="H40" s="2"/>
      <c r="I40" s="2"/>
      <c r="J40" s="2"/>
      <c r="K40" s="7"/>
    </row>
    <row r="41" spans="2:11" ht="18" hidden="1" customHeight="1">
      <c r="B41" s="555" t="str">
        <f>'2-ORÇAMENTO'!B59</f>
        <v>4.2.1.1</v>
      </c>
      <c r="C41" s="548"/>
      <c r="D41" s="558"/>
      <c r="E41" s="552">
        <f>D41/$D$67</f>
        <v>0</v>
      </c>
      <c r="F41" s="1"/>
      <c r="G41" s="1"/>
      <c r="H41" s="1"/>
      <c r="I41" s="1"/>
      <c r="J41" s="1"/>
      <c r="K41" s="6"/>
    </row>
    <row r="42" spans="2:11" ht="18" hidden="1" customHeight="1">
      <c r="B42" s="555"/>
      <c r="C42" s="549"/>
      <c r="D42" s="559"/>
      <c r="E42" s="553"/>
      <c r="F42" s="2"/>
      <c r="G42" s="2"/>
      <c r="H42" s="2"/>
      <c r="I42" s="2"/>
      <c r="J42" s="2"/>
      <c r="K42" s="7"/>
    </row>
    <row r="43" spans="2:11" ht="18" hidden="1" customHeight="1">
      <c r="B43" s="555" t="str">
        <f>'2-ORÇAMENTO'!B61</f>
        <v>4.2.1.3</v>
      </c>
      <c r="C43" s="548"/>
      <c r="D43" s="558"/>
      <c r="E43" s="552">
        <f>D43/$D$67</f>
        <v>0</v>
      </c>
      <c r="F43" s="1"/>
      <c r="G43" s="1"/>
      <c r="H43" s="1"/>
      <c r="I43" s="1"/>
      <c r="J43" s="1"/>
      <c r="K43" s="6"/>
    </row>
    <row r="44" spans="2:11" ht="18" hidden="1" customHeight="1">
      <c r="B44" s="555"/>
      <c r="C44" s="549"/>
      <c r="D44" s="559"/>
      <c r="E44" s="553"/>
      <c r="F44" s="2"/>
      <c r="G44" s="2"/>
      <c r="H44" s="2"/>
      <c r="I44" s="2"/>
      <c r="J44" s="2"/>
      <c r="K44" s="7"/>
    </row>
    <row r="45" spans="2:11" ht="18">
      <c r="B45" s="555" t="str">
        <f>'2-ORÇAMENTO'!B396</f>
        <v>15.0</v>
      </c>
      <c r="C45" s="548" t="str">
        <f>'2-ORÇAMENTO'!E396</f>
        <v>BILHETERIA SECUNDARIA</v>
      </c>
      <c r="D45" s="550">
        <f>'2-ORÇAMENTO'!K460</f>
        <v>21092.539999999997</v>
      </c>
      <c r="E45" s="552">
        <f>D45/$D$67</f>
        <v>1.1081849002355971E-2</v>
      </c>
      <c r="F45" s="2"/>
      <c r="G45" s="1"/>
      <c r="H45" s="1">
        <f t="shared" ref="H45:I45" si="4">$D45*H46</f>
        <v>6327.7619999999988</v>
      </c>
      <c r="I45" s="1">
        <f t="shared" si="4"/>
        <v>14764.777999999997</v>
      </c>
      <c r="J45" s="1"/>
      <c r="K45" s="6"/>
    </row>
    <row r="46" spans="2:11" ht="18">
      <c r="B46" s="555"/>
      <c r="C46" s="549"/>
      <c r="D46" s="551"/>
      <c r="E46" s="553"/>
      <c r="F46" s="2"/>
      <c r="G46" s="1"/>
      <c r="H46" s="215">
        <v>0.3</v>
      </c>
      <c r="I46" s="215">
        <v>0.7</v>
      </c>
      <c r="J46" s="1"/>
      <c r="K46" s="6"/>
    </row>
    <row r="47" spans="2:11" ht="18">
      <c r="B47" s="555" t="str">
        <f>'2-ORÇAMENTO'!B461</f>
        <v>16.0</v>
      </c>
      <c r="C47" s="548" t="str">
        <f>'2-ORÇAMENTO'!E461</f>
        <v>BANHEIRO PUBLICO 01</v>
      </c>
      <c r="D47" s="550">
        <f>'2-ORÇAMENTO'!K552</f>
        <v>84960.760000000024</v>
      </c>
      <c r="E47" s="552">
        <f>D47/$D$67</f>
        <v>4.4637692446969655E-2</v>
      </c>
      <c r="F47" s="2"/>
      <c r="G47" s="1"/>
      <c r="H47" s="1">
        <f t="shared" ref="F47:K61" si="5">$D47*H48</f>
        <v>16992.152000000006</v>
      </c>
      <c r="I47" s="1">
        <f t="shared" si="5"/>
        <v>50976.456000000013</v>
      </c>
      <c r="J47" s="1">
        <f t="shared" si="5"/>
        <v>16992.152000000006</v>
      </c>
      <c r="K47" s="6"/>
    </row>
    <row r="48" spans="2:11" ht="18">
      <c r="B48" s="555"/>
      <c r="C48" s="549"/>
      <c r="D48" s="551"/>
      <c r="E48" s="553"/>
      <c r="F48" s="2"/>
      <c r="G48" s="1"/>
      <c r="H48" s="215">
        <v>0.2</v>
      </c>
      <c r="I48" s="215">
        <v>0.6</v>
      </c>
      <c r="J48" s="215">
        <v>0.2</v>
      </c>
      <c r="K48" s="6"/>
    </row>
    <row r="49" spans="2:11" ht="18">
      <c r="B49" s="555" t="str">
        <f>'2-ORÇAMENTO'!B553</f>
        <v>17.0</v>
      </c>
      <c r="C49" s="548" t="str">
        <f>'2-ORÇAMENTO'!E553</f>
        <v>RESTAURAÇÃO CANTINA E ACESSO</v>
      </c>
      <c r="D49" s="554">
        <f>'2-ORÇAMENTO'!K588</f>
        <v>43567.08</v>
      </c>
      <c r="E49" s="552">
        <f>D49/$D$67</f>
        <v>2.2889789567001547E-2</v>
      </c>
      <c r="F49" s="2"/>
      <c r="G49" s="1"/>
      <c r="H49" s="1">
        <f t="shared" si="5"/>
        <v>13070.124</v>
      </c>
      <c r="I49" s="1">
        <f t="shared" si="5"/>
        <v>8713.4160000000011</v>
      </c>
      <c r="J49" s="1">
        <f t="shared" si="5"/>
        <v>21783.54</v>
      </c>
      <c r="K49" s="6"/>
    </row>
    <row r="50" spans="2:11" ht="18">
      <c r="B50" s="555"/>
      <c r="C50" s="549"/>
      <c r="D50" s="554"/>
      <c r="E50" s="553"/>
      <c r="F50" s="2"/>
      <c r="G50" s="1"/>
      <c r="H50" s="215">
        <v>0.3</v>
      </c>
      <c r="I50" s="215">
        <v>0.2</v>
      </c>
      <c r="J50" s="215">
        <v>0.5</v>
      </c>
      <c r="K50" s="6"/>
    </row>
    <row r="51" spans="2:11" ht="18">
      <c r="B51" s="555" t="str">
        <f>'2-ORÇAMENTO'!B589</f>
        <v>18.0</v>
      </c>
      <c r="C51" s="548" t="str">
        <f>'2-ORÇAMENTO'!E589</f>
        <v>BANHEIRO PUBLICO 02</v>
      </c>
      <c r="D51" s="554">
        <f>'2-ORÇAMENTO'!K676</f>
        <v>63338.879999999997</v>
      </c>
      <c r="E51" s="552">
        <f>D51/$D$67</f>
        <v>3.3277732512933228E-2</v>
      </c>
      <c r="F51" s="2"/>
      <c r="G51" s="2"/>
      <c r="H51" s="1">
        <f t="shared" si="5"/>
        <v>6333.8879999999999</v>
      </c>
      <c r="I51" s="1">
        <f t="shared" si="5"/>
        <v>19001.663999999997</v>
      </c>
      <c r="J51" s="1">
        <f t="shared" si="5"/>
        <v>38003.327999999994</v>
      </c>
      <c r="K51" s="6"/>
    </row>
    <row r="52" spans="2:11" ht="18">
      <c r="B52" s="555"/>
      <c r="C52" s="549"/>
      <c r="D52" s="554"/>
      <c r="E52" s="553"/>
      <c r="F52" s="2"/>
      <c r="G52" s="2"/>
      <c r="H52" s="215">
        <v>0.1</v>
      </c>
      <c r="I52" s="215">
        <v>0.3</v>
      </c>
      <c r="J52" s="215">
        <v>0.6</v>
      </c>
      <c r="K52" s="6"/>
    </row>
    <row r="53" spans="2:11" ht="18">
      <c r="B53" s="555" t="str">
        <f>'2-ORÇAMENTO'!B677</f>
        <v>19.0</v>
      </c>
      <c r="C53" s="548" t="str">
        <f>'2-ORÇAMENTO'!E677</f>
        <v>2 MODULOS DE ARQUIBANCADAS DE 35 M</v>
      </c>
      <c r="D53" s="554">
        <f>'2-ORÇAMENTO'!K719</f>
        <v>199366.11</v>
      </c>
      <c r="E53" s="552">
        <f>D53/$D$67</f>
        <v>0.10474533305173728</v>
      </c>
      <c r="F53" s="1"/>
      <c r="G53" s="1"/>
      <c r="H53" s="1"/>
      <c r="I53" s="1">
        <f t="shared" si="5"/>
        <v>39873.222000000002</v>
      </c>
      <c r="J53" s="1">
        <f t="shared" si="5"/>
        <v>79746.444000000003</v>
      </c>
      <c r="K53" s="6">
        <f t="shared" si="5"/>
        <v>79746.444000000003</v>
      </c>
    </row>
    <row r="54" spans="2:11" ht="18">
      <c r="B54" s="555"/>
      <c r="C54" s="549"/>
      <c r="D54" s="554"/>
      <c r="E54" s="553"/>
      <c r="F54" s="1"/>
      <c r="G54" s="1"/>
      <c r="H54" s="1"/>
      <c r="I54" s="215">
        <v>0.2</v>
      </c>
      <c r="J54" s="215">
        <v>0.4</v>
      </c>
      <c r="K54" s="216">
        <v>0.4</v>
      </c>
    </row>
    <row r="55" spans="2:11" ht="18">
      <c r="B55" s="555" t="str">
        <f>'2-ORÇAMENTO'!B720</f>
        <v>20.0</v>
      </c>
      <c r="C55" s="548" t="str">
        <f>'2-ORÇAMENTO'!E720</f>
        <v xml:space="preserve">PISO DE CONCRETO NO ENTORNO DE ARQIBANCADA </v>
      </c>
      <c r="D55" s="554">
        <f>'2-ORÇAMENTO'!K725</f>
        <v>34508.589999999997</v>
      </c>
      <c r="E55" s="552">
        <f>D55/$D$67</f>
        <v>1.8130532579964824E-2</v>
      </c>
      <c r="F55" s="2"/>
      <c r="G55" s="2"/>
      <c r="H55" s="1"/>
      <c r="I55" s="1"/>
      <c r="J55" s="1">
        <f t="shared" si="5"/>
        <v>10352.576999999999</v>
      </c>
      <c r="K55" s="6">
        <f t="shared" si="5"/>
        <v>24156.012999999995</v>
      </c>
    </row>
    <row r="56" spans="2:11" ht="18">
      <c r="B56" s="555"/>
      <c r="C56" s="549"/>
      <c r="D56" s="554"/>
      <c r="E56" s="553"/>
      <c r="F56" s="2"/>
      <c r="G56" s="2"/>
      <c r="H56" s="1"/>
      <c r="I56" s="1"/>
      <c r="J56" s="215">
        <v>0.3</v>
      </c>
      <c r="K56" s="216">
        <v>0.7</v>
      </c>
    </row>
    <row r="57" spans="2:11" ht="18">
      <c r="B57" s="546" t="str">
        <f>'2-ORÇAMENTO'!B726</f>
        <v>21.0</v>
      </c>
      <c r="C57" s="548" t="str">
        <f>'2-ORÇAMENTO'!E726</f>
        <v>INSTALAÇÕES HIDROSANITARIAS</v>
      </c>
      <c r="D57" s="550">
        <f>'2-ORÇAMENTO'!K745+'2-ORÇAMENTO'!K762</f>
        <v>71601.62</v>
      </c>
      <c r="E57" s="552">
        <f>D57/$D$67</f>
        <v>3.7618908920598056E-2</v>
      </c>
      <c r="F57" s="1">
        <f t="shared" si="5"/>
        <v>7160.1620000000003</v>
      </c>
      <c r="G57" s="1">
        <f t="shared" si="5"/>
        <v>14320.324000000001</v>
      </c>
      <c r="H57" s="1">
        <f t="shared" si="5"/>
        <v>28640.648000000001</v>
      </c>
      <c r="I57" s="1">
        <f t="shared" si="5"/>
        <v>21480.485999999997</v>
      </c>
      <c r="J57" s="1"/>
      <c r="K57" s="6"/>
    </row>
    <row r="58" spans="2:11" ht="18">
      <c r="B58" s="547"/>
      <c r="C58" s="549"/>
      <c r="D58" s="551"/>
      <c r="E58" s="553"/>
      <c r="F58" s="215">
        <v>0.1</v>
      </c>
      <c r="G58" s="215">
        <v>0.2</v>
      </c>
      <c r="H58" s="215">
        <v>0.4</v>
      </c>
      <c r="I58" s="215">
        <v>0.3</v>
      </c>
      <c r="J58" s="1"/>
      <c r="K58" s="6"/>
    </row>
    <row r="59" spans="2:11" ht="18">
      <c r="B59" s="546" t="str">
        <f>'2-ORÇAMENTO'!B763</f>
        <v>22.0</v>
      </c>
      <c r="C59" s="548" t="str">
        <f>'2-ORÇAMENTO'!E763</f>
        <v>INSTALAÇÕES ELÉTRICAS</v>
      </c>
      <c r="D59" s="550">
        <f>'2-ORÇAMENTO'!K825</f>
        <v>196535.25000000006</v>
      </c>
      <c r="E59" s="552">
        <f>D59/$D$67</f>
        <v>0.10325802222682912</v>
      </c>
      <c r="F59" s="1"/>
      <c r="G59" s="1">
        <f t="shared" si="5"/>
        <v>29480.287500000006</v>
      </c>
      <c r="H59" s="1">
        <f t="shared" si="5"/>
        <v>29480.287500000006</v>
      </c>
      <c r="I59" s="1">
        <f t="shared" si="5"/>
        <v>29480.287500000006</v>
      </c>
      <c r="J59" s="1">
        <f t="shared" si="5"/>
        <v>49133.812500000015</v>
      </c>
      <c r="K59" s="6">
        <f t="shared" si="5"/>
        <v>58960.575000000012</v>
      </c>
    </row>
    <row r="60" spans="2:11" ht="18">
      <c r="B60" s="547"/>
      <c r="C60" s="549"/>
      <c r="D60" s="551"/>
      <c r="E60" s="553"/>
      <c r="F60" s="1"/>
      <c r="G60" s="215">
        <v>0.15</v>
      </c>
      <c r="H60" s="215">
        <v>0.15</v>
      </c>
      <c r="I60" s="215">
        <v>0.15</v>
      </c>
      <c r="J60" s="215">
        <v>0.25</v>
      </c>
      <c r="K60" s="216">
        <v>0.3</v>
      </c>
    </row>
    <row r="61" spans="2:11" ht="18">
      <c r="B61" s="546" t="str">
        <f>'2-ORÇAMENTO'!B826</f>
        <v>23.0</v>
      </c>
      <c r="C61" s="548" t="str">
        <f>'2-ORÇAMENTO'!E826</f>
        <v>SERVIÇOS DIVERSOS</v>
      </c>
      <c r="D61" s="550">
        <f>'2-ORÇAMENTO'!K829</f>
        <v>5011.1900000000005</v>
      </c>
      <c r="E61" s="552">
        <f t="shared" ref="E61" si="6">D61/$D$67</f>
        <v>2.6328384775904765E-3</v>
      </c>
      <c r="F61" s="1"/>
      <c r="G61" s="1"/>
      <c r="H61" s="1"/>
      <c r="I61" s="1"/>
      <c r="J61" s="1"/>
      <c r="K61" s="6">
        <f t="shared" si="5"/>
        <v>5011.1900000000005</v>
      </c>
    </row>
    <row r="62" spans="2:11" ht="18">
      <c r="B62" s="547"/>
      <c r="C62" s="549"/>
      <c r="D62" s="551"/>
      <c r="E62" s="553"/>
      <c r="F62" s="1"/>
      <c r="G62" s="1"/>
      <c r="H62" s="1"/>
      <c r="I62" s="1"/>
      <c r="J62" s="1"/>
      <c r="K62" s="216">
        <v>1</v>
      </c>
    </row>
    <row r="63" spans="2:11" ht="18">
      <c r="B63" s="546" t="str">
        <f>'2-ORÇAMENTO'!B830</f>
        <v>24.0</v>
      </c>
      <c r="C63" s="548" t="str">
        <f>'2-ORÇAMENTO'!E830</f>
        <v xml:space="preserve">LIMPEZA DE OBRA </v>
      </c>
      <c r="D63" s="550">
        <f>'2-ORÇAMENTO'!K832</f>
        <v>17938.849999999999</v>
      </c>
      <c r="E63" s="552">
        <f t="shared" ref="E63" si="7">D63/$D$67</f>
        <v>9.4249259205346249E-3</v>
      </c>
      <c r="F63" s="1">
        <f t="shared" ref="F63:K63" si="8">$D63*F64</f>
        <v>2870.2159999999999</v>
      </c>
      <c r="G63" s="1">
        <f t="shared" si="8"/>
        <v>2870.2159999999999</v>
      </c>
      <c r="H63" s="1">
        <f t="shared" si="8"/>
        <v>2870.2159999999999</v>
      </c>
      <c r="I63" s="1">
        <f t="shared" si="8"/>
        <v>2870.2159999999999</v>
      </c>
      <c r="J63" s="1">
        <f t="shared" si="8"/>
        <v>2870.2159999999999</v>
      </c>
      <c r="K63" s="1">
        <f t="shared" si="8"/>
        <v>3587.77</v>
      </c>
    </row>
    <row r="64" spans="2:11" ht="18.75" thickBot="1">
      <c r="B64" s="547"/>
      <c r="C64" s="549"/>
      <c r="D64" s="551"/>
      <c r="E64" s="553"/>
      <c r="F64" s="215">
        <v>0.16</v>
      </c>
      <c r="G64" s="215">
        <v>0.16</v>
      </c>
      <c r="H64" s="215">
        <v>0.16</v>
      </c>
      <c r="I64" s="215">
        <v>0.16</v>
      </c>
      <c r="J64" s="215">
        <v>0.16</v>
      </c>
      <c r="K64" s="216">
        <v>0.2</v>
      </c>
    </row>
    <row r="65" spans="2:11" ht="18.75" thickBot="1">
      <c r="B65" s="556" t="s">
        <v>13453</v>
      </c>
      <c r="C65" s="557"/>
      <c r="D65" s="207"/>
      <c r="E65" s="204"/>
      <c r="F65" s="212">
        <f>F11+F13+F15+F17+F19+F21+F23+F25+F27+F29+F31+F33+F35+F37+F45+F47+F49+F51+F53+F55+F57+F59+F61+F63</f>
        <v>206592.68988799999</v>
      </c>
      <c r="G65" s="212">
        <f t="shared" ref="G65:K65" si="9">G11+G13+G15+G17+G19+G21+G23+G25+G27+G29+G31+G33+G35+G37+G45+G47+G49+G51+G53+G55+G57+G59+G61+G63</f>
        <v>258844.30834800002</v>
      </c>
      <c r="H65" s="212">
        <f t="shared" si="9"/>
        <v>372690.87508000003</v>
      </c>
      <c r="I65" s="212">
        <f t="shared" si="9"/>
        <v>367135.78719200008</v>
      </c>
      <c r="J65" s="212">
        <f t="shared" si="9"/>
        <v>380634.74292400002</v>
      </c>
      <c r="K65" s="417">
        <f t="shared" si="9"/>
        <v>317442.81656800007</v>
      </c>
    </row>
    <row r="66" spans="2:11" ht="18.75" thickBot="1">
      <c r="B66" s="556" t="s">
        <v>13454</v>
      </c>
      <c r="C66" s="557"/>
      <c r="D66" s="206"/>
      <c r="E66" s="205"/>
      <c r="F66" s="213">
        <f>F65/$D$67</f>
        <v>0.10854211936207632</v>
      </c>
      <c r="G66" s="210">
        <f t="shared" ref="G66:K66" si="10">G65/$D$67</f>
        <v>0.13599469481777943</v>
      </c>
      <c r="H66" s="210">
        <f t="shared" si="10"/>
        <v>0.19580875523727689</v>
      </c>
      <c r="I66" s="210">
        <f t="shared" si="10"/>
        <v>0.19289015723202801</v>
      </c>
      <c r="J66" s="210">
        <f t="shared" si="10"/>
        <v>0.19998239880708304</v>
      </c>
      <c r="K66" s="210">
        <f t="shared" si="10"/>
        <v>0.16678187454375629</v>
      </c>
    </row>
    <row r="67" spans="2:11" ht="18.75" thickBot="1">
      <c r="B67" s="572" t="s">
        <v>13455</v>
      </c>
      <c r="C67" s="573"/>
      <c r="D67" s="208">
        <f>SUM(D11:D64)</f>
        <v>1903341.2200000002</v>
      </c>
      <c r="E67" s="209">
        <f>SUM(E11:E64)</f>
        <v>1</v>
      </c>
      <c r="F67" s="214">
        <f>F65</f>
        <v>206592.68988799999</v>
      </c>
      <c r="G67" s="211">
        <f>G65+F67</f>
        <v>465436.99823600001</v>
      </c>
      <c r="H67" s="211">
        <f>H65+G67</f>
        <v>838127.87331599998</v>
      </c>
      <c r="I67" s="211">
        <f>I65+H67</f>
        <v>1205263.6605080001</v>
      </c>
      <c r="J67" s="211">
        <f t="shared" ref="J67:K67" si="11">J65+I67</f>
        <v>1585898.403432</v>
      </c>
      <c r="K67" s="211">
        <f t="shared" si="11"/>
        <v>1903341.22</v>
      </c>
    </row>
    <row r="68" spans="2:11" ht="14.25" customHeight="1">
      <c r="B68" s="22"/>
      <c r="D68" s="23"/>
    </row>
    <row r="69" spans="2:11" ht="15">
      <c r="B69" s="34"/>
      <c r="C69" s="32" t="s">
        <v>12635</v>
      </c>
      <c r="D69" s="26"/>
      <c r="E69" s="27"/>
      <c r="F69" s="28"/>
      <c r="G69" s="17"/>
      <c r="H69" s="18"/>
      <c r="I69" s="21"/>
    </row>
    <row r="70" spans="2:11" ht="15.75" thickBot="1">
      <c r="B70" s="217"/>
      <c r="C70" s="33" t="s">
        <v>12636</v>
      </c>
      <c r="D70" s="29"/>
      <c r="E70" s="30"/>
      <c r="F70" s="31"/>
      <c r="G70" s="19"/>
      <c r="H70" s="20"/>
      <c r="I70" s="24"/>
    </row>
  </sheetData>
  <mergeCells count="122">
    <mergeCell ref="E37:E38"/>
    <mergeCell ref="D41:D42"/>
    <mergeCell ref="E43:E44"/>
    <mergeCell ref="B2:K2"/>
    <mergeCell ref="B8:K8"/>
    <mergeCell ref="B3:K3"/>
    <mergeCell ref="B4:K4"/>
    <mergeCell ref="B5:K5"/>
    <mergeCell ref="B6:K6"/>
    <mergeCell ref="B7:K7"/>
    <mergeCell ref="F9:K9"/>
    <mergeCell ref="C15:C16"/>
    <mergeCell ref="B15:B16"/>
    <mergeCell ref="B17:B18"/>
    <mergeCell ref="C17:C18"/>
    <mergeCell ref="D17:D18"/>
    <mergeCell ref="E29:E30"/>
    <mergeCell ref="C27:C28"/>
    <mergeCell ref="D27:D28"/>
    <mergeCell ref="E27:E28"/>
    <mergeCell ref="B23:B24"/>
    <mergeCell ref="C23:C24"/>
    <mergeCell ref="D23:D24"/>
    <mergeCell ref="B19:B20"/>
    <mergeCell ref="C19:C20"/>
    <mergeCell ref="D19:D20"/>
    <mergeCell ref="E19:E20"/>
    <mergeCell ref="E23:E24"/>
    <mergeCell ref="E33:E34"/>
    <mergeCell ref="E35:E36"/>
    <mergeCell ref="D25:D26"/>
    <mergeCell ref="B67:C67"/>
    <mergeCell ref="B49:B50"/>
    <mergeCell ref="B51:B52"/>
    <mergeCell ref="B55:B56"/>
    <mergeCell ref="D49:D50"/>
    <mergeCell ref="B39:B40"/>
    <mergeCell ref="C39:C40"/>
    <mergeCell ref="D39:D40"/>
    <mergeCell ref="B41:B42"/>
    <mergeCell ref="B29:B30"/>
    <mergeCell ref="B31:B32"/>
    <mergeCell ref="C31:C32"/>
    <mergeCell ref="D31:D32"/>
    <mergeCell ref="E31:E32"/>
    <mergeCell ref="B27:B28"/>
    <mergeCell ref="C29:C30"/>
    <mergeCell ref="B43:B44"/>
    <mergeCell ref="B9:B10"/>
    <mergeCell ref="C9:C10"/>
    <mergeCell ref="D9:E9"/>
    <mergeCell ref="B11:B12"/>
    <mergeCell ref="C11:C12"/>
    <mergeCell ref="D11:D12"/>
    <mergeCell ref="E11:E12"/>
    <mergeCell ref="C41:C42"/>
    <mergeCell ref="B33:B34"/>
    <mergeCell ref="B37:B38"/>
    <mergeCell ref="C33:C34"/>
    <mergeCell ref="D33:D34"/>
    <mergeCell ref="D35:D36"/>
    <mergeCell ref="E21:E22"/>
    <mergeCell ref="B13:B14"/>
    <mergeCell ref="C13:C14"/>
    <mergeCell ref="D13:D14"/>
    <mergeCell ref="E25:E26"/>
    <mergeCell ref="E39:E40"/>
    <mergeCell ref="E41:E42"/>
    <mergeCell ref="D15:D16"/>
    <mergeCell ref="E13:E14"/>
    <mergeCell ref="E15:E16"/>
    <mergeCell ref="E17:E18"/>
    <mergeCell ref="C43:C44"/>
    <mergeCell ref="D43:D44"/>
    <mergeCell ref="B35:B36"/>
    <mergeCell ref="C35:C36"/>
    <mergeCell ref="C37:C38"/>
    <mergeCell ref="D37:D38"/>
    <mergeCell ref="B21:B22"/>
    <mergeCell ref="C21:C22"/>
    <mergeCell ref="D21:D22"/>
    <mergeCell ref="B25:B26"/>
    <mergeCell ref="C25:C26"/>
    <mergeCell ref="D29:D30"/>
    <mergeCell ref="B66:C66"/>
    <mergeCell ref="E45:E46"/>
    <mergeCell ref="E47:E48"/>
    <mergeCell ref="B45:B46"/>
    <mergeCell ref="B47:B48"/>
    <mergeCell ref="C47:C48"/>
    <mergeCell ref="D47:D48"/>
    <mergeCell ref="C57:C58"/>
    <mergeCell ref="B57:B58"/>
    <mergeCell ref="D57:D58"/>
    <mergeCell ref="E57:E58"/>
    <mergeCell ref="E49:E50"/>
    <mergeCell ref="E51:E52"/>
    <mergeCell ref="E55:E56"/>
    <mergeCell ref="B65:C65"/>
    <mergeCell ref="C45:C46"/>
    <mergeCell ref="D45:D46"/>
    <mergeCell ref="C49:C50"/>
    <mergeCell ref="C51:C52"/>
    <mergeCell ref="C55:C56"/>
    <mergeCell ref="B59:B60"/>
    <mergeCell ref="C59:C60"/>
    <mergeCell ref="D59:D60"/>
    <mergeCell ref="E59:E60"/>
    <mergeCell ref="B61:B62"/>
    <mergeCell ref="C61:C62"/>
    <mergeCell ref="D61:D62"/>
    <mergeCell ref="E61:E62"/>
    <mergeCell ref="B63:B64"/>
    <mergeCell ref="C63:C64"/>
    <mergeCell ref="D63:D64"/>
    <mergeCell ref="E63:E64"/>
    <mergeCell ref="D51:D52"/>
    <mergeCell ref="D55:D56"/>
    <mergeCell ref="B53:B54"/>
    <mergeCell ref="C53:C54"/>
    <mergeCell ref="D53:D54"/>
    <mergeCell ref="E53:E54"/>
  </mergeCells>
  <phoneticPr fontId="22" type="noConversion"/>
  <conditionalFormatting sqref="F1:I1 F9:F67 F68:I1048576 G10:K67">
    <cfRule type="containsText" dxfId="2" priority="200" operator="containsText" text="%">
      <formula>NOT(ISERROR(SEARCH("%",F1)))</formula>
    </cfRule>
  </conditionalFormatting>
  <conditionalFormatting sqref="G16 G18 G24:H24 G20 F32:K32 H34:K34 G28:K28 G11:K12 H30:K30 F38:K38 G37:K38 G65:K65 G26:K26 F11:F67 G36:I36 G22:H22 G45:I46">
    <cfRule type="containsText" dxfId="1" priority="198" operator="containsText" text="%">
      <formula>NOT(ISERROR(SEARCH("%",F11)))</formula>
    </cfRule>
  </conditionalFormatting>
  <conditionalFormatting sqref="G16 G18 G24:H24 G20 F32:K32 H34:K34 G28:K28 G11:K11 H30:K30 F38:K38 G37:K38 G65:K65 G26:K26 F11:F67 G36:I36 G22:H22 G45:I46">
    <cfRule type="containsText" dxfId="0" priority="192" operator="containsText" text="%">
      <formula>NOT(ISERROR(SEARCH("%",F11)))</formula>
    </cfRule>
  </conditionalFormatting>
  <printOptions horizontalCentered="1"/>
  <pageMargins left="0.39370078740157483" right="0.39370078740157483" top="0.19685039370078741" bottom="0.19685039370078741" header="0" footer="0"/>
  <pageSetup scale="50" orientation="landscape" horizontalDpi="4294967293" verticalDpi="300" r:id="rId1"/>
  <drawing r:id="rId2"/>
</worksheet>
</file>

<file path=xl/worksheets/sheet6.xml><?xml version="1.0" encoding="utf-8"?>
<worksheet xmlns="http://schemas.openxmlformats.org/spreadsheetml/2006/main" xmlns:r="http://schemas.openxmlformats.org/officeDocument/2006/relationships">
  <dimension ref="B1:E48"/>
  <sheetViews>
    <sheetView view="pageBreakPreview" topLeftCell="A12" zoomScale="90" zoomScaleSheetLayoutView="90" workbookViewId="0">
      <selection activeCell="B2" sqref="B2:D49"/>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588" t="s">
        <v>13456</v>
      </c>
      <c r="C2" s="589"/>
      <c r="D2" s="590"/>
    </row>
    <row r="3" spans="2:4">
      <c r="B3" s="591"/>
      <c r="C3" s="592"/>
      <c r="D3" s="593"/>
    </row>
    <row r="4" spans="2:4">
      <c r="B4" s="591"/>
      <c r="C4" s="592"/>
      <c r="D4" s="593"/>
    </row>
    <row r="5" spans="2:4">
      <c r="B5" s="594"/>
      <c r="C5" s="595"/>
      <c r="D5" s="596"/>
    </row>
    <row r="6" spans="2:4" ht="16.5">
      <c r="B6" s="597" t="s">
        <v>13457</v>
      </c>
      <c r="C6" s="597"/>
      <c r="D6" s="35" t="s">
        <v>13458</v>
      </c>
    </row>
    <row r="7" spans="2:4" ht="15.75">
      <c r="B7" s="598" t="s">
        <v>13459</v>
      </c>
      <c r="C7" s="598"/>
      <c r="D7" s="36"/>
    </row>
    <row r="8" spans="2:4" ht="47.25">
      <c r="B8" s="37" t="s">
        <v>13460</v>
      </c>
      <c r="C8" s="38" t="s">
        <v>13461</v>
      </c>
      <c r="D8" s="39">
        <v>0.04</v>
      </c>
    </row>
    <row r="9" spans="2:4" ht="15.75">
      <c r="B9" s="37"/>
      <c r="C9" s="40" t="s">
        <v>13462</v>
      </c>
      <c r="D9" s="41">
        <f>SUM(D8)</f>
        <v>0.04</v>
      </c>
    </row>
    <row r="10" spans="2:4" ht="15.75">
      <c r="B10" s="37"/>
      <c r="C10" s="38"/>
      <c r="D10" s="41"/>
    </row>
    <row r="11" spans="2:4" ht="15.75">
      <c r="B11" s="598" t="s">
        <v>13463</v>
      </c>
      <c r="C11" s="598"/>
      <c r="D11" s="41"/>
    </row>
    <row r="12" spans="2:4" ht="15.75">
      <c r="B12" s="37" t="s">
        <v>13464</v>
      </c>
      <c r="C12" s="38" t="s">
        <v>13465</v>
      </c>
      <c r="D12" s="39">
        <v>1.21E-2</v>
      </c>
    </row>
    <row r="13" spans="2:4" ht="15.75">
      <c r="B13" s="37" t="s">
        <v>13466</v>
      </c>
      <c r="C13" s="38" t="s">
        <v>13467</v>
      </c>
      <c r="D13" s="39">
        <v>4.0000000000000001E-3</v>
      </c>
    </row>
    <row r="14" spans="2:4" ht="15.75">
      <c r="B14" s="37" t="s">
        <v>13466</v>
      </c>
      <c r="C14" s="38" t="s">
        <v>13468</v>
      </c>
      <c r="D14" s="39">
        <v>4.0000000000000001E-3</v>
      </c>
    </row>
    <row r="15" spans="2:4" ht="15.75">
      <c r="B15" s="37" t="s">
        <v>13469</v>
      </c>
      <c r="C15" s="42" t="s">
        <v>13470</v>
      </c>
      <c r="D15" s="39">
        <v>1.2E-2</v>
      </c>
    </row>
    <row r="16" spans="2:4" ht="15.75">
      <c r="B16" s="37" t="s">
        <v>13471</v>
      </c>
      <c r="C16" s="38" t="s">
        <v>13472</v>
      </c>
      <c r="D16" s="39">
        <v>7.3999999999999996E-2</v>
      </c>
    </row>
    <row r="17" spans="2:5" ht="15.75">
      <c r="B17" s="37"/>
      <c r="C17" s="40" t="s">
        <v>13473</v>
      </c>
      <c r="D17" s="41">
        <f>SUM(D12:D16)</f>
        <v>0.1061</v>
      </c>
    </row>
    <row r="18" spans="2:5" ht="15.75">
      <c r="B18" s="37"/>
      <c r="C18" s="43"/>
      <c r="D18" s="41"/>
    </row>
    <row r="19" spans="2:5" ht="15.75">
      <c r="B19" s="598" t="s">
        <v>13474</v>
      </c>
      <c r="C19" s="598"/>
      <c r="D19" s="41"/>
    </row>
    <row r="20" spans="2:5" ht="15.75">
      <c r="B20" s="37" t="s">
        <v>13475</v>
      </c>
      <c r="C20" s="44" t="s">
        <v>13476</v>
      </c>
      <c r="D20" s="41"/>
    </row>
    <row r="21" spans="2:5" ht="15.75">
      <c r="B21" s="37" t="s">
        <v>13477</v>
      </c>
      <c r="C21" s="45" t="s">
        <v>13478</v>
      </c>
      <c r="D21" s="39">
        <v>0.4</v>
      </c>
    </row>
    <row r="22" spans="2:5" ht="15.75">
      <c r="B22" s="37" t="s">
        <v>13479</v>
      </c>
      <c r="C22" s="46" t="s">
        <v>13480</v>
      </c>
      <c r="D22" s="39">
        <v>0.05</v>
      </c>
    </row>
    <row r="23" spans="2:5" ht="15.75">
      <c r="B23" s="37" t="s">
        <v>13481</v>
      </c>
      <c r="C23" s="47" t="s">
        <v>13482</v>
      </c>
      <c r="D23" s="41">
        <f>D22*D21</f>
        <v>2.0000000000000004E-2</v>
      </c>
    </row>
    <row r="24" spans="2:5" ht="15.75">
      <c r="B24" s="37" t="s">
        <v>13483</v>
      </c>
      <c r="C24" s="43" t="s">
        <v>13484</v>
      </c>
      <c r="D24" s="48">
        <v>6.4999999999999997E-3</v>
      </c>
    </row>
    <row r="25" spans="2:5" ht="15.75">
      <c r="B25" s="37" t="s">
        <v>13485</v>
      </c>
      <c r="C25" s="43" t="s">
        <v>13486</v>
      </c>
      <c r="D25" s="48">
        <v>0.03</v>
      </c>
    </row>
    <row r="26" spans="2:5" ht="15.75">
      <c r="B26" s="37" t="s">
        <v>13487</v>
      </c>
      <c r="C26" s="43" t="s">
        <v>13488</v>
      </c>
      <c r="D26" s="48">
        <v>4.4999999999999998E-2</v>
      </c>
    </row>
    <row r="27" spans="2:5" ht="15.75">
      <c r="B27" s="37"/>
      <c r="C27" s="40" t="s">
        <v>13489</v>
      </c>
      <c r="D27" s="41">
        <f>SUM(D23:D26)</f>
        <v>0.10150000000000001</v>
      </c>
    </row>
    <row r="28" spans="2:5" ht="15.75">
      <c r="B28" s="49"/>
      <c r="C28" s="49"/>
      <c r="D28" s="41"/>
    </row>
    <row r="29" spans="2:5" ht="15.75">
      <c r="B29" s="598" t="s">
        <v>13490</v>
      </c>
      <c r="C29" s="598"/>
      <c r="D29" s="41">
        <f>ROUND((1+D8+D13+D15+D14)*(1+D12)*(1+D16)/(1-D27)-1,4)</f>
        <v>0.28239999999999998</v>
      </c>
      <c r="E29" s="147">
        <f>1+D29</f>
        <v>1.2824</v>
      </c>
    </row>
    <row r="30" spans="2:5">
      <c r="B30" s="587" t="s">
        <v>13491</v>
      </c>
      <c r="C30" s="587"/>
      <c r="D30" s="587"/>
    </row>
    <row r="31" spans="2:5">
      <c r="B31" s="587"/>
      <c r="C31" s="587"/>
      <c r="D31" s="587"/>
    </row>
    <row r="32" spans="2:5">
      <c r="B32" s="587"/>
      <c r="C32" s="587"/>
      <c r="D32" s="587"/>
    </row>
    <row r="33" spans="2:4">
      <c r="B33" s="587"/>
      <c r="C33" s="587"/>
      <c r="D33" s="587"/>
    </row>
    <row r="34" spans="2:4">
      <c r="B34" s="587"/>
      <c r="C34" s="587"/>
      <c r="D34" s="587"/>
    </row>
    <row r="35" spans="2:4">
      <c r="B35" s="587"/>
      <c r="C35" s="587"/>
      <c r="D35" s="587"/>
    </row>
    <row r="36" spans="2:4">
      <c r="B36" s="587"/>
      <c r="C36" s="587"/>
      <c r="D36" s="587"/>
    </row>
    <row r="37" spans="2:4">
      <c r="B37" s="587"/>
      <c r="C37" s="587"/>
      <c r="D37" s="587"/>
    </row>
    <row r="38" spans="2:4">
      <c r="B38" s="587"/>
      <c r="C38" s="587"/>
      <c r="D38" s="587"/>
    </row>
    <row r="39" spans="2:4">
      <c r="B39" s="587"/>
      <c r="C39" s="587"/>
      <c r="D39" s="587"/>
    </row>
    <row r="40" spans="2:4">
      <c r="B40" s="587"/>
      <c r="C40" s="587"/>
      <c r="D40" s="587"/>
    </row>
    <row r="41" spans="2:4">
      <c r="B41" s="587"/>
      <c r="C41" s="587"/>
      <c r="D41" s="587"/>
    </row>
    <row r="42" spans="2:4">
      <c r="B42" s="587"/>
      <c r="C42" s="587"/>
      <c r="D42" s="587"/>
    </row>
    <row r="43" spans="2:4">
      <c r="B43" s="587"/>
      <c r="C43" s="587"/>
      <c r="D43" s="587"/>
    </row>
    <row r="44" spans="2:4" ht="56.25" customHeight="1">
      <c r="B44" s="587"/>
      <c r="C44" s="587"/>
      <c r="D44" s="587"/>
    </row>
    <row r="45" spans="2:4">
      <c r="C45" s="5"/>
    </row>
    <row r="46" spans="2:4" ht="20.25" customHeight="1"/>
    <row r="47" spans="2:4">
      <c r="C47" s="261" t="str">
        <f>'2-ORÇAMENTO'!C838</f>
        <v>CLAUDENIR TOMAS JUNIOR</v>
      </c>
    </row>
    <row r="48" spans="2:4">
      <c r="C48" s="261" t="str">
        <f>'2-ORÇAMENTO'!C839</f>
        <v>ENG. CIVIL CREA-MT 038835</v>
      </c>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6" orientation="portrait" r:id="rId1"/>
  <colBreaks count="1" manualBreakCount="1">
    <brk id="4" max="1048575" man="1"/>
  </colBreaks>
  <legacyDrawing r:id="rId2"/>
</worksheet>
</file>

<file path=xl/worksheets/sheet7.xml><?xml version="1.0" encoding="utf-8"?>
<worksheet xmlns="http://schemas.openxmlformats.org/spreadsheetml/2006/main" xmlns:r="http://schemas.openxmlformats.org/officeDocument/2006/relationships">
  <dimension ref="A1:M398"/>
  <sheetViews>
    <sheetView showZeros="0" view="pageBreakPreview" topLeftCell="A357" zoomScale="85" zoomScaleNormal="70" zoomScaleSheetLayoutView="85" workbookViewId="0">
      <selection activeCell="I398" sqref="B2:I398"/>
    </sheetView>
  </sheetViews>
  <sheetFormatPr defaultRowHeight="12.75"/>
  <cols>
    <col min="1" max="1" width="10.5703125" style="130" customWidth="1"/>
    <col min="2" max="2" width="16.28515625" style="16" bestFit="1" customWidth="1"/>
    <col min="3" max="3" width="15" style="16" bestFit="1" customWidth="1"/>
    <col min="4" max="4" width="12" style="136" bestFit="1" customWidth="1"/>
    <col min="5" max="5" width="66" style="137" customWidth="1"/>
    <col min="6" max="6" width="9.28515625" style="16" bestFit="1" customWidth="1"/>
    <col min="7" max="7" width="12.42578125" style="17" bestFit="1" customWidth="1"/>
    <col min="8" max="8" width="13.140625" style="138" bestFit="1" customWidth="1"/>
    <col min="9" max="9" width="18.5703125" style="18" bestFit="1" customWidth="1"/>
    <col min="10" max="10" width="9.85546875" style="130" hidden="1" customWidth="1"/>
    <col min="11" max="11" width="6.42578125" style="130" hidden="1" customWidth="1"/>
    <col min="12" max="12" width="0" style="130" hidden="1" customWidth="1"/>
    <col min="13" max="16384" width="9.140625" style="130"/>
  </cols>
  <sheetData>
    <row r="1" spans="1:9" ht="13.5" thickBot="1"/>
    <row r="2" spans="1:9" ht="102" customHeight="1" thickBot="1">
      <c r="B2" s="574"/>
      <c r="C2" s="575"/>
      <c r="D2" s="575"/>
      <c r="E2" s="575"/>
      <c r="F2" s="575"/>
      <c r="G2" s="575"/>
      <c r="H2" s="575"/>
      <c r="I2" s="576"/>
    </row>
    <row r="3" spans="1:9">
      <c r="B3" s="599" t="str">
        <f>'2-ORÇAMENTO'!B3:K3</f>
        <v xml:space="preserve">OBRA: REFORMA DO ESTÁDIO BENEDITO LAURINDO DE SOUZA </v>
      </c>
      <c r="C3" s="600"/>
      <c r="D3" s="600"/>
      <c r="E3" s="600"/>
      <c r="F3" s="600"/>
      <c r="G3" s="600"/>
      <c r="H3" s="600"/>
      <c r="I3" s="601"/>
    </row>
    <row r="4" spans="1:9">
      <c r="B4" s="599" t="str">
        <f>'2-ORÇAMENTO'!B4:K4</f>
        <v>LOCAL: ESTÁDIO BENEDITO LAURINDO DE SOUZA "DITO SOUZA"</v>
      </c>
      <c r="C4" s="600"/>
      <c r="D4" s="600"/>
      <c r="E4" s="600"/>
      <c r="F4" s="600"/>
      <c r="G4" s="600"/>
      <c r="H4" s="600"/>
      <c r="I4" s="601"/>
    </row>
    <row r="5" spans="1:9">
      <c r="B5" s="599" t="str">
        <f>'2-ORÇAMENTO'!B5:K5</f>
        <v>ENDEREÇO: RUA PROF. ISABEL PINTO ESQUINA COM RUA MIGUEL MARCONDES, BAIRRO CRISTO REI, S/N</v>
      </c>
      <c r="C5" s="600"/>
      <c r="D5" s="600"/>
      <c r="E5" s="600"/>
      <c r="F5" s="600"/>
      <c r="G5" s="600"/>
      <c r="H5" s="600"/>
      <c r="I5" s="601"/>
    </row>
    <row r="6" spans="1:9" ht="15" customHeight="1">
      <c r="B6" s="599" t="str">
        <f>'[2]4-ORÇAMENTO'!B6:G6</f>
        <v>MUNICÍPIO: VÁRZEA GRANDE - MT</v>
      </c>
      <c r="C6" s="600"/>
      <c r="D6" s="600"/>
      <c r="E6" s="600"/>
      <c r="F6" s="600"/>
      <c r="G6" s="600"/>
      <c r="H6" s="600"/>
      <c r="I6" s="601"/>
    </row>
    <row r="7" spans="1:9" ht="13.5" thickBot="1">
      <c r="B7" s="599" t="str">
        <f>'2-ORÇAMENTO'!B7:K7</f>
        <v>DATA BASE: SINAPI JULHO- COM DESONERAÇÃO / 2018 - BDI - 28,24%</v>
      </c>
      <c r="C7" s="600"/>
      <c r="D7" s="600"/>
      <c r="E7" s="600"/>
      <c r="F7" s="600"/>
      <c r="G7" s="600"/>
      <c r="H7" s="600"/>
      <c r="I7" s="601"/>
    </row>
    <row r="8" spans="1:9" ht="13.5" thickBot="1">
      <c r="B8" s="610" t="s">
        <v>13492</v>
      </c>
      <c r="C8" s="611"/>
      <c r="D8" s="612"/>
      <c r="E8" s="602" t="s">
        <v>13457</v>
      </c>
      <c r="F8" s="604" t="s">
        <v>13493</v>
      </c>
      <c r="G8" s="606" t="s">
        <v>13494</v>
      </c>
      <c r="H8" s="608" t="s">
        <v>13495</v>
      </c>
      <c r="I8" s="608" t="s">
        <v>13496</v>
      </c>
    </row>
    <row r="9" spans="1:9" ht="13.5" thickBot="1">
      <c r="A9" s="115"/>
      <c r="B9" s="133" t="s">
        <v>13497</v>
      </c>
      <c r="C9" s="133" t="s">
        <v>13498</v>
      </c>
      <c r="D9" s="134" t="s">
        <v>12640</v>
      </c>
      <c r="E9" s="603"/>
      <c r="F9" s="605"/>
      <c r="G9" s="607"/>
      <c r="H9" s="609"/>
      <c r="I9" s="609"/>
    </row>
    <row r="10" spans="1:9">
      <c r="B10" s="135"/>
      <c r="I10" s="143"/>
    </row>
    <row r="11" spans="1:9">
      <c r="B11" s="232" t="s">
        <v>13499</v>
      </c>
      <c r="I11" s="143"/>
    </row>
    <row r="12" spans="1:9">
      <c r="B12" s="135"/>
      <c r="I12" s="143"/>
    </row>
    <row r="13" spans="1:9" ht="25.5">
      <c r="B13" s="418" t="s">
        <v>34</v>
      </c>
      <c r="C13" s="419"/>
      <c r="D13" s="420"/>
      <c r="E13" s="421" t="s">
        <v>13500</v>
      </c>
      <c r="F13" s="422" t="str">
        <f>F14</f>
        <v xml:space="preserve">MES   </v>
      </c>
      <c r="G13" s="423">
        <v>1</v>
      </c>
      <c r="H13" s="424"/>
      <c r="I13" s="425">
        <f>SUM(I14:I15)</f>
        <v>746.68000000000006</v>
      </c>
    </row>
    <row r="14" spans="1:9" ht="38.25">
      <c r="B14" s="131" t="s">
        <v>13501</v>
      </c>
      <c r="C14" s="132" t="s">
        <v>8</v>
      </c>
      <c r="D14" s="139">
        <v>10777</v>
      </c>
      <c r="E14" s="140" t="str">
        <f>IF($D14&lt;&gt;"",VLOOKUP($D14,'SINAPI JULHO 2018'!$A$1:G11367,2,FALSE),"")</f>
        <v>LOCACAO DE CONTAINER 2,30 X 4,30 M, ALT. 2,50 M, PARA SANITARIO, COM 3 BACIAS, 4 CHUVEIROS, 1 LAVATORIO E 1 MICTORIO</v>
      </c>
      <c r="F14" s="141" t="str">
        <f>IF($D14&lt;&gt;"",VLOOKUP($D14,'SINAPI JULHO 2018'!$1:$1048576,3,FALSE),"")</f>
        <v xml:space="preserve">MES   </v>
      </c>
      <c r="G14" s="142">
        <v>1</v>
      </c>
      <c r="H14" s="144">
        <f>IF($D14&lt;&gt;"",VLOOKUP($D14,'SINAPI JULHO 2018'!$1:$1048576,4,FALSE),"")</f>
        <v>573.38</v>
      </c>
      <c r="I14" s="148">
        <f>TRUNC(G14*H14,2)</f>
        <v>573.38</v>
      </c>
    </row>
    <row r="15" spans="1:9" ht="51">
      <c r="B15" s="131" t="s">
        <v>13502</v>
      </c>
      <c r="C15" s="132" t="s">
        <v>8</v>
      </c>
      <c r="D15" s="139">
        <v>5824</v>
      </c>
      <c r="E15" s="140" t="str">
        <f>IF($D15&lt;&gt;"",VLOOKUP($D15,'SINAPI JULHO 2018'!$A$1:G11368,2,FALSE),"")</f>
        <v>CAMINHÃO TOCO, PBT 16.000 KG, CARGA ÚTIL MÁX. 10.685 KG, DIST. ENTRE EIXOS 4,8 M, POTÊNCIA 189 CV, INCLUSIVE CARROCERIA FIXA ABERTA DE MADEIRA P/ TRANSPORTE GERAL DE CARGA SECA, DIMEN. APROX. 2,5 X 7,00 X 0,50 M - CHP DIURNO. AF_06/2014</v>
      </c>
      <c r="F15" s="141" t="str">
        <f>IF($D15&lt;&gt;"",VLOOKUP($D15,'SINAPI JULHO 2018'!$1:$1048576,3,FALSE),"")</f>
        <v>CHP</v>
      </c>
      <c r="G15" s="142">
        <f>2*4/6</f>
        <v>1.3333333333333333</v>
      </c>
      <c r="H15" s="144">
        <f>IF($D15&lt;&gt;"",VLOOKUP($D15,'SINAPI JULHO 2018'!$1:$1048576,4,FALSE),"")</f>
        <v>129.97999999999999</v>
      </c>
      <c r="I15" s="148">
        <f>TRUNC(G15*H15,2)</f>
        <v>173.3</v>
      </c>
    </row>
    <row r="16" spans="1:9">
      <c r="B16" s="135"/>
      <c r="I16" s="143"/>
    </row>
    <row r="17" spans="2:9">
      <c r="B17" s="418" t="s">
        <v>48</v>
      </c>
      <c r="C17" s="419"/>
      <c r="D17" s="420"/>
      <c r="E17" s="421" t="s">
        <v>13503</v>
      </c>
      <c r="F17" s="422" t="s">
        <v>474</v>
      </c>
      <c r="G17" s="423">
        <v>1</v>
      </c>
      <c r="H17" s="424"/>
      <c r="I17" s="425">
        <f>SUM(I18:I32)</f>
        <v>5250.47</v>
      </c>
    </row>
    <row r="18" spans="2:9" ht="25.5">
      <c r="B18" s="131" t="s">
        <v>13502</v>
      </c>
      <c r="C18" s="132" t="s">
        <v>8</v>
      </c>
      <c r="D18" s="139">
        <v>88248</v>
      </c>
      <c r="E18" s="140" t="str">
        <f>IF($D18&lt;&gt;"",VLOOKUP($D18,'SINAPI JULHO 2018'!$A$1:G11371,2,FALSE),"")</f>
        <v>AUXILIAR DE ENCANADOR OU BOMBEIRO HIDRÁULICO COM ENCARGOS COMPLEMENTARES</v>
      </c>
      <c r="F18" s="141" t="str">
        <f>IF($D18&lt;&gt;"",VLOOKUP($D18,'SINAPI JULHO 2018'!$1:$1048576,3,FALSE),"")</f>
        <v>H</v>
      </c>
      <c r="G18" s="142">
        <v>5</v>
      </c>
      <c r="H18" s="144">
        <f>IF($D18&lt;&gt;"",VLOOKUP($D18,'SINAPI JULHO 2018'!$1:$1048576,4,FALSE),"")</f>
        <v>14.12</v>
      </c>
      <c r="I18" s="148">
        <f>TRUNC(G18*H18,2)</f>
        <v>70.599999999999994</v>
      </c>
    </row>
    <row r="19" spans="2:9">
      <c r="B19" s="131" t="s">
        <v>13502</v>
      </c>
      <c r="C19" s="132" t="s">
        <v>8</v>
      </c>
      <c r="D19" s="139">
        <v>88262</v>
      </c>
      <c r="E19" s="140" t="str">
        <f>IF($D19&lt;&gt;"",VLOOKUP($D19,'SINAPI JULHO 2018'!$A$1:G11372,2,FALSE),"")</f>
        <v>CARPINTEIRO DE FORMAS COM ENCARGOS COMPLEMENTARES</v>
      </c>
      <c r="F19" s="141" t="str">
        <f>IF($D19&lt;&gt;"",VLOOKUP($D19,'SINAPI JULHO 2018'!$1:$1048576,3,FALSE),"")</f>
        <v>H</v>
      </c>
      <c r="G19" s="142">
        <v>10</v>
      </c>
      <c r="H19" s="144">
        <f>IF($D19&lt;&gt;"",VLOOKUP($D19,'SINAPI JULHO 2018'!$1:$1048576,4,FALSE),"")</f>
        <v>17.5</v>
      </c>
      <c r="I19" s="148">
        <f t="shared" ref="I19:I32" si="0">TRUNC(G19*H19,2)</f>
        <v>175</v>
      </c>
    </row>
    <row r="20" spans="2:9">
      <c r="B20" s="131" t="s">
        <v>13502</v>
      </c>
      <c r="C20" s="132" t="s">
        <v>8</v>
      </c>
      <c r="D20" s="139">
        <v>88316</v>
      </c>
      <c r="E20" s="140" t="str">
        <f>IF($D20&lt;&gt;"",VLOOKUP($D20,'SINAPI JULHO 2018'!$A$1:G11373,2,FALSE),"")</f>
        <v>SERVENTE COM ENCARGOS COMPLEMENTARES</v>
      </c>
      <c r="F20" s="141" t="str">
        <f>IF($D20&lt;&gt;"",VLOOKUP($D20,'SINAPI JULHO 2018'!$1:$1048576,3,FALSE),"")</f>
        <v>H</v>
      </c>
      <c r="G20" s="142">
        <v>10</v>
      </c>
      <c r="H20" s="144">
        <f>IF($D20&lt;&gt;"",VLOOKUP($D20,'SINAPI JULHO 2018'!$1:$1048576,4,FALSE),"")</f>
        <v>14.31</v>
      </c>
      <c r="I20" s="148">
        <f t="shared" si="0"/>
        <v>143.1</v>
      </c>
    </row>
    <row r="21" spans="2:9">
      <c r="B21" s="131" t="s">
        <v>13502</v>
      </c>
      <c r="C21" s="132" t="s">
        <v>8</v>
      </c>
      <c r="D21" s="139">
        <v>88309</v>
      </c>
      <c r="E21" s="140" t="str">
        <f>IF($D21&lt;&gt;"",VLOOKUP($D21,'SINAPI JULHO 2018'!$A$1:G11374,2,FALSE),"")</f>
        <v>PEDREIRO COM ENCARGOS COMPLEMENTARES</v>
      </c>
      <c r="F21" s="141" t="str">
        <f>IF($D21&lt;&gt;"",VLOOKUP($D21,'SINAPI JULHO 2018'!$1:$1048576,3,FALSE),"")</f>
        <v>H</v>
      </c>
      <c r="G21" s="142">
        <v>10</v>
      </c>
      <c r="H21" s="144">
        <f>IF($D21&lt;&gt;"",VLOOKUP($D21,'SINAPI JULHO 2018'!$1:$1048576,4,FALSE),"")</f>
        <v>17.600000000000001</v>
      </c>
      <c r="I21" s="148">
        <f t="shared" si="0"/>
        <v>176</v>
      </c>
    </row>
    <row r="22" spans="2:9" ht="25.5">
      <c r="B22" s="131" t="s">
        <v>13502</v>
      </c>
      <c r="C22" s="132" t="s">
        <v>8</v>
      </c>
      <c r="D22" s="139">
        <v>88267</v>
      </c>
      <c r="E22" s="140" t="str">
        <f>IF($D22&lt;&gt;"",VLOOKUP($D22,'SINAPI JULHO 2018'!$A$1:G11375,2,FALSE),"")</f>
        <v>ENCANADOR OU BOMBEIRO HIDRÁULICO COM ENCARGOS COMPLEMENTARES</v>
      </c>
      <c r="F22" s="141" t="str">
        <f>IF($D22&lt;&gt;"",VLOOKUP($D22,'SINAPI JULHO 2018'!$1:$1048576,3,FALSE),"")</f>
        <v>H</v>
      </c>
      <c r="G22" s="142">
        <v>10</v>
      </c>
      <c r="H22" s="144">
        <f>IF($D22&lt;&gt;"",VLOOKUP($D22,'SINAPI JULHO 2018'!$1:$1048576,4,FALSE),"")</f>
        <v>18.02</v>
      </c>
      <c r="I22" s="148">
        <f t="shared" si="0"/>
        <v>180.2</v>
      </c>
    </row>
    <row r="23" spans="2:9">
      <c r="B23" s="131" t="s">
        <v>13501</v>
      </c>
      <c r="C23" s="132" t="s">
        <v>8</v>
      </c>
      <c r="D23" s="139">
        <v>5061</v>
      </c>
      <c r="E23" s="140" t="str">
        <f>IF($D23&lt;&gt;"",VLOOKUP($D23,'SINAPI JULHO 2018'!$A$1:G11376,2,FALSE),"")</f>
        <v>PREGO DE ACO POLIDO COM CABECA 18 X 27 (2 1/2 X 10)</v>
      </c>
      <c r="F23" s="141" t="str">
        <f>IF($D23&lt;&gt;"",VLOOKUP($D23,'SINAPI JULHO 2018'!$1:$1048576,3,FALSE),"")</f>
        <v xml:space="preserve">KG    </v>
      </c>
      <c r="G23" s="142">
        <v>1</v>
      </c>
      <c r="H23" s="144">
        <f>IF($D23&lt;&gt;"",VLOOKUP($D23,'SINAPI JULHO 2018'!$1:$1048576,4,FALSE),"")</f>
        <v>9.26</v>
      </c>
      <c r="I23" s="148">
        <f t="shared" si="0"/>
        <v>9.26</v>
      </c>
    </row>
    <row r="24" spans="2:9">
      <c r="B24" s="131" t="s">
        <v>13501</v>
      </c>
      <c r="C24" s="132" t="s">
        <v>8</v>
      </c>
      <c r="D24" s="139">
        <v>20247</v>
      </c>
      <c r="E24" s="140" t="str">
        <f>IF($D24&lt;&gt;"",VLOOKUP($D24,'SINAPI JULHO 2018'!$A$1:G11377,2,FALSE),"")</f>
        <v>PREGO DE ACO POLIDO COM CABECA 15 X 15 (1 1/4 X 13)</v>
      </c>
      <c r="F24" s="141" t="str">
        <f>IF($D24&lt;&gt;"",VLOOKUP($D24,'SINAPI JULHO 2018'!$1:$1048576,3,FALSE),"")</f>
        <v xml:space="preserve">KG    </v>
      </c>
      <c r="G24" s="142">
        <v>1</v>
      </c>
      <c r="H24" s="144">
        <f>IF($D24&lt;&gt;"",VLOOKUP($D24,'SINAPI JULHO 2018'!$1:$1048576,4,FALSE),"")</f>
        <v>10.43</v>
      </c>
      <c r="I24" s="148">
        <f t="shared" si="0"/>
        <v>10.43</v>
      </c>
    </row>
    <row r="25" spans="2:9" ht="25.5">
      <c r="B25" s="131" t="s">
        <v>13501</v>
      </c>
      <c r="C25" s="132" t="s">
        <v>8</v>
      </c>
      <c r="D25" s="139">
        <v>3997</v>
      </c>
      <c r="E25" s="140" t="str">
        <f>IF($D25&lt;&gt;"",VLOOKUP($D25,'SINAPI JULHO 2018'!$A$1:G11378,2,FALSE),"")</f>
        <v>MADEIRA SERRADA NAO APARELHADA DE MACARANDUBA, ANGELIM OU EQUIVALENTE DA REGIAO</v>
      </c>
      <c r="F25" s="141" t="str">
        <f>IF($D25&lt;&gt;"",VLOOKUP($D25,'SINAPI JULHO 2018'!$1:$1048576,3,FALSE),"")</f>
        <v xml:space="preserve">M3    </v>
      </c>
      <c r="G25" s="142">
        <v>0.1</v>
      </c>
      <c r="H25" s="144">
        <f>IF($D25&lt;&gt;"",VLOOKUP($D25,'SINAPI JULHO 2018'!$1:$1048576,4,FALSE),"")</f>
        <v>1531.01</v>
      </c>
      <c r="I25" s="148">
        <f t="shared" si="0"/>
        <v>153.1</v>
      </c>
    </row>
    <row r="26" spans="2:9">
      <c r="B26" s="131" t="s">
        <v>13504</v>
      </c>
      <c r="C26" s="132" t="s">
        <v>8</v>
      </c>
      <c r="D26" s="139">
        <v>88503</v>
      </c>
      <c r="E26" s="140" t="str">
        <f>IF($D26&lt;&gt;"",VLOOKUP($D26,'SINAPI JULHO 2018'!$A$1:G11379,2,FALSE),"")</f>
        <v>CAIXA D´ÁGUA EM POLIETILENO, 1000 LITROS, COM ACESSÓRIOS</v>
      </c>
      <c r="F26" s="141" t="str">
        <f>IF($D26&lt;&gt;"",VLOOKUP($D26,'SINAPI JULHO 2018'!$1:$1048576,3,FALSE),"")</f>
        <v>UN</v>
      </c>
      <c r="G26" s="142">
        <v>1</v>
      </c>
      <c r="H26" s="144">
        <f>IF($D26&lt;&gt;"",VLOOKUP($D26,'SINAPI JULHO 2018'!$1:$1048576,4,FALSE),"")</f>
        <v>642.32000000000005</v>
      </c>
      <c r="I26" s="148">
        <f t="shared" si="0"/>
        <v>642.32000000000005</v>
      </c>
    </row>
    <row r="27" spans="2:9" ht="25.5" hidden="1" customHeight="1">
      <c r="B27" s="131" t="s">
        <v>13501</v>
      </c>
      <c r="C27" s="132" t="s">
        <v>8</v>
      </c>
      <c r="D27" s="139">
        <v>370</v>
      </c>
      <c r="E27" s="140" t="str">
        <f>IF($D27&lt;&gt;"",VLOOKUP($D27,'SINAPI JULHO 2018'!$A$1:G11380,2,FALSE),"")</f>
        <v>AREIA MEDIA - POSTO JAZIDA/FORNECEDOR (RETIRADO NA JAZIDA, SEM TRANSPORTE)</v>
      </c>
      <c r="F27" s="141" t="str">
        <f>IF($D27&lt;&gt;"",VLOOKUP($D27,'SINAPI JULHO 2018'!$1:$1048576,3,FALSE),"")</f>
        <v xml:space="preserve">M3    </v>
      </c>
      <c r="G27" s="142">
        <v>0</v>
      </c>
      <c r="H27" s="144">
        <f>IF($D27&lt;&gt;"",VLOOKUP($D27,'SINAPI JULHO 2018'!$1:$1048576,4,FALSE),"")</f>
        <v>62.75</v>
      </c>
      <c r="I27" s="148">
        <f t="shared" si="0"/>
        <v>0</v>
      </c>
    </row>
    <row r="28" spans="2:9" ht="12.75" hidden="1" customHeight="1">
      <c r="B28" s="131" t="s">
        <v>13501</v>
      </c>
      <c r="C28" s="132" t="s">
        <v>8</v>
      </c>
      <c r="D28" s="139">
        <v>7258</v>
      </c>
      <c r="E28" s="140" t="str">
        <f>IF($D28&lt;&gt;"",VLOOKUP($D28,'SINAPI JULHO 2018'!$A$1:G11381,2,FALSE),"")</f>
        <v>TIJOLO CERAMICO MACICO *5 X 10 X 20* CM</v>
      </c>
      <c r="F28" s="141" t="str">
        <f>IF($D28&lt;&gt;"",VLOOKUP($D28,'SINAPI JULHO 2018'!$1:$1048576,3,FALSE),"")</f>
        <v xml:space="preserve">UN    </v>
      </c>
      <c r="G28" s="142">
        <v>0</v>
      </c>
      <c r="H28" s="144">
        <f>IF($D28&lt;&gt;"",VLOOKUP($D28,'SINAPI JULHO 2018'!$1:$1048576,4,FALSE),"")</f>
        <v>0.33</v>
      </c>
      <c r="I28" s="148">
        <f t="shared" si="0"/>
        <v>0</v>
      </c>
    </row>
    <row r="29" spans="2:9" ht="25.5" hidden="1" customHeight="1">
      <c r="B29" s="131" t="s">
        <v>13501</v>
      </c>
      <c r="C29" s="132" t="s">
        <v>8</v>
      </c>
      <c r="D29" s="139">
        <v>95674</v>
      </c>
      <c r="E29" s="140" t="str">
        <f>IF($D29&lt;&gt;"",VLOOKUP($D29,'SINAPI JULHO 2018'!$A$1:G11382,2,FALSE),"")</f>
        <v>HIDRÔMETRO DN 20 (½), 3,0 M³/H  FORNECIMENTO E INSTALAÇÃO. AF_11/2016</v>
      </c>
      <c r="F29" s="141" t="str">
        <f>IF($D29&lt;&gt;"",VLOOKUP($D29,'SINAPI JULHO 2018'!$1:$1048576,3,FALSE),"")</f>
        <v>UN</v>
      </c>
      <c r="G29" s="142">
        <v>0</v>
      </c>
      <c r="H29" s="144">
        <f>IF($D29&lt;&gt;"",VLOOKUP($D29,'SINAPI JULHO 2018'!$1:$1048576,4,FALSE),"")</f>
        <v>96.46</v>
      </c>
      <c r="I29" s="148">
        <f t="shared" si="0"/>
        <v>0</v>
      </c>
    </row>
    <row r="30" spans="2:9" ht="51">
      <c r="B30" s="131" t="s">
        <v>13502</v>
      </c>
      <c r="C30" s="132" t="s">
        <v>8</v>
      </c>
      <c r="D30" s="139">
        <v>90694</v>
      </c>
      <c r="E30" s="140" t="str">
        <f>IF($D30&lt;&gt;"",VLOOKUP($D30,'SINAPI JULHO 2018'!$A$1:G11383,2,FALSE),"")</f>
        <v>TUBO DE PVC PARA REDE COLETORA DE ESGOTO DE PAREDE MACIÇA, DN 100 MM, JUNTA ELÁSTICA, INSTALADO EM LOCAL COM NÍVEL BAIXO DE INTERFERÊNCIAS - FORNECIMENTO E ASSENTAMENTO. AF_06/2015</v>
      </c>
      <c r="F30" s="141" t="str">
        <f>IF($D30&lt;&gt;"",VLOOKUP($D30,'SINAPI JULHO 2018'!$1:$1048576,3,FALSE),"")</f>
        <v>M</v>
      </c>
      <c r="G30" s="142">
        <v>10</v>
      </c>
      <c r="H30" s="144">
        <f>IF($D30&lt;&gt;"",VLOOKUP($D30,'SINAPI JULHO 2018'!$1:$1048576,4,FALSE),"")</f>
        <v>21.22</v>
      </c>
      <c r="I30" s="148">
        <f t="shared" si="0"/>
        <v>212.2</v>
      </c>
    </row>
    <row r="31" spans="2:9" ht="38.25">
      <c r="B31" s="131" t="s">
        <v>13502</v>
      </c>
      <c r="C31" s="132" t="s">
        <v>8</v>
      </c>
      <c r="D31" s="139">
        <v>89402</v>
      </c>
      <c r="E31" s="140" t="str">
        <f>IF($D31&lt;&gt;"",VLOOKUP($D31,'SINAPI JULHO 2018'!$A$1:G11384,2,FALSE),"")</f>
        <v>TUBO, PVC, SOLDÁVEL, DN 25MM, INSTALADO EM RAMAL DE DISTRIBUIÇÃO DE ÁGUA - FORNECIMENTO E INSTALAÇÃO. AF_12/2014</v>
      </c>
      <c r="F31" s="141" t="str">
        <f>IF($D31&lt;&gt;"",VLOOKUP($D31,'SINAPI JULHO 2018'!$1:$1048576,3,FALSE),"")</f>
        <v>M</v>
      </c>
      <c r="G31" s="142">
        <v>10</v>
      </c>
      <c r="H31" s="144">
        <f>IF($D31&lt;&gt;"",VLOOKUP($D31,'SINAPI JULHO 2018'!$1:$1048576,4,FALSE),"")</f>
        <v>6.72</v>
      </c>
      <c r="I31" s="148">
        <f t="shared" si="0"/>
        <v>67.2</v>
      </c>
    </row>
    <row r="32" spans="2:9" ht="38.25">
      <c r="B32" s="131" t="s">
        <v>13502</v>
      </c>
      <c r="C32" s="132" t="s">
        <v>8</v>
      </c>
      <c r="D32" s="139">
        <v>98066</v>
      </c>
      <c r="E32" s="140" t="str">
        <f>IF($D32&lt;&gt;"",VLOOKUP($D32,'SINAPI JULHO 2018'!$A$1:G11385,2,FALSE),"")</f>
        <v>TANQUE SÉPTICO RETANGULAR, EM ALVENARIA COM TIJOLOS CERÂMICOS MACIÇOS, DIMENSÕES INTERNAS: 1,0 X 2,0 X 1,4 M, VOLUME ÚTIL: 2000 L (PARA 5 CONTRIBUINTES). AF_05/2018</v>
      </c>
      <c r="F32" s="141" t="str">
        <f>IF($D32&lt;&gt;"",VLOOKUP($D32,'SINAPI JULHO 2018'!$1:$1048576,3,FALSE),"")</f>
        <v>UN</v>
      </c>
      <c r="G32" s="142">
        <v>1</v>
      </c>
      <c r="H32" s="144">
        <f>IF($D32&lt;&gt;"",VLOOKUP($D32,'SINAPI JULHO 2018'!$1:$1048576,4,FALSE),"")</f>
        <v>3411.06</v>
      </c>
      <c r="I32" s="148">
        <f t="shared" si="0"/>
        <v>3411.06</v>
      </c>
    </row>
    <row r="33" spans="2:9">
      <c r="B33" s="135"/>
      <c r="E33" s="224"/>
      <c r="F33" s="225"/>
      <c r="G33" s="67"/>
      <c r="H33" s="177"/>
      <c r="I33" s="227"/>
    </row>
    <row r="34" spans="2:9" s="239" customFormat="1">
      <c r="B34" s="232" t="s">
        <v>13505</v>
      </c>
      <c r="C34" s="188"/>
      <c r="D34" s="233"/>
      <c r="E34" s="234"/>
      <c r="F34" s="235"/>
      <c r="G34" s="236"/>
      <c r="H34" s="237"/>
      <c r="I34" s="238"/>
    </row>
    <row r="35" spans="2:9">
      <c r="B35" s="135"/>
      <c r="I35" s="143"/>
    </row>
    <row r="36" spans="2:9">
      <c r="B36" s="418" t="s">
        <v>56</v>
      </c>
      <c r="C36" s="419"/>
      <c r="D36" s="420"/>
      <c r="E36" s="421" t="s">
        <v>13506</v>
      </c>
      <c r="F36" s="422" t="s">
        <v>5</v>
      </c>
      <c r="G36" s="423">
        <v>1</v>
      </c>
      <c r="H36" s="424"/>
      <c r="I36" s="425">
        <f>SUM(I37:I38)</f>
        <v>1518.02</v>
      </c>
    </row>
    <row r="37" spans="2:9" ht="25.5">
      <c r="B37" s="131" t="s">
        <v>13502</v>
      </c>
      <c r="C37" s="132" t="s">
        <v>8</v>
      </c>
      <c r="D37" s="139">
        <v>88267</v>
      </c>
      <c r="E37" s="140" t="str">
        <f>IF($D37&lt;&gt;"",VLOOKUP($D37,'SINAPI JULHO 2018'!$A$1:G11390,2,FALSE),"")</f>
        <v>ENCANADOR OU BOMBEIRO HIDRÁULICO COM ENCARGOS COMPLEMENTARES</v>
      </c>
      <c r="F37" s="141" t="str">
        <f>IF($D37&lt;&gt;"",VLOOKUP($D37,'SINAPI JULHO 2018'!$1:$1048576,3,FALSE),"")</f>
        <v>H</v>
      </c>
      <c r="G37" s="142">
        <v>1</v>
      </c>
      <c r="H37" s="144">
        <f>IF($D37&lt;&gt;"",VLOOKUP($D37,'SINAPI JULHO 2018'!$1:$1048576,4,FALSE),"")</f>
        <v>18.02</v>
      </c>
      <c r="I37" s="148">
        <f>TRUNC(G37*H37,2)</f>
        <v>18.02</v>
      </c>
    </row>
    <row r="38" spans="2:9" ht="25.5">
      <c r="B38" s="131"/>
      <c r="C38" s="132" t="s">
        <v>13507</v>
      </c>
      <c r="D38" s="139"/>
      <c r="E38" s="140" t="s">
        <v>13508</v>
      </c>
      <c r="F38" s="141" t="s">
        <v>5</v>
      </c>
      <c r="G38" s="142">
        <v>1</v>
      </c>
      <c r="H38" s="144">
        <v>1500</v>
      </c>
      <c r="I38" s="148">
        <f>TRUNC(G38*H38,2)</f>
        <v>1500</v>
      </c>
    </row>
    <row r="39" spans="2:9">
      <c r="B39" s="135"/>
      <c r="I39" s="143"/>
    </row>
    <row r="40" spans="2:9" s="239" customFormat="1">
      <c r="B40" s="232" t="s">
        <v>13509</v>
      </c>
      <c r="C40" s="188"/>
      <c r="D40" s="233"/>
      <c r="E40" s="241"/>
      <c r="F40" s="188"/>
      <c r="G40" s="125"/>
      <c r="H40" s="242"/>
      <c r="I40" s="243"/>
    </row>
    <row r="41" spans="2:9">
      <c r="B41" s="135"/>
      <c r="I41" s="143"/>
    </row>
    <row r="42" spans="2:9">
      <c r="B42" s="418" t="s">
        <v>64</v>
      </c>
      <c r="C42" s="419"/>
      <c r="D42" s="420"/>
      <c r="E42" s="421" t="s">
        <v>13510</v>
      </c>
      <c r="F42" s="422" t="s">
        <v>178</v>
      </c>
      <c r="G42" s="423">
        <v>1</v>
      </c>
      <c r="H42" s="424"/>
      <c r="I42" s="425">
        <f>SUM(I43:I44)</f>
        <v>165.98</v>
      </c>
    </row>
    <row r="43" spans="2:9">
      <c r="B43" s="131" t="s">
        <v>13502</v>
      </c>
      <c r="C43" s="132" t="s">
        <v>8</v>
      </c>
      <c r="D43" s="139">
        <v>88309</v>
      </c>
      <c r="E43" s="140" t="str">
        <f>IF($D43&lt;&gt;"",VLOOKUP($D43,'SINAPI JULHO 2018'!$A$1:G11396,2,FALSE),"")</f>
        <v>PEDREIRO COM ENCARGOS COMPLEMENTARES</v>
      </c>
      <c r="F43" s="141" t="str">
        <f>IF($D43&lt;&gt;"",VLOOKUP($D43,'SINAPI JULHO 2018'!$1:$1048576,3,FALSE),"")</f>
        <v>H</v>
      </c>
      <c r="G43" s="142">
        <v>1.3</v>
      </c>
      <c r="H43" s="144">
        <f>IF($D43&lt;&gt;"",VLOOKUP($D43,'SINAPI JULHO 2018'!$1:$1048576,4,FALSE),"")</f>
        <v>17.600000000000001</v>
      </c>
      <c r="I43" s="148">
        <f>TRUNC(G43*H43,2)</f>
        <v>22.88</v>
      </c>
    </row>
    <row r="44" spans="2:9">
      <c r="B44" s="131" t="s">
        <v>13502</v>
      </c>
      <c r="C44" s="132" t="s">
        <v>8</v>
      </c>
      <c r="D44" s="139">
        <v>88316</v>
      </c>
      <c r="E44" s="140" t="str">
        <f>IF($D44&lt;&gt;"",VLOOKUP($D44,'SINAPI JULHO 2018'!$A$1:G11397,2,FALSE),"")</f>
        <v>SERVENTE COM ENCARGOS COMPLEMENTARES</v>
      </c>
      <c r="F44" s="141" t="str">
        <f>IF($D44&lt;&gt;"",VLOOKUP($D44,'SINAPI JULHO 2018'!$1:$1048576,3,FALSE),"")</f>
        <v>H</v>
      </c>
      <c r="G44" s="142">
        <v>10</v>
      </c>
      <c r="H44" s="144">
        <f>IF($D44&lt;&gt;"",VLOOKUP($D44,'SINAPI JULHO 2018'!$1:$1048576,4,FALSE),"")</f>
        <v>14.31</v>
      </c>
      <c r="I44" s="148">
        <f>TRUNC(G44*H44,2)</f>
        <v>143.1</v>
      </c>
    </row>
    <row r="45" spans="2:9" ht="13.5">
      <c r="B45" s="135"/>
      <c r="D45" s="228"/>
      <c r="E45" s="175"/>
      <c r="F45" s="176"/>
      <c r="G45" s="67"/>
      <c r="H45" s="177"/>
      <c r="I45" s="143"/>
    </row>
    <row r="46" spans="2:9">
      <c r="B46" s="418" t="s">
        <v>157</v>
      </c>
      <c r="C46" s="419"/>
      <c r="D46" s="420"/>
      <c r="E46" s="421" t="s">
        <v>13511</v>
      </c>
      <c r="F46" s="422" t="s">
        <v>5</v>
      </c>
      <c r="G46" s="423">
        <v>1</v>
      </c>
      <c r="H46" s="424"/>
      <c r="I46" s="425">
        <f>SUM(I47:I48)</f>
        <v>16.16</v>
      </c>
    </row>
    <row r="47" spans="2:9" ht="25.5">
      <c r="B47" s="131" t="s">
        <v>13502</v>
      </c>
      <c r="C47" s="132" t="s">
        <v>8</v>
      </c>
      <c r="D47" s="139">
        <v>88267</v>
      </c>
      <c r="E47" s="140" t="str">
        <f>IF($D47&lt;&gt;"",VLOOKUP($D47,'SINAPI JULHO 2018'!$A$1:G11400,2,FALSE),"")</f>
        <v>ENCANADOR OU BOMBEIRO HIDRÁULICO COM ENCARGOS COMPLEMENTARES</v>
      </c>
      <c r="F47" s="141" t="str">
        <f>IF($D47&lt;&gt;"",VLOOKUP($D47,'SINAPI JULHO 2018'!$1:$1048576,3,FALSE),"")</f>
        <v>H</v>
      </c>
      <c r="G47" s="142">
        <v>0.5</v>
      </c>
      <c r="H47" s="144">
        <f>IF($D47&lt;&gt;"",VLOOKUP($D47,'SINAPI JULHO 2018'!$1:$1048576,4,FALSE),"")</f>
        <v>18.02</v>
      </c>
      <c r="I47" s="148">
        <f>TRUNC(G47*H47,2)</f>
        <v>9.01</v>
      </c>
    </row>
    <row r="48" spans="2:9">
      <c r="B48" s="131" t="s">
        <v>13502</v>
      </c>
      <c r="C48" s="132" t="s">
        <v>8</v>
      </c>
      <c r="D48" s="139">
        <v>88316</v>
      </c>
      <c r="E48" s="140" t="str">
        <f>IF($D48&lt;&gt;"",VLOOKUP($D48,'SINAPI JULHO 2018'!$A$1:G11401,2,FALSE),"")</f>
        <v>SERVENTE COM ENCARGOS COMPLEMENTARES</v>
      </c>
      <c r="F48" s="141" t="str">
        <f>IF($D48&lt;&gt;"",VLOOKUP($D48,'SINAPI JULHO 2018'!$1:$1048576,3,FALSE),"")</f>
        <v>H</v>
      </c>
      <c r="G48" s="142">
        <v>0.5</v>
      </c>
      <c r="H48" s="144">
        <f>IF($D48&lt;&gt;"",VLOOKUP($D48,'SINAPI JULHO 2018'!$1:$1048576,4,FALSE),"")</f>
        <v>14.31</v>
      </c>
      <c r="I48" s="148">
        <f>TRUNC(G48*H48,2)</f>
        <v>7.15</v>
      </c>
    </row>
    <row r="49" spans="2:13">
      <c r="B49" s="135"/>
      <c r="E49" s="175"/>
      <c r="F49" s="176"/>
      <c r="G49" s="67"/>
      <c r="H49" s="177"/>
      <c r="I49" s="143"/>
    </row>
    <row r="50" spans="2:13" s="239" customFormat="1">
      <c r="B50" s="232" t="s">
        <v>13512</v>
      </c>
      <c r="C50" s="188"/>
      <c r="D50" s="233"/>
      <c r="E50" s="241"/>
      <c r="F50" s="188"/>
      <c r="G50" s="125"/>
      <c r="H50" s="242"/>
      <c r="I50" s="243"/>
    </row>
    <row r="51" spans="2:13" s="239" customFormat="1">
      <c r="B51" s="388"/>
      <c r="C51" s="188"/>
      <c r="D51" s="233"/>
      <c r="E51" s="244"/>
      <c r="F51" s="235"/>
      <c r="G51" s="236"/>
      <c r="H51" s="237"/>
      <c r="I51" s="243"/>
    </row>
    <row r="52" spans="2:13" ht="30" customHeight="1">
      <c r="B52" s="418" t="s">
        <v>189</v>
      </c>
      <c r="C52" s="419"/>
      <c r="D52" s="420"/>
      <c r="E52" s="421" t="s">
        <v>13513</v>
      </c>
      <c r="F52" s="422" t="s">
        <v>7283</v>
      </c>
      <c r="G52" s="423">
        <v>1</v>
      </c>
      <c r="H52" s="424"/>
      <c r="I52" s="425">
        <f>SUM(I53:I55)</f>
        <v>88.86</v>
      </c>
    </row>
    <row r="53" spans="2:13" ht="54" customHeight="1">
      <c r="B53" s="131" t="s">
        <v>13502</v>
      </c>
      <c r="C53" s="132" t="s">
        <v>8</v>
      </c>
      <c r="D53" s="139">
        <v>7058</v>
      </c>
      <c r="E53" s="140" t="str">
        <f>IF($D53&lt;&gt;"",VLOOKUP($D53,'SINAPI JULHO 2018'!$A$1:G11406,2,FALSE),"")</f>
        <v>CAMINHÃO BASCULANTE 6 M3 TOCO, PESO BRUTO TOTAL 16.000 KG, CARGA ÚTIL MÁXIMA 11.130 KG, DISTÂNCIA ENTRE EIXOS 5,36 M, POTÊNCIA 185 CV, INCLUSIVE CAÇAMBA METÁLICA - DEPRECIAÇÃO. AF_06/2014</v>
      </c>
      <c r="F53" s="141" t="str">
        <f>IF($D53&lt;&gt;"",VLOOKUP($D53,'SINAPI JULHO 2018'!$1:$1048576,3,FALSE),"")</f>
        <v>H</v>
      </c>
      <c r="G53" s="142">
        <v>3.5</v>
      </c>
      <c r="H53" s="144">
        <f>IF($D53&lt;&gt;"",VLOOKUP($D53,'SINAPI JULHO 2018'!$1:$1048576,4,FALSE),"")</f>
        <v>10.96</v>
      </c>
      <c r="I53" s="148">
        <f>TRUNC(G53*H53,2)</f>
        <v>38.36</v>
      </c>
    </row>
    <row r="54" spans="2:13" ht="30" customHeight="1">
      <c r="B54" s="131" t="s">
        <v>13502</v>
      </c>
      <c r="C54" s="132" t="s">
        <v>8</v>
      </c>
      <c r="D54" s="139">
        <v>88316</v>
      </c>
      <c r="E54" s="140" t="str">
        <f>IF($D54&lt;&gt;"",VLOOKUP($D54,'SINAPI JULHO 2018'!$A$1:G11407,2,FALSE),"")</f>
        <v>SERVENTE COM ENCARGOS COMPLEMENTARES</v>
      </c>
      <c r="F54" s="141" t="str">
        <f>IF($D54&lt;&gt;"",VLOOKUP($D54,'SINAPI JULHO 2018'!$1:$1048576,3,FALSE),"")</f>
        <v>H</v>
      </c>
      <c r="G54" s="142">
        <v>1.5</v>
      </c>
      <c r="H54" s="144">
        <f>IF($D54&lt;&gt;"",VLOOKUP($D54,'SINAPI JULHO 2018'!$1:$1048576,4,FALSE),"")</f>
        <v>14.31</v>
      </c>
      <c r="I54" s="148">
        <f t="shared" ref="I54:I55" si="1">TRUNC(G54*H54,2)</f>
        <v>21.46</v>
      </c>
    </row>
    <row r="55" spans="2:13" ht="25.5">
      <c r="B55" s="131" t="s">
        <v>13514</v>
      </c>
      <c r="C55" s="132" t="s">
        <v>8</v>
      </c>
      <c r="D55" s="139">
        <v>6081</v>
      </c>
      <c r="E55" s="140" t="str">
        <f>IF($D55&lt;&gt;"",VLOOKUP($D55,'SINAPI JULHO 2018'!$A$1:G11408,2,FALSE),"")</f>
        <v>ARGILA OU BARRO PARA ATERRO/REATERRO (COM TRANSPORTE ATE 10 KM)</v>
      </c>
      <c r="F55" s="141" t="str">
        <f>IF($D55&lt;&gt;"",VLOOKUP($D55,'SINAPI JULHO 2018'!$1:$1048576,3,FALSE),"")</f>
        <v xml:space="preserve">M3    </v>
      </c>
      <c r="G55" s="142">
        <v>1</v>
      </c>
      <c r="H55" s="144">
        <f>IF($D55&lt;&gt;"",VLOOKUP($D55,'SINAPI JULHO 2018'!$1:$1048576,4,FALSE),"")</f>
        <v>29.04</v>
      </c>
      <c r="I55" s="148">
        <f t="shared" si="1"/>
        <v>29.04</v>
      </c>
    </row>
    <row r="56" spans="2:13" s="239" customFormat="1">
      <c r="B56" s="232"/>
      <c r="C56" s="188"/>
      <c r="D56" s="233"/>
      <c r="E56" s="244"/>
      <c r="F56" s="235"/>
      <c r="G56" s="236"/>
      <c r="H56" s="237"/>
      <c r="I56" s="243"/>
      <c r="M56" s="245"/>
    </row>
    <row r="57" spans="2:13" s="239" customFormat="1">
      <c r="B57" s="232" t="s">
        <v>13515</v>
      </c>
      <c r="C57" s="16"/>
      <c r="D57" s="136"/>
      <c r="E57" s="280"/>
      <c r="F57" s="225"/>
      <c r="G57" s="67"/>
      <c r="H57" s="226"/>
      <c r="I57" s="143"/>
      <c r="M57" s="245"/>
    </row>
    <row r="58" spans="2:13" s="239" customFormat="1">
      <c r="B58" s="135"/>
      <c r="C58" s="16"/>
      <c r="D58" s="136"/>
      <c r="E58" s="280"/>
      <c r="F58" s="225"/>
      <c r="G58" s="67"/>
      <c r="H58" s="226"/>
      <c r="I58" s="143"/>
      <c r="M58" s="245"/>
    </row>
    <row r="59" spans="2:13" s="239" customFormat="1" ht="51">
      <c r="B59" s="418" t="s">
        <v>13516</v>
      </c>
      <c r="C59" s="419"/>
      <c r="D59" s="420"/>
      <c r="E59" s="421" t="s">
        <v>13517</v>
      </c>
      <c r="F59" s="422" t="s">
        <v>145</v>
      </c>
      <c r="G59" s="423">
        <v>1</v>
      </c>
      <c r="H59" s="424"/>
      <c r="I59" s="425">
        <f>SUM(I60:I69)</f>
        <v>230.83999999999997</v>
      </c>
      <c r="M59" s="245"/>
    </row>
    <row r="60" spans="2:13" s="239" customFormat="1">
      <c r="B60" s="131" t="s">
        <v>13514</v>
      </c>
      <c r="C60" s="132" t="s">
        <v>8</v>
      </c>
      <c r="D60" s="139">
        <v>342</v>
      </c>
      <c r="E60" s="140" t="str">
        <f>IF($D60&lt;&gt;"",VLOOKUP($D60,'SINAPI JULHO 2018'!$A$1:G11413,2,FALSE),"")</f>
        <v>ARAME GALVANIZADO 12 BWG, 2,76 MM (0,048 KG/M)</v>
      </c>
      <c r="F60" s="141" t="str">
        <f>IF($D60&lt;&gt;"",VLOOKUP($D60,'SINAPI JULHO 2018'!$1:$1048576,3,FALSE),"")</f>
        <v xml:space="preserve">KG    </v>
      </c>
      <c r="G60" s="142">
        <v>0.28000000000000003</v>
      </c>
      <c r="H60" s="144">
        <f>IF($D60&lt;&gt;"",VLOOKUP($D60,'SINAPI JULHO 2018'!$1:$1048576,4,FALSE),"")</f>
        <v>13.29</v>
      </c>
      <c r="I60" s="148">
        <f>TRUNC(G60*H60,2)</f>
        <v>3.72</v>
      </c>
      <c r="M60" s="245"/>
    </row>
    <row r="61" spans="2:13" s="239" customFormat="1">
      <c r="B61" s="131" t="s">
        <v>13514</v>
      </c>
      <c r="C61" s="132" t="s">
        <v>8</v>
      </c>
      <c r="D61" s="139">
        <v>5075</v>
      </c>
      <c r="E61" s="140" t="str">
        <f>IF($D61&lt;&gt;"",VLOOKUP($D61,'SINAPI JULHO 2018'!$A$1:G11414,2,FALSE),"")</f>
        <v>PREGO DE ACO POLIDO COM CABECA 18 X 30 (2 3/4 X 10)</v>
      </c>
      <c r="F61" s="141" t="str">
        <f>IF($D61&lt;&gt;"",VLOOKUP($D61,'SINAPI JULHO 2018'!$1:$1048576,3,FALSE),"")</f>
        <v xml:space="preserve">KG    </v>
      </c>
      <c r="G61" s="142">
        <v>0.04</v>
      </c>
      <c r="H61" s="144">
        <f>IF($D61&lt;&gt;"",VLOOKUP($D61,'SINAPI JULHO 2018'!$1:$1048576,4,FALSE),"")</f>
        <v>9.42</v>
      </c>
      <c r="I61" s="148">
        <f t="shared" ref="I61:I69" si="2">TRUNC(G61*H61,2)</f>
        <v>0.37</v>
      </c>
      <c r="M61" s="245"/>
    </row>
    <row r="62" spans="2:13" s="239" customFormat="1" ht="25.5">
      <c r="B62" s="131" t="s">
        <v>13514</v>
      </c>
      <c r="C62" s="132" t="s">
        <v>8</v>
      </c>
      <c r="D62" s="139">
        <v>6188</v>
      </c>
      <c r="E62" s="140" t="str">
        <f>IF($D62&lt;&gt;"",VLOOKUP($D62,'SINAPI JULHO 2018'!$A$1:G11415,2,FALSE),"")</f>
        <v>TABUA MADEIRA 3A QUALIDADE 2,5 X 30CM (1 X 12 ) NAO APARELHADA</v>
      </c>
      <c r="F62" s="141" t="str">
        <f>IF($D62&lt;&gt;"",VLOOKUP($D62,'SINAPI JULHO 2018'!$1:$1048576,3,FALSE),"")</f>
        <v xml:space="preserve">M2    </v>
      </c>
      <c r="G62" s="142">
        <v>4.8000000000000001E-2</v>
      </c>
      <c r="H62" s="144">
        <f>IF($D62&lt;&gt;"",VLOOKUP($D62,'SINAPI JULHO 2018'!$1:$1048576,4,FALSE),"")</f>
        <v>20.05</v>
      </c>
      <c r="I62" s="148">
        <f t="shared" si="2"/>
        <v>0.96</v>
      </c>
      <c r="M62" s="245"/>
    </row>
    <row r="63" spans="2:13" s="239" customFormat="1">
      <c r="B63" s="131" t="s">
        <v>13514</v>
      </c>
      <c r="C63" s="132" t="s">
        <v>8</v>
      </c>
      <c r="D63" s="139">
        <v>6298</v>
      </c>
      <c r="E63" s="140" t="str">
        <f>IF($D63&lt;&gt;"",VLOOKUP($D63,'SINAPI JULHO 2018'!$A$1:G11416,2,FALSE),"")</f>
        <v>TE DE FERRO GALVANIZADO, DE 2"</v>
      </c>
      <c r="F63" s="141" t="str">
        <f>IF($D63&lt;&gt;"",VLOOKUP($D63,'SINAPI JULHO 2018'!$1:$1048576,3,FALSE),"")</f>
        <v xml:space="preserve">UN    </v>
      </c>
      <c r="G63" s="142">
        <v>0.8</v>
      </c>
      <c r="H63" s="144">
        <f>IF($D63&lt;&gt;"",VLOOKUP($D63,'SINAPI JULHO 2018'!$1:$1048576,4,FALSE),"")</f>
        <v>33.54</v>
      </c>
      <c r="I63" s="148">
        <f t="shared" si="2"/>
        <v>26.83</v>
      </c>
      <c r="M63" s="245"/>
    </row>
    <row r="64" spans="2:13" s="239" customFormat="1" ht="25.5">
      <c r="B64" s="131" t="s">
        <v>13514</v>
      </c>
      <c r="C64" s="132" t="s">
        <v>8</v>
      </c>
      <c r="D64" s="139">
        <v>7696</v>
      </c>
      <c r="E64" s="140" t="str">
        <f>IF($D64&lt;&gt;"",VLOOKUP($D64,'SINAPI JULHO 2018'!$A$1:G11417,2,FALSE),"")</f>
        <v>TUBO ACO GALVANIZADO COM COSTURA, CLASSE MEDIA, DN 2", E = *3,65* MM, PESO *5,10* KG/M (NBR 5580)</v>
      </c>
      <c r="F64" s="141" t="str">
        <f>IF($D64&lt;&gt;"",VLOOKUP($D64,'SINAPI JULHO 2018'!$1:$1048576,3,FALSE),"")</f>
        <v xml:space="preserve">M     </v>
      </c>
      <c r="G64" s="142">
        <v>1.59</v>
      </c>
      <c r="H64" s="144">
        <f>IF($D64&lt;&gt;"",VLOOKUP($D64,'SINAPI JULHO 2018'!$1:$1048576,4,FALSE),"")</f>
        <v>39.71</v>
      </c>
      <c r="I64" s="148">
        <f t="shared" si="2"/>
        <v>63.13</v>
      </c>
      <c r="M64" s="245"/>
    </row>
    <row r="65" spans="2:13" s="239" customFormat="1" ht="38.25">
      <c r="B65" s="131" t="s">
        <v>13514</v>
      </c>
      <c r="C65" s="132" t="s">
        <v>8</v>
      </c>
      <c r="D65" s="139">
        <v>10935</v>
      </c>
      <c r="E65" s="140" t="str">
        <f>IF($D65&lt;&gt;"",VLOOKUP($D65,'SINAPI JULHO 2018'!$A$1:G11418,2,FALSE),"")</f>
        <v>TELA DE ARAME GALV REVESTIDO EM PVC, QUADRANGULAR / LOSANGULAR,  FIO 2,77 MM (12 BWG), BITOLA FINAL = *3,8* MM, MALHA  7,5 X 7,5 CM, H = 2 M</v>
      </c>
      <c r="F65" s="141" t="str">
        <f>IF($D65&lt;&gt;"",VLOOKUP($D65,'SINAPI JULHO 2018'!$1:$1048576,3,FALSE),"")</f>
        <v xml:space="preserve">M2    </v>
      </c>
      <c r="G65" s="142">
        <v>1.2</v>
      </c>
      <c r="H65" s="144">
        <f>IF($D65&lt;&gt;"",VLOOKUP($D65,'SINAPI JULHO 2018'!$1:$1048576,4,FALSE),"")</f>
        <v>35.35</v>
      </c>
      <c r="I65" s="148">
        <f t="shared" si="2"/>
        <v>42.42</v>
      </c>
      <c r="M65" s="245"/>
    </row>
    <row r="66" spans="2:13" s="239" customFormat="1">
      <c r="B66" s="131" t="s">
        <v>13518</v>
      </c>
      <c r="C66" s="132" t="s">
        <v>8</v>
      </c>
      <c r="D66" s="139">
        <v>88261</v>
      </c>
      <c r="E66" s="140" t="str">
        <f>IF($D66&lt;&gt;"",VLOOKUP($D66,'SINAPI JULHO 2018'!$A$1:G11419,2,FALSE),"")</f>
        <v>CARPINTEIRO DE ESQUADRIA COM ENCARGOS COMPLEMENTARES</v>
      </c>
      <c r="F66" s="141" t="str">
        <f>IF($D66&lt;&gt;"",VLOOKUP($D66,'SINAPI JULHO 2018'!$1:$1048576,3,FALSE),"")</f>
        <v>H</v>
      </c>
      <c r="G66" s="142">
        <v>1</v>
      </c>
      <c r="H66" s="144">
        <f>IF($D66&lt;&gt;"",VLOOKUP($D66,'SINAPI JULHO 2018'!$1:$1048576,4,FALSE),"")</f>
        <v>18.7</v>
      </c>
      <c r="I66" s="148">
        <f t="shared" si="2"/>
        <v>18.7</v>
      </c>
      <c r="M66" s="245"/>
    </row>
    <row r="67" spans="2:13" s="239" customFormat="1">
      <c r="B67" s="131" t="s">
        <v>13518</v>
      </c>
      <c r="C67" s="132" t="s">
        <v>8</v>
      </c>
      <c r="D67" s="139">
        <v>88309</v>
      </c>
      <c r="E67" s="140" t="str">
        <f>IF($D67&lt;&gt;"",VLOOKUP($D67,'SINAPI JULHO 2018'!$A$1:G11420,2,FALSE),"")</f>
        <v>PEDREIRO COM ENCARGOS COMPLEMENTARES</v>
      </c>
      <c r="F67" s="141" t="str">
        <f>IF($D67&lt;&gt;"",VLOOKUP($D67,'SINAPI JULHO 2018'!$1:$1048576,3,FALSE),"")</f>
        <v>H</v>
      </c>
      <c r="G67" s="142">
        <v>1</v>
      </c>
      <c r="H67" s="144">
        <f>IF($D67&lt;&gt;"",VLOOKUP($D67,'SINAPI JULHO 2018'!$1:$1048576,4,FALSE),"")</f>
        <v>17.600000000000001</v>
      </c>
      <c r="I67" s="148">
        <f t="shared" si="2"/>
        <v>17.600000000000001</v>
      </c>
      <c r="M67" s="245"/>
    </row>
    <row r="68" spans="2:13" s="239" customFormat="1">
      <c r="B68" s="131" t="s">
        <v>13518</v>
      </c>
      <c r="C68" s="132" t="s">
        <v>8</v>
      </c>
      <c r="D68" s="139">
        <v>88315</v>
      </c>
      <c r="E68" s="140" t="str">
        <f>IF($D68&lt;&gt;"",VLOOKUP($D68,'SINAPI JULHO 2018'!$A$1:G11421,2,FALSE),"")</f>
        <v>SERRALHEIRO COM ENCARGOS COMPLEMENTARES</v>
      </c>
      <c r="F68" s="141" t="str">
        <f>IF($D68&lt;&gt;"",VLOOKUP($D68,'SINAPI JULHO 2018'!$1:$1048576,3,FALSE),"")</f>
        <v>H</v>
      </c>
      <c r="G68" s="142">
        <v>0.5</v>
      </c>
      <c r="H68" s="144">
        <f>IF($D68&lt;&gt;"",VLOOKUP($D68,'SINAPI JULHO 2018'!$1:$1048576,4,FALSE),"")</f>
        <v>17.5</v>
      </c>
      <c r="I68" s="148">
        <f t="shared" si="2"/>
        <v>8.75</v>
      </c>
      <c r="M68" s="245"/>
    </row>
    <row r="69" spans="2:13" s="239" customFormat="1">
      <c r="B69" s="131" t="s">
        <v>13518</v>
      </c>
      <c r="C69" s="132" t="s">
        <v>8</v>
      </c>
      <c r="D69" s="139">
        <v>88316</v>
      </c>
      <c r="E69" s="140" t="str">
        <f>IF($D69&lt;&gt;"",VLOOKUP($D69,'SINAPI JULHO 2018'!$A$1:G11422,2,FALSE),"")</f>
        <v>SERVENTE COM ENCARGOS COMPLEMENTARES</v>
      </c>
      <c r="F69" s="141" t="str">
        <f>IF($D69&lt;&gt;"",VLOOKUP($D69,'SINAPI JULHO 2018'!$1:$1048576,3,FALSE),"")</f>
        <v>H</v>
      </c>
      <c r="G69" s="142">
        <v>3.38</v>
      </c>
      <c r="H69" s="144">
        <f>IF($D69&lt;&gt;"",VLOOKUP($D69,'SINAPI JULHO 2018'!$1:$1048576,4,FALSE),"")</f>
        <v>14.31</v>
      </c>
      <c r="I69" s="148">
        <f t="shared" si="2"/>
        <v>48.36</v>
      </c>
      <c r="M69" s="245"/>
    </row>
    <row r="70" spans="2:13" s="239" customFormat="1">
      <c r="B70" s="388"/>
      <c r="C70" s="188"/>
      <c r="D70" s="233"/>
      <c r="E70" s="244"/>
      <c r="F70" s="235"/>
      <c r="G70" s="236"/>
      <c r="H70" s="237"/>
      <c r="I70" s="243"/>
      <c r="M70" s="245"/>
    </row>
    <row r="71" spans="2:13" s="239" customFormat="1" ht="51">
      <c r="B71" s="418" t="s">
        <v>231</v>
      </c>
      <c r="C71" s="419"/>
      <c r="D71" s="420"/>
      <c r="E71" s="421" t="s">
        <v>13519</v>
      </c>
      <c r="F71" s="422" t="s">
        <v>145</v>
      </c>
      <c r="G71" s="423">
        <v>1</v>
      </c>
      <c r="H71" s="424"/>
      <c r="I71" s="425">
        <f>SUM(I72:I81)</f>
        <v>274.85999999999996</v>
      </c>
      <c r="M71" s="245"/>
    </row>
    <row r="72" spans="2:13" s="239" customFormat="1">
      <c r="B72" s="131" t="s">
        <v>13514</v>
      </c>
      <c r="C72" s="132" t="s">
        <v>8</v>
      </c>
      <c r="D72" s="139">
        <v>342</v>
      </c>
      <c r="E72" s="140" t="str">
        <f>IF($D72&lt;&gt;"",VLOOKUP($D72,'SINAPI JULHO 2018'!$A$1:G11425,2,FALSE),"")</f>
        <v>ARAME GALVANIZADO 12 BWG, 2,76 MM (0,048 KG/M)</v>
      </c>
      <c r="F72" s="141" t="str">
        <f>IF($D72&lt;&gt;"",VLOOKUP($D72,'SINAPI JULHO 2018'!$1:$1048576,3,FALSE),"")</f>
        <v xml:space="preserve">KG    </v>
      </c>
      <c r="G72" s="142">
        <v>0.35</v>
      </c>
      <c r="H72" s="144">
        <f>IF($D72&lt;&gt;"",VLOOKUP($D72,'SINAPI JULHO 2018'!$1:$1048576,4,FALSE),"")</f>
        <v>13.29</v>
      </c>
      <c r="I72" s="148">
        <f>TRUNC(G72*H72,2)</f>
        <v>4.6500000000000004</v>
      </c>
      <c r="M72" s="245"/>
    </row>
    <row r="73" spans="2:13" s="239" customFormat="1">
      <c r="B73" s="131" t="s">
        <v>13514</v>
      </c>
      <c r="C73" s="132" t="s">
        <v>8</v>
      </c>
      <c r="D73" s="139">
        <v>5075</v>
      </c>
      <c r="E73" s="140" t="str">
        <f>IF($D73&lt;&gt;"",VLOOKUP($D73,'SINAPI JULHO 2018'!$A$1:G11426,2,FALSE),"")</f>
        <v>PREGO DE ACO POLIDO COM CABECA 18 X 30 (2 3/4 X 10)</v>
      </c>
      <c r="F73" s="141" t="str">
        <f>IF($D73&lt;&gt;"",VLOOKUP($D73,'SINAPI JULHO 2018'!$1:$1048576,3,FALSE),"")</f>
        <v xml:space="preserve">KG    </v>
      </c>
      <c r="G73" s="142">
        <v>0.04</v>
      </c>
      <c r="H73" s="144">
        <f>IF($D73&lt;&gt;"",VLOOKUP($D73,'SINAPI JULHO 2018'!$1:$1048576,4,FALSE),"")</f>
        <v>9.42</v>
      </c>
      <c r="I73" s="148">
        <f t="shared" ref="I73:I93" si="3">TRUNC(G73*H73,2)</f>
        <v>0.37</v>
      </c>
      <c r="M73" s="245"/>
    </row>
    <row r="74" spans="2:13" s="239" customFormat="1" ht="25.5">
      <c r="B74" s="131" t="s">
        <v>13514</v>
      </c>
      <c r="C74" s="132" t="s">
        <v>8</v>
      </c>
      <c r="D74" s="139">
        <v>6188</v>
      </c>
      <c r="E74" s="140" t="str">
        <f>IF($D74&lt;&gt;"",VLOOKUP($D74,'SINAPI JULHO 2018'!$A$1:G11427,2,FALSE),"")</f>
        <v>TABUA MADEIRA 3A QUALIDADE 2,5 X 30CM (1 X 12 ) NAO APARELHADA</v>
      </c>
      <c r="F74" s="141" t="str">
        <f>IF($D74&lt;&gt;"",VLOOKUP($D74,'SINAPI JULHO 2018'!$1:$1048576,3,FALSE),"")</f>
        <v xml:space="preserve">M2    </v>
      </c>
      <c r="G74" s="142">
        <v>4.8000000000000001E-2</v>
      </c>
      <c r="H74" s="144">
        <f>IF($D74&lt;&gt;"",VLOOKUP($D74,'SINAPI JULHO 2018'!$1:$1048576,4,FALSE),"")</f>
        <v>20.05</v>
      </c>
      <c r="I74" s="148">
        <f t="shared" si="3"/>
        <v>0.96</v>
      </c>
      <c r="M74" s="245"/>
    </row>
    <row r="75" spans="2:13" s="239" customFormat="1">
      <c r="B75" s="131" t="s">
        <v>13514</v>
      </c>
      <c r="C75" s="132" t="s">
        <v>8</v>
      </c>
      <c r="D75" s="139">
        <v>6298</v>
      </c>
      <c r="E75" s="140" t="str">
        <f>IF($D75&lt;&gt;"",VLOOKUP($D75,'SINAPI JULHO 2018'!$A$1:G11428,2,FALSE),"")</f>
        <v>TE DE FERRO GALVANIZADO, DE 2"</v>
      </c>
      <c r="F75" s="141" t="str">
        <f>IF($D75&lt;&gt;"",VLOOKUP($D75,'SINAPI JULHO 2018'!$1:$1048576,3,FALSE),"")</f>
        <v xml:space="preserve">UN    </v>
      </c>
      <c r="G75" s="142">
        <v>1.5</v>
      </c>
      <c r="H75" s="144">
        <f>IF($D75&lt;&gt;"",VLOOKUP($D75,'SINAPI JULHO 2018'!$1:$1048576,4,FALSE),"")</f>
        <v>33.54</v>
      </c>
      <c r="I75" s="148">
        <f t="shared" si="3"/>
        <v>50.31</v>
      </c>
      <c r="M75" s="245"/>
    </row>
    <row r="76" spans="2:13" s="239" customFormat="1" ht="25.5">
      <c r="B76" s="131" t="s">
        <v>13514</v>
      </c>
      <c r="C76" s="132" t="s">
        <v>8</v>
      </c>
      <c r="D76" s="139">
        <v>7696</v>
      </c>
      <c r="E76" s="140" t="str">
        <f>IF($D76&lt;&gt;"",VLOOKUP($D76,'SINAPI JULHO 2018'!$A$1:G11429,2,FALSE),"")</f>
        <v>TUBO ACO GALVANIZADO COM COSTURA, CLASSE MEDIA, DN 2", E = *3,65* MM, PESO *5,10* KG/M (NBR 5580)</v>
      </c>
      <c r="F76" s="141" t="str">
        <f>IF($D76&lt;&gt;"",VLOOKUP($D76,'SINAPI JULHO 2018'!$1:$1048576,3,FALSE),"")</f>
        <v xml:space="preserve">M     </v>
      </c>
      <c r="G76" s="142">
        <v>1.75</v>
      </c>
      <c r="H76" s="144">
        <f>IF($D76&lt;&gt;"",VLOOKUP($D76,'SINAPI JULHO 2018'!$1:$1048576,4,FALSE),"")</f>
        <v>39.71</v>
      </c>
      <c r="I76" s="148">
        <f t="shared" si="3"/>
        <v>69.489999999999995</v>
      </c>
      <c r="M76" s="245"/>
    </row>
    <row r="77" spans="2:13" s="239" customFormat="1" ht="38.25">
      <c r="B77" s="131" t="s">
        <v>13514</v>
      </c>
      <c r="C77" s="132" t="s">
        <v>8</v>
      </c>
      <c r="D77" s="139">
        <v>10935</v>
      </c>
      <c r="E77" s="140" t="str">
        <f>IF($D77&lt;&gt;"",VLOOKUP($D77,'SINAPI JULHO 2018'!$A$1:G11430,2,FALSE),"")</f>
        <v>TELA DE ARAME GALV REVESTIDO EM PVC, QUADRANGULAR / LOSANGULAR,  FIO 2,77 MM (12 BWG), BITOLA FINAL = *3,8* MM, MALHA  7,5 X 7,5 CM, H = 2 M</v>
      </c>
      <c r="F77" s="141" t="str">
        <f>IF($D77&lt;&gt;"",VLOOKUP($D77,'SINAPI JULHO 2018'!$1:$1048576,3,FALSE),"")</f>
        <v xml:space="preserve">M2    </v>
      </c>
      <c r="G77" s="142">
        <v>1.2</v>
      </c>
      <c r="H77" s="144">
        <f>IF($D77&lt;&gt;"",VLOOKUP($D77,'SINAPI JULHO 2018'!$1:$1048576,4,FALSE),"")</f>
        <v>35.35</v>
      </c>
      <c r="I77" s="148">
        <f t="shared" si="3"/>
        <v>42.42</v>
      </c>
      <c r="M77" s="245"/>
    </row>
    <row r="78" spans="2:13" s="239" customFormat="1">
      <c r="B78" s="131" t="s">
        <v>13518</v>
      </c>
      <c r="C78" s="132" t="s">
        <v>8</v>
      </c>
      <c r="D78" s="139">
        <v>88261</v>
      </c>
      <c r="E78" s="140" t="str">
        <f>IF($D78&lt;&gt;"",VLOOKUP($D78,'SINAPI JULHO 2018'!$A$1:G11431,2,FALSE),"")</f>
        <v>CARPINTEIRO DE ESQUADRIA COM ENCARGOS COMPLEMENTARES</v>
      </c>
      <c r="F78" s="141" t="str">
        <f>IF($D78&lt;&gt;"",VLOOKUP($D78,'SINAPI JULHO 2018'!$1:$1048576,3,FALSE),"")</f>
        <v>H</v>
      </c>
      <c r="G78" s="142">
        <v>1</v>
      </c>
      <c r="H78" s="144">
        <f>IF($D78&lt;&gt;"",VLOOKUP($D78,'SINAPI JULHO 2018'!$1:$1048576,4,FALSE),"")</f>
        <v>18.7</v>
      </c>
      <c r="I78" s="148">
        <f t="shared" si="3"/>
        <v>18.7</v>
      </c>
      <c r="M78" s="245"/>
    </row>
    <row r="79" spans="2:13" s="239" customFormat="1">
      <c r="B79" s="131" t="s">
        <v>13518</v>
      </c>
      <c r="C79" s="132" t="s">
        <v>8</v>
      </c>
      <c r="D79" s="139">
        <v>88309</v>
      </c>
      <c r="E79" s="140" t="str">
        <f>IF($D79&lt;&gt;"",VLOOKUP($D79,'SINAPI JULHO 2018'!$A$1:G11432,2,FALSE),"")</f>
        <v>PEDREIRO COM ENCARGOS COMPLEMENTARES</v>
      </c>
      <c r="F79" s="141" t="str">
        <f>IF($D79&lt;&gt;"",VLOOKUP($D79,'SINAPI JULHO 2018'!$1:$1048576,3,FALSE),"")</f>
        <v>H</v>
      </c>
      <c r="G79" s="142">
        <v>1</v>
      </c>
      <c r="H79" s="144">
        <f>IF($D79&lt;&gt;"",VLOOKUP($D79,'SINAPI JULHO 2018'!$1:$1048576,4,FALSE),"")</f>
        <v>17.600000000000001</v>
      </c>
      <c r="I79" s="148">
        <f t="shared" si="3"/>
        <v>17.600000000000001</v>
      </c>
      <c r="M79" s="245"/>
    </row>
    <row r="80" spans="2:13" s="239" customFormat="1">
      <c r="B80" s="131" t="s">
        <v>13518</v>
      </c>
      <c r="C80" s="132" t="s">
        <v>8</v>
      </c>
      <c r="D80" s="139">
        <v>88315</v>
      </c>
      <c r="E80" s="140" t="str">
        <f>IF($D80&lt;&gt;"",VLOOKUP($D80,'SINAPI JULHO 2018'!$A$1:G11433,2,FALSE),"")</f>
        <v>SERRALHEIRO COM ENCARGOS COMPLEMENTARES</v>
      </c>
      <c r="F80" s="141" t="str">
        <f>IF($D80&lt;&gt;"",VLOOKUP($D80,'SINAPI JULHO 2018'!$1:$1048576,3,FALSE),"")</f>
        <v>H</v>
      </c>
      <c r="G80" s="142">
        <v>0.75</v>
      </c>
      <c r="H80" s="144">
        <f>IF($D80&lt;&gt;"",VLOOKUP($D80,'SINAPI JULHO 2018'!$1:$1048576,4,FALSE),"")</f>
        <v>17.5</v>
      </c>
      <c r="I80" s="148">
        <f t="shared" si="3"/>
        <v>13.12</v>
      </c>
      <c r="M80" s="245"/>
    </row>
    <row r="81" spans="2:13" s="239" customFormat="1">
      <c r="B81" s="131" t="s">
        <v>13518</v>
      </c>
      <c r="C81" s="132" t="s">
        <v>8</v>
      </c>
      <c r="D81" s="139">
        <v>88316</v>
      </c>
      <c r="E81" s="140" t="str">
        <f>IF($D81&lt;&gt;"",VLOOKUP($D81,'SINAPI JULHO 2018'!$A$1:G11434,2,FALSE),"")</f>
        <v>SERVENTE COM ENCARGOS COMPLEMENTARES</v>
      </c>
      <c r="F81" s="141" t="str">
        <f>IF($D81&lt;&gt;"",VLOOKUP($D81,'SINAPI JULHO 2018'!$1:$1048576,3,FALSE),"")</f>
        <v>H</v>
      </c>
      <c r="G81" s="142">
        <v>4</v>
      </c>
      <c r="H81" s="144">
        <f>IF($D81&lt;&gt;"",VLOOKUP($D81,'SINAPI JULHO 2018'!$1:$1048576,4,FALSE),"")</f>
        <v>14.31</v>
      </c>
      <c r="I81" s="148">
        <f t="shared" si="3"/>
        <v>57.24</v>
      </c>
      <c r="M81" s="245"/>
    </row>
    <row r="82" spans="2:13" s="239" customFormat="1" hidden="1">
      <c r="B82" s="388"/>
      <c r="C82" s="188"/>
      <c r="D82" s="233"/>
      <c r="E82" s="140" t="str">
        <f>IF($D82&lt;&gt;"",VLOOKUP($D82,'SINAPI JULHO 2018'!$A$1:G11435,2,FALSE),"")</f>
        <v/>
      </c>
      <c r="F82" s="141" t="str">
        <f>IF($D82&lt;&gt;"",VLOOKUP($D82,'SINAPI JULHO 2018'!$1:$1048576,3,FALSE),"")</f>
        <v/>
      </c>
      <c r="G82" s="236"/>
      <c r="H82" s="144" t="str">
        <f>IF($D82&lt;&gt;"",VLOOKUP($D82,'SINAPI JULHO 2018'!$1:$1048576,4,FALSE),"")</f>
        <v/>
      </c>
      <c r="I82" s="148" t="e">
        <f t="shared" si="3"/>
        <v>#VALUE!</v>
      </c>
      <c r="M82" s="245"/>
    </row>
    <row r="83" spans="2:13" s="239" customFormat="1" hidden="1">
      <c r="B83" s="388"/>
      <c r="C83" s="188"/>
      <c r="D83" s="233"/>
      <c r="E83" s="140" t="str">
        <f>IF($D83&lt;&gt;"",VLOOKUP($D83,'SINAPI JULHO 2018'!$A$1:G11436,2,FALSE),"")</f>
        <v/>
      </c>
      <c r="F83" s="141" t="str">
        <f>IF($D83&lt;&gt;"",VLOOKUP($D83,'SINAPI JULHO 2018'!$1:$1048576,3,FALSE),"")</f>
        <v/>
      </c>
      <c r="G83" s="236"/>
      <c r="H83" s="144" t="str">
        <f>IF($D83&lt;&gt;"",VLOOKUP($D83,'SINAPI JULHO 2018'!$1:$1048576,4,FALSE),"")</f>
        <v/>
      </c>
      <c r="I83" s="148" t="e">
        <f t="shared" si="3"/>
        <v>#VALUE!</v>
      </c>
      <c r="M83" s="245"/>
    </row>
    <row r="84" spans="2:13" s="239" customFormat="1" hidden="1">
      <c r="B84" s="388"/>
      <c r="C84" s="188"/>
      <c r="D84" s="233"/>
      <c r="E84" s="140" t="str">
        <f>IF($D84&lt;&gt;"",VLOOKUP($D84,'SINAPI JULHO 2018'!$A$1:G11437,2,FALSE),"")</f>
        <v/>
      </c>
      <c r="F84" s="141" t="str">
        <f>IF($D84&lt;&gt;"",VLOOKUP($D84,'SINAPI JULHO 2018'!$1:$1048576,3,FALSE),"")</f>
        <v/>
      </c>
      <c r="G84" s="236"/>
      <c r="H84" s="144" t="str">
        <f>IF($D84&lt;&gt;"",VLOOKUP($D84,'SINAPI JULHO 2018'!$1:$1048576,4,FALSE),"")</f>
        <v/>
      </c>
      <c r="I84" s="148" t="e">
        <f t="shared" si="3"/>
        <v>#VALUE!</v>
      </c>
      <c r="M84" s="245"/>
    </row>
    <row r="85" spans="2:13" s="239" customFormat="1" hidden="1">
      <c r="B85" s="388"/>
      <c r="C85" s="188"/>
      <c r="D85" s="233"/>
      <c r="E85" s="140" t="str">
        <f>IF($D85&lt;&gt;"",VLOOKUP($D85,'SINAPI JULHO 2018'!$A$1:G11438,2,FALSE),"")</f>
        <v/>
      </c>
      <c r="F85" s="141" t="str">
        <f>IF($D85&lt;&gt;"",VLOOKUP($D85,'SINAPI JULHO 2018'!$1:$1048576,3,FALSE),"")</f>
        <v/>
      </c>
      <c r="G85" s="236"/>
      <c r="H85" s="144" t="str">
        <f>IF($D85&lt;&gt;"",VLOOKUP($D85,'SINAPI JULHO 2018'!$1:$1048576,4,FALSE),"")</f>
        <v/>
      </c>
      <c r="I85" s="148" t="e">
        <f t="shared" si="3"/>
        <v>#VALUE!</v>
      </c>
      <c r="M85" s="245"/>
    </row>
    <row r="86" spans="2:13" s="239" customFormat="1" hidden="1">
      <c r="B86" s="388"/>
      <c r="C86" s="188"/>
      <c r="D86" s="233"/>
      <c r="E86" s="140" t="str">
        <f>IF($D86&lt;&gt;"",VLOOKUP($D86,'SINAPI JULHO 2018'!$A$1:G11439,2,FALSE),"")</f>
        <v/>
      </c>
      <c r="F86" s="141" t="str">
        <f>IF($D86&lt;&gt;"",VLOOKUP($D86,'SINAPI JULHO 2018'!$1:$1048576,3,FALSE),"")</f>
        <v/>
      </c>
      <c r="G86" s="236"/>
      <c r="H86" s="144" t="str">
        <f>IF($D86&lt;&gt;"",VLOOKUP($D86,'SINAPI JULHO 2018'!$1:$1048576,4,FALSE),"")</f>
        <v/>
      </c>
      <c r="I86" s="148" t="e">
        <f t="shared" si="3"/>
        <v>#VALUE!</v>
      </c>
      <c r="M86" s="245"/>
    </row>
    <row r="87" spans="2:13" s="239" customFormat="1" hidden="1">
      <c r="B87" s="388"/>
      <c r="C87" s="188"/>
      <c r="D87" s="233"/>
      <c r="E87" s="140" t="str">
        <f>IF($D87&lt;&gt;"",VLOOKUP($D87,'SINAPI JULHO 2018'!$A$1:G11440,2,FALSE),"")</f>
        <v/>
      </c>
      <c r="F87" s="141" t="str">
        <f>IF($D87&lt;&gt;"",VLOOKUP($D87,'SINAPI JULHO 2018'!$1:$1048576,3,FALSE),"")</f>
        <v/>
      </c>
      <c r="G87" s="236"/>
      <c r="H87" s="144" t="str">
        <f>IF($D87&lt;&gt;"",VLOOKUP($D87,'SINAPI JULHO 2018'!$1:$1048576,4,FALSE),"")</f>
        <v/>
      </c>
      <c r="I87" s="148" t="e">
        <f t="shared" si="3"/>
        <v>#VALUE!</v>
      </c>
      <c r="M87" s="245"/>
    </row>
    <row r="88" spans="2:13" s="239" customFormat="1" hidden="1">
      <c r="B88" s="388"/>
      <c r="C88" s="188"/>
      <c r="D88" s="233"/>
      <c r="E88" s="140" t="str">
        <f>IF($D88&lt;&gt;"",VLOOKUP($D88,'SINAPI JULHO 2018'!$A$1:G11441,2,FALSE),"")</f>
        <v/>
      </c>
      <c r="F88" s="141" t="str">
        <f>IF($D88&lt;&gt;"",VLOOKUP($D88,'SINAPI JULHO 2018'!$1:$1048576,3,FALSE),"")</f>
        <v/>
      </c>
      <c r="G88" s="236"/>
      <c r="H88" s="144" t="str">
        <f>IF($D88&lt;&gt;"",VLOOKUP($D88,'SINAPI JULHO 2018'!$1:$1048576,4,FALSE),"")</f>
        <v/>
      </c>
      <c r="I88" s="148" t="e">
        <f t="shared" si="3"/>
        <v>#VALUE!</v>
      </c>
      <c r="M88" s="245"/>
    </row>
    <row r="89" spans="2:13" s="239" customFormat="1" hidden="1">
      <c r="B89" s="388"/>
      <c r="C89" s="188"/>
      <c r="D89" s="233"/>
      <c r="E89" s="140" t="str">
        <f>IF($D89&lt;&gt;"",VLOOKUP($D89,'SINAPI JULHO 2018'!$A$1:G11442,2,FALSE),"")</f>
        <v/>
      </c>
      <c r="F89" s="141" t="str">
        <f>IF($D89&lt;&gt;"",VLOOKUP($D89,'SINAPI JULHO 2018'!$1:$1048576,3,FALSE),"")</f>
        <v/>
      </c>
      <c r="G89" s="236"/>
      <c r="H89" s="144" t="str">
        <f>IF($D89&lt;&gt;"",VLOOKUP($D89,'SINAPI JULHO 2018'!$1:$1048576,4,FALSE),"")</f>
        <v/>
      </c>
      <c r="I89" s="148" t="e">
        <f t="shared" si="3"/>
        <v>#VALUE!</v>
      </c>
      <c r="M89" s="245"/>
    </row>
    <row r="90" spans="2:13" s="239" customFormat="1" hidden="1">
      <c r="B90" s="388"/>
      <c r="C90" s="188"/>
      <c r="D90" s="233"/>
      <c r="E90" s="140" t="str">
        <f>IF($D90&lt;&gt;"",VLOOKUP($D90,'SINAPI JULHO 2018'!$A$1:G11443,2,FALSE),"")</f>
        <v/>
      </c>
      <c r="F90" s="141" t="str">
        <f>IF($D90&lt;&gt;"",VLOOKUP($D90,'SINAPI JULHO 2018'!$1:$1048576,3,FALSE),"")</f>
        <v/>
      </c>
      <c r="G90" s="236"/>
      <c r="H90" s="144" t="str">
        <f>IF($D90&lt;&gt;"",VLOOKUP($D90,'SINAPI JULHO 2018'!$1:$1048576,4,FALSE),"")</f>
        <v/>
      </c>
      <c r="I90" s="148" t="e">
        <f t="shared" si="3"/>
        <v>#VALUE!</v>
      </c>
      <c r="M90" s="245"/>
    </row>
    <row r="91" spans="2:13" s="239" customFormat="1" hidden="1">
      <c r="B91" s="388"/>
      <c r="C91" s="188"/>
      <c r="D91" s="233"/>
      <c r="E91" s="140" t="str">
        <f>IF($D91&lt;&gt;"",VLOOKUP($D91,'SINAPI JULHO 2018'!$A$1:G11444,2,FALSE),"")</f>
        <v/>
      </c>
      <c r="F91" s="141" t="str">
        <f>IF($D91&lt;&gt;"",VLOOKUP($D91,'SINAPI JULHO 2018'!$1:$1048576,3,FALSE),"")</f>
        <v/>
      </c>
      <c r="G91" s="236"/>
      <c r="H91" s="144" t="str">
        <f>IF($D91&lt;&gt;"",VLOOKUP($D91,'SINAPI JULHO 2018'!$1:$1048576,4,FALSE),"")</f>
        <v/>
      </c>
      <c r="I91" s="148" t="e">
        <f t="shared" si="3"/>
        <v>#VALUE!</v>
      </c>
      <c r="M91" s="245"/>
    </row>
    <row r="92" spans="2:13" s="239" customFormat="1" hidden="1">
      <c r="B92" s="388"/>
      <c r="C92" s="188"/>
      <c r="D92" s="233"/>
      <c r="E92" s="140" t="str">
        <f>IF($D92&lt;&gt;"",VLOOKUP($D92,'SINAPI JULHO 2018'!$A$1:G11445,2,FALSE),"")</f>
        <v/>
      </c>
      <c r="F92" s="141" t="str">
        <f>IF($D92&lt;&gt;"",VLOOKUP($D92,'SINAPI JULHO 2018'!$1:$1048576,3,FALSE),"")</f>
        <v/>
      </c>
      <c r="G92" s="236"/>
      <c r="H92" s="144" t="str">
        <f>IF($D92&lt;&gt;"",VLOOKUP($D92,'SINAPI JULHO 2018'!$1:$1048576,4,FALSE),"")</f>
        <v/>
      </c>
      <c r="I92" s="148" t="e">
        <f t="shared" si="3"/>
        <v>#VALUE!</v>
      </c>
      <c r="M92" s="245"/>
    </row>
    <row r="93" spans="2:13" s="239" customFormat="1" hidden="1">
      <c r="B93" s="388"/>
      <c r="C93" s="188"/>
      <c r="D93" s="233"/>
      <c r="E93" s="140" t="str">
        <f>IF($D93&lt;&gt;"",VLOOKUP($D93,'SINAPI JULHO 2018'!$A$1:G11446,2,FALSE),"")</f>
        <v/>
      </c>
      <c r="F93" s="141" t="str">
        <f>IF($D93&lt;&gt;"",VLOOKUP($D93,'SINAPI JULHO 2018'!$1:$1048576,3,FALSE),"")</f>
        <v/>
      </c>
      <c r="G93" s="236"/>
      <c r="H93" s="144" t="str">
        <f>IF($D93&lt;&gt;"",VLOOKUP($D93,'SINAPI JULHO 2018'!$1:$1048576,4,FALSE),"")</f>
        <v/>
      </c>
      <c r="I93" s="148" t="e">
        <f t="shared" si="3"/>
        <v>#VALUE!</v>
      </c>
      <c r="M93" s="245"/>
    </row>
    <row r="94" spans="2:13" s="239" customFormat="1">
      <c r="B94" s="388"/>
      <c r="C94" s="188"/>
      <c r="D94" s="233"/>
      <c r="E94" s="244"/>
      <c r="F94" s="235"/>
      <c r="G94" s="236"/>
      <c r="H94" s="237"/>
      <c r="I94" s="243"/>
      <c r="M94" s="245"/>
    </row>
    <row r="95" spans="2:13" s="239" customFormat="1">
      <c r="B95" s="232" t="s">
        <v>13520</v>
      </c>
      <c r="C95" s="188"/>
      <c r="D95" s="233"/>
      <c r="E95" s="244"/>
      <c r="F95" s="235"/>
      <c r="G95" s="236"/>
      <c r="H95" s="237"/>
      <c r="I95" s="243"/>
      <c r="M95" s="245"/>
    </row>
    <row r="96" spans="2:13" s="239" customFormat="1">
      <c r="B96" s="388"/>
      <c r="C96" s="188"/>
      <c r="D96" s="233"/>
      <c r="E96" s="244"/>
      <c r="F96" s="235"/>
      <c r="G96" s="236"/>
      <c r="H96" s="237"/>
      <c r="I96" s="243"/>
      <c r="M96" s="245"/>
    </row>
    <row r="97" spans="2:13" s="239" customFormat="1">
      <c r="B97" s="418" t="s">
        <v>13521</v>
      </c>
      <c r="C97" s="419"/>
      <c r="D97" s="420"/>
      <c r="E97" s="421" t="s">
        <v>13522</v>
      </c>
      <c r="F97" s="422" t="s">
        <v>178</v>
      </c>
      <c r="G97" s="423">
        <v>1</v>
      </c>
      <c r="H97" s="424"/>
      <c r="I97" s="425">
        <f>SUM(I98:I100)</f>
        <v>321.97000000000003</v>
      </c>
      <c r="M97" s="245"/>
    </row>
    <row r="98" spans="2:13" s="239" customFormat="1" ht="25.5">
      <c r="B98" s="131" t="s">
        <v>13514</v>
      </c>
      <c r="C98" s="132" t="s">
        <v>8</v>
      </c>
      <c r="D98" s="139">
        <v>94964</v>
      </c>
      <c r="E98" s="140" t="str">
        <f>IF($D98&lt;&gt;"",VLOOKUP($D98,'SINAPI JULHO 2018'!$A$1:G11451,2,FALSE),"")</f>
        <v>CONCRETO FCK = 20MPA, TRAÇO 1:2,7:3 (CIMENTO/ AREIA MÉDIA/ BRITA 1)  - PREPARO MECÂNICO COM BETONEIRA 400 L. AF_07/2016</v>
      </c>
      <c r="F98" s="141" t="str">
        <f>IF($D98&lt;&gt;"",VLOOKUP($D98,'SINAPI JULHO 2018'!$1:$1048576,3,FALSE),"")</f>
        <v>M3</v>
      </c>
      <c r="G98" s="142">
        <v>1</v>
      </c>
      <c r="H98" s="144">
        <f>IF($D98&lt;&gt;"",VLOOKUP($D98,'SINAPI JULHO 2018'!$1:$1048576,4,FALSE),"")</f>
        <v>310.08999999999997</v>
      </c>
      <c r="I98" s="148">
        <f t="shared" ref="I98" si="4">TRUNC(G98*H98,2)</f>
        <v>310.08999999999997</v>
      </c>
      <c r="M98" s="245"/>
    </row>
    <row r="99" spans="2:13" s="239" customFormat="1">
      <c r="B99" s="131" t="s">
        <v>13514</v>
      </c>
      <c r="C99" s="132" t="s">
        <v>8</v>
      </c>
      <c r="D99" s="139">
        <v>88309</v>
      </c>
      <c r="E99" s="140" t="str">
        <f>IF($D99&lt;&gt;"",VLOOKUP($D99,'SINAPI JULHO 2018'!$A$1:G11452,2,FALSE),"")</f>
        <v>PEDREIRO COM ENCARGOS COMPLEMENTARES</v>
      </c>
      <c r="F99" s="141" t="str">
        <f>IF($D99&lt;&gt;"",VLOOKUP($D99,'SINAPI JULHO 2018'!$1:$1048576,3,FALSE),"")</f>
        <v>H</v>
      </c>
      <c r="G99" s="142">
        <v>0.35</v>
      </c>
      <c r="H99" s="144">
        <f>IF($D99&lt;&gt;"",VLOOKUP($D99,'SINAPI JULHO 2018'!$1:$1048576,4,FALSE),"")</f>
        <v>17.600000000000001</v>
      </c>
      <c r="I99" s="148">
        <f t="shared" ref="I99:I100" si="5">TRUNC(G99*H99,2)</f>
        <v>6.16</v>
      </c>
      <c r="M99" s="245"/>
    </row>
    <row r="100" spans="2:13" s="239" customFormat="1">
      <c r="B100" s="131" t="s">
        <v>13514</v>
      </c>
      <c r="C100" s="132" t="s">
        <v>8</v>
      </c>
      <c r="D100" s="139">
        <v>88316</v>
      </c>
      <c r="E100" s="140" t="str">
        <f>IF($D100&lt;&gt;"",VLOOKUP($D100,'SINAPI JULHO 2018'!$A$1:G11453,2,FALSE),"")</f>
        <v>SERVENTE COM ENCARGOS COMPLEMENTARES</v>
      </c>
      <c r="F100" s="141" t="str">
        <f>IF($D100&lt;&gt;"",VLOOKUP($D100,'SINAPI JULHO 2018'!$1:$1048576,3,FALSE),"")</f>
        <v>H</v>
      </c>
      <c r="G100" s="142">
        <v>0.4</v>
      </c>
      <c r="H100" s="144">
        <f>IF($D100&lt;&gt;"",VLOOKUP($D100,'SINAPI JULHO 2018'!$1:$1048576,4,FALSE),"")</f>
        <v>14.31</v>
      </c>
      <c r="I100" s="148">
        <f t="shared" si="5"/>
        <v>5.72</v>
      </c>
      <c r="M100" s="245"/>
    </row>
    <row r="101" spans="2:13" s="239" customFormat="1">
      <c r="B101" s="388"/>
      <c r="C101" s="188"/>
      <c r="D101" s="188"/>
      <c r="E101" s="244"/>
      <c r="F101" s="235"/>
      <c r="G101" s="389"/>
      <c r="H101" s="237"/>
      <c r="I101" s="243"/>
      <c r="M101" s="245"/>
    </row>
    <row r="102" spans="2:13" s="239" customFormat="1">
      <c r="B102" s="418" t="s">
        <v>13523</v>
      </c>
      <c r="C102" s="419"/>
      <c r="D102" s="420"/>
      <c r="E102" s="421" t="s">
        <v>13524</v>
      </c>
      <c r="F102" s="422" t="s">
        <v>145</v>
      </c>
      <c r="G102" s="423">
        <v>1</v>
      </c>
      <c r="H102" s="424"/>
      <c r="I102" s="425">
        <f>SUM(I103:I107)</f>
        <v>31.89</v>
      </c>
      <c r="M102" s="245"/>
    </row>
    <row r="103" spans="2:13" s="239" customFormat="1" ht="25.5">
      <c r="B103" s="131" t="s">
        <v>13502</v>
      </c>
      <c r="C103" s="132" t="s">
        <v>8</v>
      </c>
      <c r="D103" s="139">
        <v>94964</v>
      </c>
      <c r="E103" s="140" t="str">
        <f>IF($D103&lt;&gt;"",VLOOKUP($D103,'SINAPI JULHO 2018'!$A$1:G11456,2,FALSE),"")</f>
        <v>CONCRETO FCK = 20MPA, TRAÇO 1:2,7:3 (CIMENTO/ AREIA MÉDIA/ BRITA 1)  - PREPARO MECÂNICO COM BETONEIRA 400 L. AF_07/2016</v>
      </c>
      <c r="F103" s="141" t="str">
        <f>IF($D103&lt;&gt;"",VLOOKUP($D103,'SINAPI JULHO 2018'!$1:$1048576,3,FALSE),"")</f>
        <v>M3</v>
      </c>
      <c r="G103" s="142">
        <f>1*0.04</f>
        <v>0.04</v>
      </c>
      <c r="H103" s="144">
        <f>IF($D103&lt;&gt;"",VLOOKUP($D103,'SINAPI JULHO 2018'!$1:$1048576,4,FALSE),"")</f>
        <v>310.08999999999997</v>
      </c>
      <c r="I103" s="148">
        <f t="shared" ref="I103" si="6">TRUNC(G103*H103,2)</f>
        <v>12.4</v>
      </c>
      <c r="M103" s="245"/>
    </row>
    <row r="104" spans="2:13" s="239" customFormat="1">
      <c r="B104" s="131" t="s">
        <v>13502</v>
      </c>
      <c r="C104" s="132" t="s">
        <v>8</v>
      </c>
      <c r="D104" s="139">
        <v>84123</v>
      </c>
      <c r="E104" s="140" t="str">
        <f>IF($D104&lt;&gt;"",VLOOKUP($D104,'SINAPI JULHO 2018'!$A$1:G11457,2,FALSE),"")</f>
        <v>LIXAMENTO MAN C/ LIXA CALAFATE DE CONCR APARENTE ANTIGO</v>
      </c>
      <c r="F104" s="141" t="str">
        <f>IF($D104&lt;&gt;"",VLOOKUP($D104,'SINAPI JULHO 2018'!$1:$1048576,3,FALSE),"")</f>
        <v>M2</v>
      </c>
      <c r="G104" s="142">
        <v>1</v>
      </c>
      <c r="H104" s="144">
        <f>IF($D104&lt;&gt;"",VLOOKUP($D104,'SINAPI JULHO 2018'!$1:$1048576,4,FALSE),"")</f>
        <v>5.08</v>
      </c>
      <c r="I104" s="148">
        <f t="shared" ref="I104:I107" si="7">TRUNC(G104*H104,2)</f>
        <v>5.08</v>
      </c>
      <c r="M104" s="245"/>
    </row>
    <row r="105" spans="2:13" s="239" customFormat="1">
      <c r="B105" s="131" t="s">
        <v>13502</v>
      </c>
      <c r="C105" s="132" t="s">
        <v>8</v>
      </c>
      <c r="D105" s="139">
        <v>84084</v>
      </c>
      <c r="E105" s="140" t="str">
        <f>IF($D105&lt;&gt;"",VLOOKUP($D105,'SINAPI JULHO 2018'!$A$1:G11458,2,FALSE),"")</f>
        <v>APICOAMENTO MANUAL DE SUPERFICIE DE CONCRETO</v>
      </c>
      <c r="F105" s="141" t="str">
        <f>IF($D105&lt;&gt;"",VLOOKUP($D105,'SINAPI JULHO 2018'!$1:$1048576,3,FALSE),"")</f>
        <v>M2</v>
      </c>
      <c r="G105" s="142">
        <v>1</v>
      </c>
      <c r="H105" s="144">
        <f>IF($D105&lt;&gt;"",VLOOKUP($D105,'SINAPI JULHO 2018'!$1:$1048576,4,FALSE),"")</f>
        <v>5.72</v>
      </c>
      <c r="I105" s="148">
        <f t="shared" si="7"/>
        <v>5.72</v>
      </c>
      <c r="M105" s="245"/>
    </row>
    <row r="106" spans="2:13" s="239" customFormat="1">
      <c r="B106" s="131" t="s">
        <v>13502</v>
      </c>
      <c r="C106" s="132" t="s">
        <v>8</v>
      </c>
      <c r="D106" s="139">
        <v>88309</v>
      </c>
      <c r="E106" s="140" t="str">
        <f>IF($D106&lt;&gt;"",VLOOKUP($D106,'SINAPI JULHO 2018'!$A$1:G11459,2,FALSE),"")</f>
        <v>PEDREIRO COM ENCARGOS COMPLEMENTARES</v>
      </c>
      <c r="F106" s="141" t="str">
        <f>IF($D106&lt;&gt;"",VLOOKUP($D106,'SINAPI JULHO 2018'!$1:$1048576,3,FALSE),"")</f>
        <v>H</v>
      </c>
      <c r="G106" s="142">
        <v>0.25</v>
      </c>
      <c r="H106" s="144">
        <f>IF($D106&lt;&gt;"",VLOOKUP($D106,'SINAPI JULHO 2018'!$1:$1048576,4,FALSE),"")</f>
        <v>17.600000000000001</v>
      </c>
      <c r="I106" s="148">
        <f t="shared" si="7"/>
        <v>4.4000000000000004</v>
      </c>
      <c r="M106" s="245"/>
    </row>
    <row r="107" spans="2:13" s="239" customFormat="1">
      <c r="B107" s="131" t="s">
        <v>13502</v>
      </c>
      <c r="C107" s="132" t="s">
        <v>8</v>
      </c>
      <c r="D107" s="139">
        <v>88316</v>
      </c>
      <c r="E107" s="140" t="str">
        <f>IF($D107&lt;&gt;"",VLOOKUP($D107,'SINAPI JULHO 2018'!$A$1:G11460,2,FALSE),"")</f>
        <v>SERVENTE COM ENCARGOS COMPLEMENTARES</v>
      </c>
      <c r="F107" s="141" t="str">
        <f>IF($D107&lt;&gt;"",VLOOKUP($D107,'SINAPI JULHO 2018'!$1:$1048576,3,FALSE),"")</f>
        <v>H</v>
      </c>
      <c r="G107" s="142">
        <v>0.3</v>
      </c>
      <c r="H107" s="144">
        <f>IF($D107&lt;&gt;"",VLOOKUP($D107,'SINAPI JULHO 2018'!$1:$1048576,4,FALSE),"")</f>
        <v>14.31</v>
      </c>
      <c r="I107" s="148">
        <f t="shared" si="7"/>
        <v>4.29</v>
      </c>
      <c r="M107" s="245"/>
    </row>
    <row r="108" spans="2:13" s="239" customFormat="1">
      <c r="B108" s="388"/>
      <c r="C108" s="188"/>
      <c r="D108" s="233"/>
      <c r="E108" s="244"/>
      <c r="F108" s="235"/>
      <c r="G108" s="236"/>
      <c r="H108" s="237"/>
      <c r="I108" s="243"/>
      <c r="M108" s="245"/>
    </row>
    <row r="109" spans="2:13" s="239" customFormat="1">
      <c r="B109" s="232" t="s">
        <v>13525</v>
      </c>
      <c r="C109" s="188"/>
      <c r="D109" s="233"/>
      <c r="E109" s="244"/>
      <c r="F109" s="235"/>
      <c r="G109" s="236"/>
      <c r="H109" s="237"/>
      <c r="I109" s="243"/>
      <c r="M109" s="245"/>
    </row>
    <row r="110" spans="2:13" s="239" customFormat="1">
      <c r="B110" s="388"/>
      <c r="C110" s="188"/>
      <c r="D110" s="233"/>
      <c r="E110" s="244"/>
      <c r="F110" s="235"/>
      <c r="G110" s="236"/>
      <c r="H110" s="237"/>
      <c r="I110" s="243"/>
      <c r="M110" s="245"/>
    </row>
    <row r="111" spans="2:13" ht="25.5">
      <c r="B111" s="418" t="s">
        <v>13526</v>
      </c>
      <c r="C111" s="419"/>
      <c r="D111" s="420"/>
      <c r="E111" s="421" t="s">
        <v>13527</v>
      </c>
      <c r="F111" s="422" t="s">
        <v>178</v>
      </c>
      <c r="G111" s="423"/>
      <c r="H111" s="424"/>
      <c r="I111" s="425">
        <f>SUM(I112:I114)</f>
        <v>106.53</v>
      </c>
      <c r="M111" s="229"/>
    </row>
    <row r="112" spans="2:13">
      <c r="B112" s="131" t="s">
        <v>13502</v>
      </c>
      <c r="C112" s="132" t="s">
        <v>8</v>
      </c>
      <c r="D112" s="139">
        <v>88316</v>
      </c>
      <c r="E112" s="140" t="str">
        <f>IF($D112&lt;&gt;"",VLOOKUP($D112,'SINAPI JULHO 2018'!$A$1:G11465,2,FALSE),"")</f>
        <v>SERVENTE COM ENCARGOS COMPLEMENTARES</v>
      </c>
      <c r="F112" s="141" t="str">
        <f>IF($D112&lt;&gt;"",VLOOKUP($D112,'SINAPI JULHO 2018'!$1:$1048576,3,FALSE),"")</f>
        <v>H</v>
      </c>
      <c r="G112" s="142">
        <v>1.5</v>
      </c>
      <c r="H112" s="144">
        <f>IF($D112&lt;&gt;"",VLOOKUP($D112,'SINAPI JULHO 2018'!$1:$1048576,4,FALSE),"")</f>
        <v>14.31</v>
      </c>
      <c r="I112" s="148">
        <f t="shared" ref="I112" si="8">TRUNC(G112*H112,2)</f>
        <v>21.46</v>
      </c>
      <c r="M112" s="229"/>
    </row>
    <row r="113" spans="2:13">
      <c r="B113" s="131" t="s">
        <v>13501</v>
      </c>
      <c r="C113" s="132" t="s">
        <v>8</v>
      </c>
      <c r="D113" s="139">
        <v>7253</v>
      </c>
      <c r="E113" s="140" t="str">
        <f>IF($D113&lt;&gt;"",VLOOKUP($D113,'SINAPI JULHO 2018'!$A$1:G11466,2,FALSE),"")</f>
        <v>TERRA VEGETAL (GRANEL)</v>
      </c>
      <c r="F113" s="141" t="str">
        <f>IF($D113&lt;&gt;"",VLOOKUP($D113,'SINAPI JULHO 2018'!$1:$1048576,3,FALSE),"")</f>
        <v xml:space="preserve">M3    </v>
      </c>
      <c r="G113" s="142">
        <v>1</v>
      </c>
      <c r="H113" s="144">
        <f>IF($D113&lt;&gt;"",VLOOKUP($D113,'SINAPI JULHO 2018'!$1:$1048576,4,FALSE),"")</f>
        <v>83.57</v>
      </c>
      <c r="I113" s="148">
        <f t="shared" ref="I113:I114" si="9">TRUNC(G113*H113,2)</f>
        <v>83.57</v>
      </c>
      <c r="M113" s="229"/>
    </row>
    <row r="114" spans="2:13" ht="51">
      <c r="B114" s="131" t="s">
        <v>13502</v>
      </c>
      <c r="C114" s="132" t="s">
        <v>8</v>
      </c>
      <c r="D114" s="139" t="s">
        <v>5546</v>
      </c>
      <c r="E114" s="140" t="str">
        <f>IF($D114&lt;&gt;"",VLOOKUP($D114,'SINAPI JULHO 2018'!$A$1:G11467,2,FALSE),"")</f>
        <v>CARGA E DESCARGA MECANICA DE SOLO UTILIZANDO CAMINHAO BASCULANTE 6,0M3/16T E PA CARREGADEIRA SOBRE PNEUS 128 HP, CAPACIDADE DA CAÇAMBA 1,7 A 2,8 M3, PESO OPERACIONAL 11632 KG</v>
      </c>
      <c r="F114" s="141" t="str">
        <f>IF($D114&lt;&gt;"",VLOOKUP($D114,'SINAPI JULHO 2018'!$1:$1048576,3,FALSE),"")</f>
        <v>M3</v>
      </c>
      <c r="G114" s="142">
        <v>1</v>
      </c>
      <c r="H114" s="144">
        <f>IF($D114&lt;&gt;"",VLOOKUP($D114,'SINAPI JULHO 2018'!$1:$1048576,4,FALSE),"")</f>
        <v>1.5</v>
      </c>
      <c r="I114" s="148">
        <f t="shared" si="9"/>
        <v>1.5</v>
      </c>
      <c r="M114" s="229"/>
    </row>
    <row r="115" spans="2:13" s="239" customFormat="1">
      <c r="B115" s="188"/>
      <c r="C115" s="188"/>
      <c r="D115" s="233"/>
      <c r="E115" s="244"/>
      <c r="F115" s="235"/>
      <c r="G115" s="389"/>
      <c r="H115" s="237"/>
      <c r="I115" s="243"/>
      <c r="M115" s="245"/>
    </row>
    <row r="116" spans="2:13" s="239" customFormat="1">
      <c r="B116" s="418" t="s">
        <v>13528</v>
      </c>
      <c r="C116" s="419"/>
      <c r="D116" s="420"/>
      <c r="E116" s="421" t="s">
        <v>13529</v>
      </c>
      <c r="F116" s="422" t="s">
        <v>5</v>
      </c>
      <c r="G116" s="423"/>
      <c r="H116" s="424"/>
      <c r="I116" s="425">
        <f>SUM(I117:I122)</f>
        <v>813.46999999999991</v>
      </c>
      <c r="M116" s="245"/>
    </row>
    <row r="117" spans="2:13" s="239" customFormat="1" ht="25.5">
      <c r="B117" s="131" t="s">
        <v>13502</v>
      </c>
      <c r="C117" s="132" t="s">
        <v>8</v>
      </c>
      <c r="D117" s="139">
        <v>94963</v>
      </c>
      <c r="E117" s="140" t="str">
        <f>IF($D117&lt;&gt;"",VLOOKUP($D117,'SINAPI JULHO 2018'!$A$1:G11470,2,FALSE),"")</f>
        <v>CONCRETO FCK = 15MPA, TRAÇO 1:3,4:3,5 (CIMENTO/ AREIA MÉDIA/ BRITA 1)  - PREPARO MECÂNICO COM BETONEIRA 400 L. AF_07/2016</v>
      </c>
      <c r="F117" s="141" t="str">
        <f>IF($D117&lt;&gt;"",VLOOKUP($D117,'SINAPI JULHO 2018'!$1:$1048576,3,FALSE),"")</f>
        <v>M3</v>
      </c>
      <c r="G117" s="142">
        <v>2</v>
      </c>
      <c r="H117" s="144">
        <f>IF($D117&lt;&gt;"",VLOOKUP($D117,'SINAPI JULHO 2018'!$1:$1048576,4,FALSE),"")</f>
        <v>282.64</v>
      </c>
      <c r="I117" s="148">
        <f t="shared" ref="I117" si="10">TRUNC(G117*H117,2)</f>
        <v>565.28</v>
      </c>
      <c r="M117" s="245"/>
    </row>
    <row r="118" spans="2:13" s="239" customFormat="1" ht="25.5">
      <c r="B118" s="131" t="s">
        <v>13514</v>
      </c>
      <c r="C118" s="132" t="s">
        <v>8</v>
      </c>
      <c r="D118" s="139">
        <v>6189</v>
      </c>
      <c r="E118" s="140" t="str">
        <f>IF($D118&lt;&gt;"",VLOOKUP($D118,'SINAPI JULHO 2018'!$A$1:G11471,2,FALSE),"")</f>
        <v>TABUA MADEIRA 2A QUALIDADE 2,5 X 30,0CM (1 X 12") NAO APARELHADA</v>
      </c>
      <c r="F118" s="141" t="str">
        <f>IF($D118&lt;&gt;"",VLOOKUP($D118,'SINAPI JULHO 2018'!$1:$1048576,3,FALSE),"")</f>
        <v xml:space="preserve">M     </v>
      </c>
      <c r="G118" s="142">
        <v>10</v>
      </c>
      <c r="H118" s="144">
        <f>IF($D118&lt;&gt;"",VLOOKUP($D118,'SINAPI JULHO 2018'!$1:$1048576,4,FALSE),"")</f>
        <v>6.33</v>
      </c>
      <c r="I118" s="148">
        <f t="shared" ref="I118:I122" si="11">TRUNC(G118*H118,2)</f>
        <v>63.3</v>
      </c>
      <c r="M118" s="245"/>
    </row>
    <row r="119" spans="2:13" s="239" customFormat="1" ht="25.5">
      <c r="B119" s="131" t="s">
        <v>13514</v>
      </c>
      <c r="C119" s="132" t="s">
        <v>8</v>
      </c>
      <c r="D119" s="139">
        <v>4517</v>
      </c>
      <c r="E119" s="140" t="str">
        <f>IF($D119&lt;&gt;"",VLOOKUP($D119,'SINAPI JULHO 2018'!$A$1:G11472,2,FALSE),"")</f>
        <v>PECA DE MADEIRA NATIVA/REGIONAL 2,5 X 7,0 CM (SARRAFO-P/FORMA)</v>
      </c>
      <c r="F119" s="141" t="str">
        <f>IF($D119&lt;&gt;"",VLOOKUP($D119,'SINAPI JULHO 2018'!$1:$1048576,3,FALSE),"")</f>
        <v xml:space="preserve">M     </v>
      </c>
      <c r="G119" s="142">
        <v>10</v>
      </c>
      <c r="H119" s="144">
        <f>IF($D119&lt;&gt;"",VLOOKUP($D119,'SINAPI JULHO 2018'!$1:$1048576,4,FALSE),"")</f>
        <v>1.1599999999999999</v>
      </c>
      <c r="I119" s="148">
        <f t="shared" si="11"/>
        <v>11.6</v>
      </c>
      <c r="M119" s="245"/>
    </row>
    <row r="120" spans="2:13" s="239" customFormat="1">
      <c r="B120" s="131" t="s">
        <v>13502</v>
      </c>
      <c r="C120" s="132" t="s">
        <v>8</v>
      </c>
      <c r="D120" s="139">
        <v>88261</v>
      </c>
      <c r="E120" s="140" t="str">
        <f>IF($D120&lt;&gt;"",VLOOKUP($D120,'SINAPI JULHO 2018'!$A$1:G11473,2,FALSE),"")</f>
        <v>CARPINTEIRO DE ESQUADRIA COM ENCARGOS COMPLEMENTARES</v>
      </c>
      <c r="F120" s="141" t="str">
        <f>IF($D120&lt;&gt;"",VLOOKUP($D120,'SINAPI JULHO 2018'!$1:$1048576,3,FALSE),"")</f>
        <v>H</v>
      </c>
      <c r="G120" s="142">
        <v>3</v>
      </c>
      <c r="H120" s="144">
        <f>IF($D120&lt;&gt;"",VLOOKUP($D120,'SINAPI JULHO 2018'!$1:$1048576,4,FALSE),"")</f>
        <v>18.7</v>
      </c>
      <c r="I120" s="148">
        <f t="shared" si="11"/>
        <v>56.1</v>
      </c>
      <c r="M120" s="245"/>
    </row>
    <row r="121" spans="2:13" s="239" customFormat="1">
      <c r="B121" s="131" t="s">
        <v>13502</v>
      </c>
      <c r="C121" s="132" t="s">
        <v>8</v>
      </c>
      <c r="D121" s="139">
        <v>88309</v>
      </c>
      <c r="E121" s="140" t="str">
        <f>IF($D121&lt;&gt;"",VLOOKUP($D121,'SINAPI JULHO 2018'!$A$1:G11474,2,FALSE),"")</f>
        <v>PEDREIRO COM ENCARGOS COMPLEMENTARES</v>
      </c>
      <c r="F121" s="141" t="str">
        <f>IF($D121&lt;&gt;"",VLOOKUP($D121,'SINAPI JULHO 2018'!$1:$1048576,3,FALSE),"")</f>
        <v>H</v>
      </c>
      <c r="G121" s="142">
        <v>3</v>
      </c>
      <c r="H121" s="144">
        <f>IF($D121&lt;&gt;"",VLOOKUP($D121,'SINAPI JULHO 2018'!$1:$1048576,4,FALSE),"")</f>
        <v>17.600000000000001</v>
      </c>
      <c r="I121" s="148">
        <f t="shared" si="11"/>
        <v>52.8</v>
      </c>
      <c r="M121" s="245"/>
    </row>
    <row r="122" spans="2:13" s="239" customFormat="1">
      <c r="B122" s="131" t="s">
        <v>13502</v>
      </c>
      <c r="C122" s="132" t="s">
        <v>8</v>
      </c>
      <c r="D122" s="139">
        <v>88316</v>
      </c>
      <c r="E122" s="140" t="str">
        <f>IF($D122&lt;&gt;"",VLOOKUP($D122,'SINAPI JULHO 2018'!$A$1:G11475,2,FALSE),"")</f>
        <v>SERVENTE COM ENCARGOS COMPLEMENTARES</v>
      </c>
      <c r="F122" s="141" t="str">
        <f>IF($D122&lt;&gt;"",VLOOKUP($D122,'SINAPI JULHO 2018'!$1:$1048576,3,FALSE),"")</f>
        <v>H</v>
      </c>
      <c r="G122" s="142">
        <v>4.5</v>
      </c>
      <c r="H122" s="144">
        <f>IF($D122&lt;&gt;"",VLOOKUP($D122,'SINAPI JULHO 2018'!$1:$1048576,4,FALSE),"")</f>
        <v>14.31</v>
      </c>
      <c r="I122" s="148">
        <f t="shared" si="11"/>
        <v>64.39</v>
      </c>
      <c r="M122" s="245"/>
    </row>
    <row r="123" spans="2:13" s="239" customFormat="1">
      <c r="B123" s="188"/>
      <c r="C123" s="188"/>
      <c r="D123" s="233"/>
      <c r="E123" s="244"/>
      <c r="F123" s="235"/>
      <c r="G123" s="389"/>
      <c r="H123" s="237"/>
      <c r="I123" s="243"/>
      <c r="M123" s="245"/>
    </row>
    <row r="124" spans="2:13" s="239" customFormat="1">
      <c r="B124" s="232" t="s">
        <v>13530</v>
      </c>
      <c r="C124" s="188"/>
      <c r="D124" s="233"/>
      <c r="E124" s="244"/>
      <c r="F124" s="235"/>
      <c r="G124" s="389"/>
      <c r="H124" s="237"/>
      <c r="I124" s="243"/>
      <c r="M124" s="245"/>
    </row>
    <row r="125" spans="2:13" s="239" customFormat="1">
      <c r="B125" s="188"/>
      <c r="C125" s="188"/>
      <c r="D125" s="233"/>
      <c r="E125" s="244"/>
      <c r="F125" s="235"/>
      <c r="G125" s="389"/>
      <c r="H125" s="237"/>
      <c r="I125" s="243"/>
      <c r="M125" s="245"/>
    </row>
    <row r="126" spans="2:13" s="239" customFormat="1">
      <c r="B126" s="418" t="s">
        <v>13531</v>
      </c>
      <c r="C126" s="419"/>
      <c r="D126" s="420"/>
      <c r="E126" s="421" t="s">
        <v>13532</v>
      </c>
      <c r="F126" s="422" t="s">
        <v>145</v>
      </c>
      <c r="G126" s="423"/>
      <c r="H126" s="424"/>
      <c r="I126" s="425">
        <f>SUM(I127:I134)</f>
        <v>55.769999999999996</v>
      </c>
      <c r="M126" s="245"/>
    </row>
    <row r="127" spans="2:13" s="239" customFormat="1">
      <c r="B127" s="131" t="s">
        <v>13502</v>
      </c>
      <c r="C127" s="132" t="s">
        <v>259</v>
      </c>
      <c r="D127" s="139" t="str">
        <f>B42</f>
        <v>CP-DEM-01</v>
      </c>
      <c r="E127" s="140" t="str">
        <f>IFERROR(VLOOKUP($D127,'SINAPI JULHO 2018'!$1:$1048576,2,0),IFERROR(VLOOKUP($D127,'5-COMP. PROPRIA'!$B$13:$I$518,4,0),""))</f>
        <v>DEMOLIÇÃO DE CONCRETO SIMPLES</v>
      </c>
      <c r="F127" s="141" t="str">
        <f>IFERROR(VLOOKUP($D127,'SINAPI JULHO 2018'!$1:$1048576,2,0),IFERROR(VLOOKUP($D127,'5-COMP. PROPRIA'!$B$13:$I$518,5,0),""))</f>
        <v>M3</v>
      </c>
      <c r="G127" s="142">
        <v>7.0000000000000007E-2</v>
      </c>
      <c r="H127" s="144">
        <f>IFERROR(VLOOKUP($D127,'SINAPI JULHO 2018'!$1:$1048576,2,0),IFERROR(VLOOKUP($D127,'5-COMP. PROPRIA'!$B$13:$I$518,8,0),""))</f>
        <v>165.98</v>
      </c>
      <c r="I127" s="148">
        <f>TRUNC(G127*H127,2)</f>
        <v>11.61</v>
      </c>
      <c r="M127" s="245"/>
    </row>
    <row r="128" spans="2:13" s="239" customFormat="1" ht="25.5">
      <c r="B128" s="131" t="s">
        <v>13502</v>
      </c>
      <c r="C128" s="132" t="s">
        <v>8</v>
      </c>
      <c r="D128" s="139">
        <v>94319</v>
      </c>
      <c r="E128" s="140" t="str">
        <f>IF($D128&lt;&gt;"",VLOOKUP($D128,'SINAPI JULHO 2018'!$A$1:G11481,2,FALSE),"")</f>
        <v>ATERRO MANUAL DE VALAS COM SOLO ARGILO-ARENOSO E COMPACTAÇÃO MECANIZADA. AF_05/2016</v>
      </c>
      <c r="F128" s="141" t="str">
        <f>IF($D128&lt;&gt;"",VLOOKUP($D128,'SINAPI JULHO 2018'!$1:$1048576,3,FALSE),"")</f>
        <v>M3</v>
      </c>
      <c r="G128" s="142">
        <v>0.05</v>
      </c>
      <c r="H128" s="144">
        <f>IF($D128&lt;&gt;"",VLOOKUP($D128,'SINAPI JULHO 2018'!$1:$1048576,4,FALSE),"")</f>
        <v>31.23</v>
      </c>
      <c r="I128" s="148">
        <f t="shared" ref="I128" si="12">TRUNC(G128*H128,2)</f>
        <v>1.56</v>
      </c>
      <c r="M128" s="245"/>
    </row>
    <row r="129" spans="2:13" s="239" customFormat="1" ht="25.5">
      <c r="B129" s="131" t="s">
        <v>13514</v>
      </c>
      <c r="C129" s="132" t="s">
        <v>8</v>
      </c>
      <c r="D129" s="139">
        <v>370</v>
      </c>
      <c r="E129" s="140" t="str">
        <f>IF($D129&lt;&gt;"",VLOOKUP($D129,'SINAPI JULHO 2018'!$A$1:G11482,2,FALSE),"")</f>
        <v>AREIA MEDIA - POSTO JAZIDA/FORNECEDOR (RETIRADO NA JAZIDA, SEM TRANSPORTE)</v>
      </c>
      <c r="F129" s="141" t="str">
        <f>IF($D129&lt;&gt;"",VLOOKUP($D129,'SINAPI JULHO 2018'!$1:$1048576,3,FALSE),"")</f>
        <v xml:space="preserve">M3    </v>
      </c>
      <c r="G129" s="142">
        <v>0.02</v>
      </c>
      <c r="H129" s="144">
        <f>IF($D129&lt;&gt;"",VLOOKUP($D129,'SINAPI JULHO 2018'!$1:$1048576,4,FALSE),"")</f>
        <v>62.75</v>
      </c>
      <c r="I129" s="148">
        <f t="shared" ref="I129:I134" si="13">TRUNC(G129*H129,2)</f>
        <v>1.25</v>
      </c>
      <c r="M129" s="245"/>
    </row>
    <row r="130" spans="2:13" s="239" customFormat="1" ht="25.5">
      <c r="B130" s="131" t="s">
        <v>13514</v>
      </c>
      <c r="C130" s="132" t="s">
        <v>8</v>
      </c>
      <c r="D130" s="139">
        <v>4517</v>
      </c>
      <c r="E130" s="140" t="str">
        <f>IF($D130&lt;&gt;"",VLOOKUP($D130,'SINAPI JULHO 2018'!$A$1:G11483,2,FALSE),"")</f>
        <v>PECA DE MADEIRA NATIVA/REGIONAL 2,5 X 7,0 CM (SARRAFO-P/FORMA)</v>
      </c>
      <c r="F130" s="141" t="str">
        <f>IF($D130&lt;&gt;"",VLOOKUP($D130,'SINAPI JULHO 2018'!$1:$1048576,3,FALSE),"")</f>
        <v xml:space="preserve">M     </v>
      </c>
      <c r="G130" s="142">
        <v>0.2</v>
      </c>
      <c r="H130" s="144">
        <f>IF($D130&lt;&gt;"",VLOOKUP($D130,'SINAPI JULHO 2018'!$1:$1048576,4,FALSE),"")</f>
        <v>1.1599999999999999</v>
      </c>
      <c r="I130" s="148">
        <f t="shared" si="13"/>
        <v>0.23</v>
      </c>
      <c r="M130" s="245"/>
    </row>
    <row r="131" spans="2:13" s="239" customFormat="1" ht="25.5">
      <c r="B131" s="131" t="s">
        <v>13514</v>
      </c>
      <c r="C131" s="132" t="s">
        <v>8</v>
      </c>
      <c r="D131" s="139">
        <v>6189</v>
      </c>
      <c r="E131" s="140" t="str">
        <f>IF($D131&lt;&gt;"",VLOOKUP($D131,'SINAPI JULHO 2018'!$A$1:G11484,2,FALSE),"")</f>
        <v>TABUA MADEIRA 2A QUALIDADE 2,5 X 30,0CM (1 X 12") NAO APARELHADA</v>
      </c>
      <c r="F131" s="141" t="str">
        <f>IF($D131&lt;&gt;"",VLOOKUP($D131,'SINAPI JULHO 2018'!$1:$1048576,3,FALSE),"")</f>
        <v xml:space="preserve">M     </v>
      </c>
      <c r="G131" s="142">
        <v>8.3000000000000004E-2</v>
      </c>
      <c r="H131" s="144">
        <f>IF($D131&lt;&gt;"",VLOOKUP($D131,'SINAPI JULHO 2018'!$1:$1048576,4,FALSE),"")</f>
        <v>6.33</v>
      </c>
      <c r="I131" s="148">
        <f t="shared" si="13"/>
        <v>0.52</v>
      </c>
      <c r="M131" s="245"/>
    </row>
    <row r="132" spans="2:13" s="239" customFormat="1" ht="25.5">
      <c r="B132" s="131" t="s">
        <v>13518</v>
      </c>
      <c r="C132" s="132" t="s">
        <v>8</v>
      </c>
      <c r="D132" s="139">
        <v>94963</v>
      </c>
      <c r="E132" s="140" t="str">
        <f>IF($D132&lt;&gt;"",VLOOKUP($D132,'SINAPI JULHO 2018'!$A$1:G11485,2,FALSE),"")</f>
        <v>CONCRETO FCK = 15MPA, TRAÇO 1:3,4:3,5 (CIMENTO/ AREIA MÉDIA/ BRITA 1)  - PREPARO MECÂNICO COM BETONEIRA 400 L. AF_07/2016</v>
      </c>
      <c r="F132" s="141" t="str">
        <f>IF($D132&lt;&gt;"",VLOOKUP($D132,'SINAPI JULHO 2018'!$1:$1048576,3,FALSE),"")</f>
        <v>M3</v>
      </c>
      <c r="G132" s="142">
        <v>7.4999999999999997E-2</v>
      </c>
      <c r="H132" s="144">
        <f>IF($D132&lt;&gt;"",VLOOKUP($D132,'SINAPI JULHO 2018'!$1:$1048576,4,FALSE),"")</f>
        <v>282.64</v>
      </c>
      <c r="I132" s="148">
        <f t="shared" si="13"/>
        <v>21.19</v>
      </c>
      <c r="M132" s="245"/>
    </row>
    <row r="133" spans="2:13" s="239" customFormat="1">
      <c r="B133" s="131" t="s">
        <v>13518</v>
      </c>
      <c r="C133" s="132" t="s">
        <v>8</v>
      </c>
      <c r="D133" s="139">
        <v>88309</v>
      </c>
      <c r="E133" s="140" t="str">
        <f>IF($D133&lt;&gt;"",VLOOKUP($D133,'SINAPI JULHO 2018'!$A$1:G11486,2,FALSE),"")</f>
        <v>PEDREIRO COM ENCARGOS COMPLEMENTARES</v>
      </c>
      <c r="F133" s="141" t="str">
        <f>IF($D133&lt;&gt;"",VLOOKUP($D133,'SINAPI JULHO 2018'!$1:$1048576,3,FALSE),"")</f>
        <v>H</v>
      </c>
      <c r="G133" s="142">
        <v>0.55000000000000004</v>
      </c>
      <c r="H133" s="144">
        <f>IF($D133&lt;&gt;"",VLOOKUP($D133,'SINAPI JULHO 2018'!$1:$1048576,4,FALSE),"")</f>
        <v>17.600000000000001</v>
      </c>
      <c r="I133" s="148">
        <f t="shared" si="13"/>
        <v>9.68</v>
      </c>
      <c r="M133" s="245"/>
    </row>
    <row r="134" spans="2:13" s="239" customFormat="1">
      <c r="B134" s="131" t="s">
        <v>13518</v>
      </c>
      <c r="C134" s="132" t="s">
        <v>8</v>
      </c>
      <c r="D134" s="139">
        <v>88316</v>
      </c>
      <c r="E134" s="140" t="str">
        <f>IF($D134&lt;&gt;"",VLOOKUP($D134,'SINAPI JULHO 2018'!$A$1:G11487,2,FALSE),"")</f>
        <v>SERVENTE COM ENCARGOS COMPLEMENTARES</v>
      </c>
      <c r="F134" s="141" t="str">
        <f>IF($D134&lt;&gt;"",VLOOKUP($D134,'SINAPI JULHO 2018'!$1:$1048576,3,FALSE),"")</f>
        <v>H</v>
      </c>
      <c r="G134" s="142">
        <v>0.68</v>
      </c>
      <c r="H134" s="144">
        <f>IF($D134&lt;&gt;"",VLOOKUP($D134,'SINAPI JULHO 2018'!$1:$1048576,4,FALSE),"")</f>
        <v>14.31</v>
      </c>
      <c r="I134" s="148">
        <f t="shared" si="13"/>
        <v>9.73</v>
      </c>
      <c r="M134" s="245"/>
    </row>
    <row r="135" spans="2:13" s="239" customFormat="1">
      <c r="B135" s="388"/>
      <c r="C135" s="188"/>
      <c r="D135" s="233"/>
      <c r="E135" s="241"/>
      <c r="F135" s="188"/>
      <c r="G135" s="125"/>
      <c r="H135" s="242"/>
      <c r="I135" s="243"/>
    </row>
    <row r="136" spans="2:13" s="239" customFormat="1">
      <c r="B136" s="247" t="s">
        <v>254</v>
      </c>
      <c r="C136" s="188"/>
      <c r="D136" s="233"/>
      <c r="E136" s="241"/>
      <c r="F136" s="188"/>
      <c r="G136" s="125"/>
      <c r="H136" s="242"/>
      <c r="I136" s="243"/>
    </row>
    <row r="137" spans="2:13" s="239" customFormat="1">
      <c r="B137" s="388"/>
      <c r="C137" s="188"/>
      <c r="D137" s="233"/>
      <c r="E137" s="241"/>
      <c r="F137" s="188"/>
      <c r="G137" s="125"/>
      <c r="H137" s="242"/>
      <c r="I137" s="243"/>
    </row>
    <row r="138" spans="2:13" s="239" customFormat="1" ht="25.5">
      <c r="B138" s="418" t="s">
        <v>13533</v>
      </c>
      <c r="C138" s="419"/>
      <c r="D138" s="420"/>
      <c r="E138" s="421" t="s">
        <v>13534</v>
      </c>
      <c r="F138" s="422" t="s">
        <v>145</v>
      </c>
      <c r="G138" s="423">
        <v>1</v>
      </c>
      <c r="H138" s="424"/>
      <c r="I138" s="425">
        <f>SUM(I139:I143)</f>
        <v>423.14</v>
      </c>
    </row>
    <row r="139" spans="2:13" s="239" customFormat="1">
      <c r="B139" s="131" t="s">
        <v>13507</v>
      </c>
      <c r="C139" s="132"/>
      <c r="D139" s="139"/>
      <c r="E139" s="140" t="s">
        <v>13535</v>
      </c>
      <c r="F139" s="141" t="s">
        <v>145</v>
      </c>
      <c r="G139" s="142">
        <v>1</v>
      </c>
      <c r="H139" s="144">
        <v>190</v>
      </c>
      <c r="I139" s="148">
        <f t="shared" ref="I139" si="14">TRUNC(H139*G139,2)</f>
        <v>190</v>
      </c>
    </row>
    <row r="140" spans="2:13" s="239" customFormat="1">
      <c r="B140" s="131" t="s">
        <v>13507</v>
      </c>
      <c r="C140" s="132"/>
      <c r="D140" s="139"/>
      <c r="E140" s="140" t="s">
        <v>13536</v>
      </c>
      <c r="F140" s="141" t="s">
        <v>145</v>
      </c>
      <c r="G140" s="142">
        <v>1</v>
      </c>
      <c r="H140" s="144">
        <v>110</v>
      </c>
      <c r="I140" s="148">
        <f t="shared" ref="I140" si="15">TRUNC(H140*G140,2)</f>
        <v>110</v>
      </c>
    </row>
    <row r="141" spans="2:13" s="239" customFormat="1">
      <c r="B141" s="131" t="s">
        <v>13518</v>
      </c>
      <c r="C141" s="132" t="s">
        <v>8</v>
      </c>
      <c r="D141" s="139">
        <v>88315</v>
      </c>
      <c r="E141" s="140" t="str">
        <f>IF($D141&lt;&gt;"",VLOOKUP($D141,'SINAPI JULHO 2018'!$A$1:G11494,2,FALSE),"")</f>
        <v>SERRALHEIRO COM ENCARGOS COMPLEMENTARES</v>
      </c>
      <c r="F141" s="141" t="str">
        <f>IF($D141&lt;&gt;"",VLOOKUP($D141,'SINAPI JULHO 2018'!$1:$1048576,3,FALSE),"")</f>
        <v>H</v>
      </c>
      <c r="G141" s="142">
        <v>4</v>
      </c>
      <c r="H141" s="144">
        <f>IF($D141&lt;&gt;"",VLOOKUP($D141,'SINAPI JULHO 2018'!$1:$1048576,4,FALSE),"")</f>
        <v>17.5</v>
      </c>
      <c r="I141" s="148">
        <f t="shared" ref="I141:I143" si="16">TRUNC(G141*H141,2)</f>
        <v>70</v>
      </c>
    </row>
    <row r="142" spans="2:13" s="239" customFormat="1">
      <c r="B142" s="131" t="s">
        <v>13518</v>
      </c>
      <c r="C142" s="132" t="s">
        <v>8</v>
      </c>
      <c r="D142" s="139">
        <v>88309</v>
      </c>
      <c r="E142" s="140" t="str">
        <f>IF($D142&lt;&gt;"",VLOOKUP($D142,'SINAPI JULHO 2018'!$A$1:G11495,2,FALSE),"")</f>
        <v>PEDREIRO COM ENCARGOS COMPLEMENTARES</v>
      </c>
      <c r="F142" s="141" t="str">
        <f>IF($D142&lt;&gt;"",VLOOKUP($D142,'SINAPI JULHO 2018'!$1:$1048576,3,FALSE),"")</f>
        <v>H</v>
      </c>
      <c r="G142" s="142">
        <v>1.8</v>
      </c>
      <c r="H142" s="144">
        <f>IF($D142&lt;&gt;"",VLOOKUP($D142,'SINAPI JULHO 2018'!$1:$1048576,4,FALSE),"")</f>
        <v>17.600000000000001</v>
      </c>
      <c r="I142" s="148">
        <f t="shared" si="16"/>
        <v>31.68</v>
      </c>
    </row>
    <row r="143" spans="2:13" s="239" customFormat="1">
      <c r="B143" s="131" t="s">
        <v>13518</v>
      </c>
      <c r="C143" s="132" t="s">
        <v>8</v>
      </c>
      <c r="D143" s="139">
        <v>88316</v>
      </c>
      <c r="E143" s="140" t="str">
        <f>IF($D143&lt;&gt;"",VLOOKUP($D143,'SINAPI JULHO 2018'!$A$1:G11496,2,FALSE),"")</f>
        <v>SERVENTE COM ENCARGOS COMPLEMENTARES</v>
      </c>
      <c r="F143" s="141" t="str">
        <f>IF($D143&lt;&gt;"",VLOOKUP($D143,'SINAPI JULHO 2018'!$1:$1048576,3,FALSE),"")</f>
        <v>H</v>
      </c>
      <c r="G143" s="142">
        <v>1.5</v>
      </c>
      <c r="H143" s="144">
        <f>IF($D143&lt;&gt;"",VLOOKUP($D143,'SINAPI JULHO 2018'!$1:$1048576,4,FALSE),"")</f>
        <v>14.31</v>
      </c>
      <c r="I143" s="148">
        <f t="shared" si="16"/>
        <v>21.46</v>
      </c>
    </row>
    <row r="144" spans="2:13" s="239" customFormat="1">
      <c r="B144" s="388"/>
      <c r="C144" s="188"/>
      <c r="D144" s="233"/>
      <c r="E144" s="241"/>
      <c r="F144" s="188"/>
      <c r="G144" s="125"/>
      <c r="H144" s="242"/>
      <c r="I144" s="243"/>
    </row>
    <row r="145" spans="2:9" s="246" customFormat="1">
      <c r="B145" s="247" t="s">
        <v>13537</v>
      </c>
      <c r="C145" s="248"/>
      <c r="D145" s="249"/>
      <c r="E145" s="250"/>
      <c r="F145" s="248"/>
      <c r="G145" s="124"/>
      <c r="H145" s="251"/>
      <c r="I145" s="252"/>
    </row>
    <row r="146" spans="2:9" s="239" customFormat="1">
      <c r="B146" s="247"/>
      <c r="C146" s="188"/>
      <c r="D146" s="233"/>
      <c r="E146" s="241"/>
      <c r="F146" s="188"/>
      <c r="G146" s="125"/>
      <c r="H146" s="242"/>
      <c r="I146" s="243"/>
    </row>
    <row r="147" spans="2:9" s="239" customFormat="1" ht="37.5" customHeight="1">
      <c r="B147" s="418" t="s">
        <v>273</v>
      </c>
      <c r="C147" s="419"/>
      <c r="D147" s="420"/>
      <c r="E147" s="421" t="s">
        <v>13538</v>
      </c>
      <c r="F147" s="422" t="s">
        <v>5</v>
      </c>
      <c r="G147" s="423">
        <v>1</v>
      </c>
      <c r="H147" s="424"/>
      <c r="I147" s="425">
        <f>SUM(I148:I151)</f>
        <v>245.87</v>
      </c>
    </row>
    <row r="148" spans="2:9" s="239" customFormat="1" ht="38.25">
      <c r="B148" s="131" t="s">
        <v>13502</v>
      </c>
      <c r="C148" s="132" t="s">
        <v>8</v>
      </c>
      <c r="D148" s="139">
        <v>95470</v>
      </c>
      <c r="E148" s="140" t="str">
        <f>IF($D148&lt;&gt;"",VLOOKUP($D148,'SINAPI JULHO 2018'!$A$1:G11506,2,FALSE),"")</f>
        <v>VASO SANITARIO SIFONADO CONVENCIONAL COM LOUÇA BRANCA, INCLUSO CONJUNTO DE LIGAÇÃO PARA BACIA SANITÁRIA AJUSTÁVEL - FORNECIMENTO E INSTALAÇÃO. AF_10/2016</v>
      </c>
      <c r="F148" s="141" t="str">
        <f>IF($D148&lt;&gt;"",VLOOKUP($D148,'SINAPI JULHO 2018'!$1:$1048576,3,FALSE),"")</f>
        <v>UN</v>
      </c>
      <c r="G148" s="142">
        <v>1</v>
      </c>
      <c r="H148" s="144">
        <f>IF($D148&lt;&gt;"",VLOOKUP($D148,'SINAPI JULHO 2018'!$1:$1048576,4,FALSE),"")</f>
        <v>166.34</v>
      </c>
      <c r="I148" s="148">
        <f t="shared" ref="I148" si="17">TRUNC(G148*H148,2)</f>
        <v>166.34</v>
      </c>
    </row>
    <row r="149" spans="2:9" s="239" customFormat="1">
      <c r="B149" s="131" t="s">
        <v>13501</v>
      </c>
      <c r="C149" s="132" t="s">
        <v>8</v>
      </c>
      <c r="D149" s="139">
        <v>377</v>
      </c>
      <c r="E149" s="140" t="str">
        <f>IF($D149&lt;&gt;"",VLOOKUP($D149,'SINAPI JULHO 2018'!$A$1:G11507,2,FALSE),"")</f>
        <v>ASSENTO SANITARIO DE PLASTICO, TIPO CONVENCIONAL</v>
      </c>
      <c r="F149" s="141" t="str">
        <f>IF($D149&lt;&gt;"",VLOOKUP($D149,'SINAPI JULHO 2018'!$1:$1048576,3,FALSE),"")</f>
        <v xml:space="preserve">UN    </v>
      </c>
      <c r="G149" s="142">
        <v>1</v>
      </c>
      <c r="H149" s="144">
        <f>IF($D149&lt;&gt;"",VLOOKUP($D149,'SINAPI JULHO 2018'!$1:$1048576,4,FALSE),"")</f>
        <v>22.31</v>
      </c>
      <c r="I149" s="148">
        <f t="shared" ref="I149:I151" si="18">TRUNC(G149*H149,2)</f>
        <v>22.31</v>
      </c>
    </row>
    <row r="150" spans="2:9" s="239" customFormat="1" ht="25.5">
      <c r="B150" s="131" t="s">
        <v>13502</v>
      </c>
      <c r="C150" s="132" t="s">
        <v>8</v>
      </c>
      <c r="D150" s="139">
        <v>88248</v>
      </c>
      <c r="E150" s="140" t="str">
        <f>IF($D150&lt;&gt;"",VLOOKUP($D150,'SINAPI JULHO 2018'!$A$1:G11508,2,FALSE),"")</f>
        <v>AUXILIAR DE ENCANADOR OU BOMBEIRO HIDRÁULICO COM ENCARGOS COMPLEMENTARES</v>
      </c>
      <c r="F150" s="141" t="str">
        <f>IF($D150&lt;&gt;"",VLOOKUP($D150,'SINAPI JULHO 2018'!$1:$1048576,3,FALSE),"")</f>
        <v>H</v>
      </c>
      <c r="G150" s="142">
        <v>1.5</v>
      </c>
      <c r="H150" s="144">
        <f>IF($D150&lt;&gt;"",VLOOKUP($D150,'SINAPI JULHO 2018'!$1:$1048576,4,FALSE),"")</f>
        <v>14.12</v>
      </c>
      <c r="I150" s="148">
        <f t="shared" si="18"/>
        <v>21.18</v>
      </c>
    </row>
    <row r="151" spans="2:9" s="239" customFormat="1" ht="25.5">
      <c r="B151" s="131" t="s">
        <v>13502</v>
      </c>
      <c r="C151" s="132" t="s">
        <v>8</v>
      </c>
      <c r="D151" s="139">
        <v>88267</v>
      </c>
      <c r="E151" s="140" t="str">
        <f>IF($D151&lt;&gt;"",VLOOKUP($D151,'SINAPI JULHO 2018'!$A$1:G11509,2,FALSE),"")</f>
        <v>ENCANADOR OU BOMBEIRO HIDRÁULICO COM ENCARGOS COMPLEMENTARES</v>
      </c>
      <c r="F151" s="141" t="str">
        <f>IF($D151&lt;&gt;"",VLOOKUP($D151,'SINAPI JULHO 2018'!$1:$1048576,3,FALSE),"")</f>
        <v>H</v>
      </c>
      <c r="G151" s="142">
        <v>2</v>
      </c>
      <c r="H151" s="144">
        <f>IF($D151&lt;&gt;"",VLOOKUP($D151,'SINAPI JULHO 2018'!$1:$1048576,4,FALSE),"")</f>
        <v>18.02</v>
      </c>
      <c r="I151" s="148">
        <f t="shared" si="18"/>
        <v>36.04</v>
      </c>
    </row>
    <row r="152" spans="2:9" s="239" customFormat="1">
      <c r="B152" s="388"/>
      <c r="C152" s="188"/>
      <c r="D152" s="233"/>
      <c r="E152" s="241"/>
      <c r="F152" s="188"/>
      <c r="G152" s="125"/>
      <c r="H152" s="242"/>
      <c r="I152" s="243"/>
    </row>
    <row r="153" spans="2:9" ht="30.75" customHeight="1">
      <c r="B153" s="418" t="s">
        <v>296</v>
      </c>
      <c r="C153" s="419"/>
      <c r="D153" s="420"/>
      <c r="E153" s="421" t="s">
        <v>13539</v>
      </c>
      <c r="F153" s="422" t="s">
        <v>5</v>
      </c>
      <c r="G153" s="423">
        <v>1</v>
      </c>
      <c r="H153" s="424"/>
      <c r="I153" s="425">
        <f>SUM(I154:I157)</f>
        <v>706.13</v>
      </c>
    </row>
    <row r="154" spans="2:9" ht="29.25" customHeight="1">
      <c r="B154" s="131" t="s">
        <v>13502</v>
      </c>
      <c r="C154" s="132" t="s">
        <v>8</v>
      </c>
      <c r="D154" s="139">
        <v>88248</v>
      </c>
      <c r="E154" s="140" t="str">
        <f>IF($D154&lt;&gt;"",VLOOKUP($D154,'SINAPI JULHO 2018'!$A$1:G11512,2,FALSE),"")</f>
        <v>AUXILIAR DE ENCANADOR OU BOMBEIRO HIDRÁULICO COM ENCARGOS COMPLEMENTARES</v>
      </c>
      <c r="F154" s="141" t="str">
        <f>IF($D154&lt;&gt;"",VLOOKUP($D154,'SINAPI JULHO 2018'!$1:$1048576,3,FALSE),"")</f>
        <v>H</v>
      </c>
      <c r="G154" s="142">
        <v>1</v>
      </c>
      <c r="H154" s="144">
        <f>IF($D154&lt;&gt;"",VLOOKUP($D154,'SINAPI JULHO 2018'!$1:$1048576,4,FALSE),"")</f>
        <v>14.12</v>
      </c>
      <c r="I154" s="148">
        <f t="shared" ref="I154" si="19">TRUNC(G154*H154,2)</f>
        <v>14.12</v>
      </c>
    </row>
    <row r="155" spans="2:9" ht="25.5" hidden="1" customHeight="1">
      <c r="B155" s="131" t="s">
        <v>13502</v>
      </c>
      <c r="C155" s="132" t="s">
        <v>8</v>
      </c>
      <c r="D155" s="139">
        <v>88267</v>
      </c>
      <c r="E155" s="140" t="str">
        <f>IF($D155&lt;&gt;"",VLOOKUP($D155,'SINAPI JULHO 2018'!$A$1:G11513,2,FALSE),"")</f>
        <v>ENCANADOR OU BOMBEIRO HIDRÁULICO COM ENCARGOS COMPLEMENTARES</v>
      </c>
      <c r="F155" s="141" t="str">
        <f>IF($D155&lt;&gt;"",VLOOKUP($D155,'SINAPI JULHO 2018'!$1:$1048576,3,FALSE),"")</f>
        <v>H</v>
      </c>
      <c r="G155" s="142">
        <v>1</v>
      </c>
      <c r="H155" s="144">
        <f>IF($D155&lt;&gt;"",VLOOKUP($D155,'SINAPI JULHO 2018'!$1:$1048576,4,FALSE),"")</f>
        <v>18.02</v>
      </c>
      <c r="I155" s="148">
        <f t="shared" ref="I155:I157" si="20">TRUNC(G155*H155,2)</f>
        <v>18.02</v>
      </c>
    </row>
    <row r="156" spans="2:9" ht="36.75" customHeight="1">
      <c r="B156" s="131" t="s">
        <v>13514</v>
      </c>
      <c r="C156" s="132" t="s">
        <v>8</v>
      </c>
      <c r="D156" s="139">
        <v>36206</v>
      </c>
      <c r="E156" s="140" t="str">
        <f>IF($D156&lt;&gt;"",VLOOKUP($D156,'SINAPI JULHO 2018'!$A$1:G11514,2,FALSE),"")</f>
        <v>BARRA DE APOIO RETA, EM ACO INOX POLIDO, COMPRIMENTO 90 CM, DIAMETRO MINIMO 3 CM</v>
      </c>
      <c r="F156" s="141" t="str">
        <f>IF($D156&lt;&gt;"",VLOOKUP($D156,'SINAPI JULHO 2018'!$1:$1048576,3,FALSE),"")</f>
        <v xml:space="preserve">UN    </v>
      </c>
      <c r="G156" s="142">
        <v>1</v>
      </c>
      <c r="H156" s="144">
        <f>IF($D156&lt;&gt;"",VLOOKUP($D156,'SINAPI JULHO 2018'!$1:$1048576,4,FALSE),"")</f>
        <v>216.85</v>
      </c>
      <c r="I156" s="148">
        <f t="shared" si="20"/>
        <v>216.85</v>
      </c>
    </row>
    <row r="157" spans="2:9" ht="29.25" customHeight="1">
      <c r="B157" s="131" t="s">
        <v>13514</v>
      </c>
      <c r="C157" s="132" t="s">
        <v>8</v>
      </c>
      <c r="D157" s="139">
        <v>36211</v>
      </c>
      <c r="E157" s="140" t="str">
        <f>IF($D157&lt;&gt;"",VLOOKUP($D157,'SINAPI JULHO 2018'!$A$1:G11515,2,FALSE),"")</f>
        <v>BARRA DE APOIO LAVATORIO, EM ACO INOX POLIDO, *40 X 50* CM,  DIAMETRO MINIMO 3 CM</v>
      </c>
      <c r="F157" s="141" t="str">
        <f>IF($D157&lt;&gt;"",VLOOKUP($D157,'SINAPI JULHO 2018'!$1:$1048576,3,FALSE),"")</f>
        <v xml:space="preserve">UN    </v>
      </c>
      <c r="G157" s="142">
        <v>1</v>
      </c>
      <c r="H157" s="144">
        <f>IF($D157&lt;&gt;"",VLOOKUP($D157,'SINAPI JULHO 2018'!$1:$1048576,4,FALSE),"")</f>
        <v>457.14</v>
      </c>
      <c r="I157" s="148">
        <f t="shared" si="20"/>
        <v>457.14</v>
      </c>
    </row>
    <row r="158" spans="2:9" s="239" customFormat="1">
      <c r="B158" s="388"/>
      <c r="C158" s="188"/>
      <c r="D158" s="233"/>
      <c r="E158" s="241"/>
      <c r="F158" s="188"/>
      <c r="G158" s="125"/>
      <c r="H158" s="242"/>
      <c r="I158" s="243"/>
    </row>
    <row r="159" spans="2:9" s="239" customFormat="1">
      <c r="B159" s="418" t="s">
        <v>13540</v>
      </c>
      <c r="C159" s="419"/>
      <c r="D159" s="420"/>
      <c r="E159" s="421" t="s">
        <v>13541</v>
      </c>
      <c r="F159" s="422" t="s">
        <v>5</v>
      </c>
      <c r="G159" s="423">
        <v>1</v>
      </c>
      <c r="H159" s="424"/>
      <c r="I159" s="425">
        <f>SUM(I160:I163)</f>
        <v>83.34</v>
      </c>
    </row>
    <row r="160" spans="2:9" s="239" customFormat="1" ht="27.75" customHeight="1">
      <c r="B160" s="131" t="s">
        <v>13502</v>
      </c>
      <c r="C160" s="132" t="s">
        <v>8</v>
      </c>
      <c r="D160" s="139">
        <v>3146</v>
      </c>
      <c r="E160" s="140" t="str">
        <f>IF($D160&lt;&gt;"",VLOOKUP($D160,'SINAPI JULHO 2018'!$A$1:G11518,2,FALSE),"")</f>
        <v>FITA VEDA ROSCA EM ROLOS DE 18 MM X 10 M (L X C)</v>
      </c>
      <c r="F160" s="141" t="str">
        <f>IF($D160&lt;&gt;"",VLOOKUP($D160,'SINAPI JULHO 2018'!$1:$1048576,3,FALSE),"")</f>
        <v xml:space="preserve">UN    </v>
      </c>
      <c r="G160" s="142">
        <v>0.15</v>
      </c>
      <c r="H160" s="144">
        <f>IF($D160&lt;&gt;"",VLOOKUP($D160,'SINAPI JULHO 2018'!$1:$1048576,4,FALSE),"")</f>
        <v>3</v>
      </c>
      <c r="I160" s="148">
        <f t="shared" ref="I160" si="21">TRUNC(G160*H160,2)</f>
        <v>0.45</v>
      </c>
    </row>
    <row r="161" spans="2:9" s="239" customFormat="1" ht="34.5" customHeight="1">
      <c r="B161" s="131" t="s">
        <v>13502</v>
      </c>
      <c r="C161" s="132" t="s">
        <v>8</v>
      </c>
      <c r="D161" s="139">
        <v>11764</v>
      </c>
      <c r="E161" s="140" t="str">
        <f>IF($D161&lt;&gt;"",VLOOKUP($D161,'SINAPI JULHO 2018'!$A$1:G11519,2,FALSE),"")</f>
        <v>TORNEIRA METALICA DE BOIA CONVENCIONAL PARA CAIXA D'AGUA, 1.1/4", COM HASTE METALICA E BALAO PLASTICO</v>
      </c>
      <c r="F161" s="141" t="str">
        <f>IF($D161&lt;&gt;"",VLOOKUP($D161,'SINAPI JULHO 2018'!$1:$1048576,3,FALSE),"")</f>
        <v xml:space="preserve">UN    </v>
      </c>
      <c r="G161" s="142">
        <v>1</v>
      </c>
      <c r="H161" s="144">
        <f>IF($D161&lt;&gt;"",VLOOKUP($D161,'SINAPI JULHO 2018'!$1:$1048576,4,FALSE),"")</f>
        <v>56.97</v>
      </c>
      <c r="I161" s="148">
        <f t="shared" ref="I161:I163" si="22">TRUNC(G161*H161,2)</f>
        <v>56.97</v>
      </c>
    </row>
    <row r="162" spans="2:9" s="239" customFormat="1">
      <c r="B162" s="131" t="s">
        <v>13502</v>
      </c>
      <c r="C162" s="132" t="s">
        <v>8</v>
      </c>
      <c r="D162" s="139">
        <v>88247</v>
      </c>
      <c r="E162" s="140" t="str">
        <f>IF($D162&lt;&gt;"",VLOOKUP($D162,'SINAPI JULHO 2018'!$A$1:G11520,2,FALSE),"")</f>
        <v>AUXILIAR DE ELETRICISTA COM ENCARGOS COMPLEMENTARES</v>
      </c>
      <c r="F162" s="141" t="str">
        <f>IF($D162&lt;&gt;"",VLOOKUP($D162,'SINAPI JULHO 2018'!$1:$1048576,3,FALSE),"")</f>
        <v>H</v>
      </c>
      <c r="G162" s="142">
        <v>0.8</v>
      </c>
      <c r="H162" s="144">
        <f>IF($D162&lt;&gt;"",VLOOKUP($D162,'SINAPI JULHO 2018'!$1:$1048576,4,FALSE),"")</f>
        <v>14.19</v>
      </c>
      <c r="I162" s="148">
        <f t="shared" si="22"/>
        <v>11.35</v>
      </c>
    </row>
    <row r="163" spans="2:9" s="239" customFormat="1">
      <c r="B163" s="131" t="s">
        <v>13502</v>
      </c>
      <c r="C163" s="132" t="s">
        <v>8</v>
      </c>
      <c r="D163" s="139">
        <v>88264</v>
      </c>
      <c r="E163" s="140" t="str">
        <f>IF($D163&lt;&gt;"",VLOOKUP($D163,'SINAPI JULHO 2018'!$A$1:G11521,2,FALSE),"")</f>
        <v>ELETRICISTA COM ENCARGOS COMPLEMENTARES</v>
      </c>
      <c r="F163" s="141" t="str">
        <f>IF($D163&lt;&gt;"",VLOOKUP($D163,'SINAPI JULHO 2018'!$1:$1048576,3,FALSE),"")</f>
        <v>H</v>
      </c>
      <c r="G163" s="142">
        <v>0.8</v>
      </c>
      <c r="H163" s="144">
        <f>IF($D163&lt;&gt;"",VLOOKUP($D163,'SINAPI JULHO 2018'!$1:$1048576,4,FALSE),"")</f>
        <v>18.22</v>
      </c>
      <c r="I163" s="148">
        <f t="shared" si="22"/>
        <v>14.57</v>
      </c>
    </row>
    <row r="164" spans="2:9" s="239" customFormat="1">
      <c r="B164" s="16"/>
      <c r="C164" s="16"/>
      <c r="D164" s="400"/>
      <c r="E164" s="175"/>
      <c r="F164" s="176"/>
      <c r="G164" s="397"/>
      <c r="H164" s="177"/>
      <c r="I164" s="226"/>
    </row>
    <row r="165" spans="2:9" s="239" customFormat="1">
      <c r="B165" s="418" t="s">
        <v>13542</v>
      </c>
      <c r="C165" s="419"/>
      <c r="D165" s="420"/>
      <c r="E165" s="421" t="s">
        <v>13543</v>
      </c>
      <c r="F165" s="422" t="s">
        <v>5</v>
      </c>
      <c r="G165" s="423">
        <v>1</v>
      </c>
      <c r="H165" s="424"/>
      <c r="I165" s="425">
        <f>SUM(I166:I175)</f>
        <v>638.86</v>
      </c>
    </row>
    <row r="166" spans="2:9" s="239" customFormat="1" ht="25.5">
      <c r="B166" s="131" t="s">
        <v>13502</v>
      </c>
      <c r="C166" s="132" t="s">
        <v>8</v>
      </c>
      <c r="D166" s="139">
        <v>1350</v>
      </c>
      <c r="E166" s="140" t="str">
        <f>IF($D166&lt;&gt;"",VLOOKUP($D166,'SINAPI JULHO 2018'!$A$1:G11524,2,FALSE),"")</f>
        <v>CHAPA DE MADEIRA COMPENSADA RESINADA PARA FORMA DE CONCRETO, DE *2,2 X 1,1* M, E = 10 MM</v>
      </c>
      <c r="F166" s="141" t="str">
        <f>IF($D166&lt;&gt;"",VLOOKUP($D166,'SINAPI JULHO 2018'!$1:$1048576,3,FALSE),"")</f>
        <v xml:space="preserve">UN    </v>
      </c>
      <c r="G166" s="142">
        <v>2.1</v>
      </c>
      <c r="H166" s="144">
        <f>IF($D166&lt;&gt;"",VLOOKUP($D166,'SINAPI JULHO 2018'!$1:$1048576,4,FALSE),"")</f>
        <v>37</v>
      </c>
      <c r="I166" s="148">
        <f t="shared" ref="I166:I167" si="23">TRUNC(G166*H166,2)</f>
        <v>77.7</v>
      </c>
    </row>
    <row r="167" spans="2:9" s="239" customFormat="1" ht="25.5">
      <c r="B167" s="131" t="s">
        <v>13502</v>
      </c>
      <c r="C167" s="132" t="s">
        <v>8</v>
      </c>
      <c r="D167" s="139">
        <v>3992</v>
      </c>
      <c r="E167" s="140" t="str">
        <f>IF($D167&lt;&gt;"",VLOOKUP($D167,'SINAPI JULHO 2018'!$A$1:G11525,2,FALSE),"")</f>
        <v>TABUA DE MADEIRA APARELHADA *2,5 X 30* CM, MACARANDUBA, ANGELIM OU EQUIVALENTE DA REGIAO</v>
      </c>
      <c r="F167" s="141" t="str">
        <f>IF($D167&lt;&gt;"",VLOOKUP($D167,'SINAPI JULHO 2018'!$1:$1048576,3,FALSE),"")</f>
        <v xml:space="preserve">M     </v>
      </c>
      <c r="G167" s="142">
        <v>12</v>
      </c>
      <c r="H167" s="144">
        <f>IF($D167&lt;&gt;"",VLOOKUP($D167,'SINAPI JULHO 2018'!$1:$1048576,4,FALSE),"")</f>
        <v>14.15</v>
      </c>
      <c r="I167" s="148">
        <f t="shared" si="23"/>
        <v>169.8</v>
      </c>
    </row>
    <row r="168" spans="2:9" s="239" customFormat="1" ht="25.5">
      <c r="B168" s="131" t="s">
        <v>13502</v>
      </c>
      <c r="C168" s="132" t="s">
        <v>8</v>
      </c>
      <c r="D168" s="139">
        <v>3993</v>
      </c>
      <c r="E168" s="140" t="str">
        <f>IF($D168&lt;&gt;"",VLOOKUP($D168,'SINAPI JULHO 2018'!$A$1:G11526,2,FALSE),"")</f>
        <v>TABUA DE MADEIRA APARELHADA *2,5 X 15* CM, MACARANDUBA, ANGELIM OU EQUIVALENTE DA REGIAO</v>
      </c>
      <c r="F168" s="141" t="str">
        <f>IF($D168&lt;&gt;"",VLOOKUP($D168,'SINAPI JULHO 2018'!$1:$1048576,3,FALSE),"")</f>
        <v xml:space="preserve">M2    </v>
      </c>
      <c r="G168" s="142">
        <v>2.64</v>
      </c>
      <c r="H168" s="144">
        <f>IF($D168&lt;&gt;"",VLOOKUP($D168,'SINAPI JULHO 2018'!$1:$1048576,4,FALSE),"")</f>
        <v>52.15</v>
      </c>
      <c r="I168" s="148">
        <f t="shared" ref="I168:I175" si="24">TRUNC(G168*H168,2)</f>
        <v>137.66999999999999</v>
      </c>
    </row>
    <row r="169" spans="2:9" s="239" customFormat="1" ht="25.5">
      <c r="B169" s="131" t="s">
        <v>13502</v>
      </c>
      <c r="C169" s="132" t="s">
        <v>8</v>
      </c>
      <c r="D169" s="139">
        <v>4433</v>
      </c>
      <c r="E169" s="140" t="str">
        <f>IF($D169&lt;&gt;"",VLOOKUP($D169,'SINAPI JULHO 2018'!$A$1:G11527,2,FALSE),"")</f>
        <v>PECA DE MADEIRA NAO APARELHADA *7,5 X 7,5* CM (3 X 3 ") MACARANDUBA, ANGELIM OU EQUIVALENTE DA REGIAO</v>
      </c>
      <c r="F169" s="141" t="str">
        <f>IF($D169&lt;&gt;"",VLOOKUP($D169,'SINAPI JULHO 2018'!$1:$1048576,3,FALSE),"")</f>
        <v xml:space="preserve">M     </v>
      </c>
      <c r="G169" s="142">
        <v>24</v>
      </c>
      <c r="H169" s="144">
        <f>IF($D169&lt;&gt;"",VLOOKUP($D169,'SINAPI JULHO 2018'!$1:$1048576,4,FALSE),"")</f>
        <v>6.18</v>
      </c>
      <c r="I169" s="148">
        <f t="shared" si="24"/>
        <v>148.32</v>
      </c>
    </row>
    <row r="170" spans="2:9" s="239" customFormat="1">
      <c r="B170" s="131" t="s">
        <v>13502</v>
      </c>
      <c r="C170" s="132" t="s">
        <v>8</v>
      </c>
      <c r="D170" s="139">
        <v>5061</v>
      </c>
      <c r="E170" s="140" t="str">
        <f>IF($D170&lt;&gt;"",VLOOKUP($D170,'SINAPI JULHO 2018'!$A$1:G11528,2,FALSE),"")</f>
        <v>PREGO DE ACO POLIDO COM CABECA 18 X 27 (2 1/2 X 10)</v>
      </c>
      <c r="F170" s="141" t="str">
        <f>IF($D170&lt;&gt;"",VLOOKUP($D170,'SINAPI JULHO 2018'!$1:$1048576,3,FALSE),"")</f>
        <v xml:space="preserve">KG    </v>
      </c>
      <c r="G170" s="142">
        <v>0.95</v>
      </c>
      <c r="H170" s="144">
        <f>IF($D170&lt;&gt;"",VLOOKUP($D170,'SINAPI JULHO 2018'!$1:$1048576,4,FALSE),"")</f>
        <v>9.26</v>
      </c>
      <c r="I170" s="148">
        <f t="shared" si="24"/>
        <v>8.7899999999999991</v>
      </c>
    </row>
    <row r="171" spans="2:9" s="239" customFormat="1" ht="38.25">
      <c r="B171" s="131" t="s">
        <v>13502</v>
      </c>
      <c r="C171" s="132" t="s">
        <v>8</v>
      </c>
      <c r="D171" s="139">
        <v>34492</v>
      </c>
      <c r="E171" s="140" t="str">
        <f>IF($D171&lt;&gt;"",VLOOKUP($D171,'SINAPI JULHO 2018'!$A$1:G11529,2,FALSE),"")</f>
        <v>CONCRETO USINADO BOMBEAVEL, CLASSE DE RESISTENCIA C20, COM BRITA 0 E 1, SLUMP = 100 +/- 20 MM, EXCLUI SERVICO DE BOMBEAMENTO (NBR 8953)</v>
      </c>
      <c r="F171" s="141" t="str">
        <f>IF($D171&lt;&gt;"",VLOOKUP($D171,'SINAPI JULHO 2018'!$1:$1048576,3,FALSE),"")</f>
        <v xml:space="preserve">M3    </v>
      </c>
      <c r="G171" s="142">
        <v>0.05</v>
      </c>
      <c r="H171" s="144">
        <f>IF($D171&lt;&gt;"",VLOOKUP($D171,'SINAPI JULHO 2018'!$1:$1048576,4,FALSE),"")</f>
        <v>292.27999999999997</v>
      </c>
      <c r="I171" s="148">
        <f t="shared" si="24"/>
        <v>14.61</v>
      </c>
    </row>
    <row r="172" spans="2:9" s="239" customFormat="1">
      <c r="B172" s="131" t="s">
        <v>13502</v>
      </c>
      <c r="C172" s="132" t="s">
        <v>8</v>
      </c>
      <c r="D172" s="139">
        <v>88239</v>
      </c>
      <c r="E172" s="140" t="str">
        <f>IF($D172&lt;&gt;"",VLOOKUP($D172,'SINAPI JULHO 2018'!$A$1:G11530,2,FALSE),"")</f>
        <v>AJUDANTE DE CARPINTEIRO COM ENCARGOS COMPLEMENTARES</v>
      </c>
      <c r="F172" s="141" t="str">
        <f>IF($D172&lt;&gt;"",VLOOKUP($D172,'SINAPI JULHO 2018'!$1:$1048576,3,FALSE),"")</f>
        <v>H</v>
      </c>
      <c r="G172" s="142">
        <v>2.5</v>
      </c>
      <c r="H172" s="144">
        <f>IF($D172&lt;&gt;"",VLOOKUP($D172,'SINAPI JULHO 2018'!$1:$1048576,4,FALSE),"")</f>
        <v>14.8</v>
      </c>
      <c r="I172" s="148">
        <f t="shared" si="24"/>
        <v>37</v>
      </c>
    </row>
    <row r="173" spans="2:9" s="239" customFormat="1">
      <c r="B173" s="131" t="s">
        <v>13502</v>
      </c>
      <c r="C173" s="132" t="s">
        <v>8</v>
      </c>
      <c r="D173" s="139">
        <v>88262</v>
      </c>
      <c r="E173" s="140" t="str">
        <f>IF($D173&lt;&gt;"",VLOOKUP($D173,'SINAPI JULHO 2018'!$A$1:G11531,2,FALSE),"")</f>
        <v>CARPINTEIRO DE FORMAS COM ENCARGOS COMPLEMENTARES</v>
      </c>
      <c r="F173" s="141" t="str">
        <f>IF($D173&lt;&gt;"",VLOOKUP($D173,'SINAPI JULHO 2018'!$1:$1048576,3,FALSE),"")</f>
        <v>H</v>
      </c>
      <c r="G173" s="142">
        <v>2</v>
      </c>
      <c r="H173" s="144">
        <f>IF($D173&lt;&gt;"",VLOOKUP($D173,'SINAPI JULHO 2018'!$1:$1048576,4,FALSE),"")</f>
        <v>17.5</v>
      </c>
      <c r="I173" s="148">
        <f t="shared" si="24"/>
        <v>35</v>
      </c>
    </row>
    <row r="174" spans="2:9" s="239" customFormat="1" ht="25.5">
      <c r="B174" s="131" t="s">
        <v>13502</v>
      </c>
      <c r="C174" s="132" t="s">
        <v>8</v>
      </c>
      <c r="D174" s="139">
        <v>91692</v>
      </c>
      <c r="E174" s="140" t="str">
        <f>IF($D174&lt;&gt;"",VLOOKUP($D174,'SINAPI JULHO 2018'!$A$1:G11532,2,FALSE),"")</f>
        <v>SERRA CIRCULAR DE BANCADA COM MOTOR ELÉTRICO POTÊNCIA DE 5HP, COM COIFA PARA DISCO 10" - CHP DIURNO. AF_08/2015</v>
      </c>
      <c r="F174" s="141" t="str">
        <f>IF($D174&lt;&gt;"",VLOOKUP($D174,'SINAPI JULHO 2018'!$1:$1048576,3,FALSE),"")</f>
        <v>CHP</v>
      </c>
      <c r="G174" s="142">
        <v>0.12889999999999999</v>
      </c>
      <c r="H174" s="144">
        <f>IF($D174&lt;&gt;"",VLOOKUP($D174,'SINAPI JULHO 2018'!$1:$1048576,4,FALSE),"")</f>
        <v>15.78</v>
      </c>
      <c r="I174" s="148">
        <f t="shared" si="24"/>
        <v>2.0299999999999998</v>
      </c>
    </row>
    <row r="175" spans="2:9" s="239" customFormat="1" ht="25.5">
      <c r="B175" s="131" t="s">
        <v>13502</v>
      </c>
      <c r="C175" s="132" t="s">
        <v>8</v>
      </c>
      <c r="D175" s="139">
        <v>91693</v>
      </c>
      <c r="E175" s="140" t="str">
        <f>IF($D175&lt;&gt;"",VLOOKUP($D175,'SINAPI JULHO 2018'!$A$1:G11533,2,FALSE),"")</f>
        <v>SERRA CIRCULAR DE BANCADA COM MOTOR ELÉTRICO POTÊNCIA DE 5HP, COM COIFA PARA DISCO 10" - CHI DIURNO. AF_08/2015</v>
      </c>
      <c r="F175" s="141" t="str">
        <f>IF($D175&lt;&gt;"",VLOOKUP($D175,'SINAPI JULHO 2018'!$1:$1048576,3,FALSE),"")</f>
        <v>CHI</v>
      </c>
      <c r="G175" s="142">
        <v>0.56340000000000001</v>
      </c>
      <c r="H175" s="144">
        <f>IF($D175&lt;&gt;"",VLOOKUP($D175,'SINAPI JULHO 2018'!$1:$1048576,4,FALSE),"")</f>
        <v>14.11</v>
      </c>
      <c r="I175" s="148">
        <f t="shared" si="24"/>
        <v>7.94</v>
      </c>
    </row>
    <row r="176" spans="2:9" s="239" customFormat="1">
      <c r="B176" s="188"/>
      <c r="C176" s="188"/>
      <c r="D176" s="233"/>
      <c r="E176" s="241"/>
      <c r="F176" s="188"/>
      <c r="G176" s="125"/>
      <c r="H176" s="242"/>
      <c r="I176" s="390"/>
    </row>
    <row r="177" spans="2:9" s="239" customFormat="1">
      <c r="B177" s="418" t="s">
        <v>13544</v>
      </c>
      <c r="C177" s="419"/>
      <c r="D177" s="420"/>
      <c r="E177" s="421" t="s">
        <v>13545</v>
      </c>
      <c r="F177" s="422" t="s">
        <v>5</v>
      </c>
      <c r="G177" s="423">
        <v>1</v>
      </c>
      <c r="H177" s="424"/>
      <c r="I177" s="425">
        <f>SUM(I178:I181)</f>
        <v>9538.7300000000014</v>
      </c>
    </row>
    <row r="178" spans="2:9" s="239" customFormat="1" ht="19.5" customHeight="1">
      <c r="B178" s="131" t="s">
        <v>13502</v>
      </c>
      <c r="C178" s="132" t="s">
        <v>13507</v>
      </c>
      <c r="D178" s="139"/>
      <c r="E178" s="140" t="s">
        <v>13546</v>
      </c>
      <c r="F178" s="141" t="s">
        <v>5</v>
      </c>
      <c r="G178" s="142">
        <v>1</v>
      </c>
      <c r="H178" s="144">
        <v>8000</v>
      </c>
      <c r="I178" s="148">
        <f>TRUNC(G178*H178,2)</f>
        <v>8000</v>
      </c>
    </row>
    <row r="179" spans="2:9" s="239" customFormat="1" ht="65.25" customHeight="1">
      <c r="B179" s="131" t="s">
        <v>13502</v>
      </c>
      <c r="C179" s="132" t="s">
        <v>8</v>
      </c>
      <c r="D179" s="139">
        <v>89913</v>
      </c>
      <c r="E179" s="140" t="str">
        <f>IF($D179&lt;&gt;"",VLOOKUP($D179,'SINAPI JULHO 2018'!$A$1:G11537,2,FALSE),"")</f>
        <v>ESCAVAÇÃO VERTICAL A CÉU ABERTO, INCLUINDO CARGA, DESCARGA E TRANSPORTE, EM SOLO DE 1ª CATEGORIA COM ESCAVADEIRA HIDRÁULICA (CAÇAMBA: 0,8 M³ / 111 HP), FROTA DE 6 CAMINHÕES BASCULANTES DE 18 M³, DMT DE 6 KM E VELOCIDADE MÉDIA 22 KM/H. AF_12/2013</v>
      </c>
      <c r="F179" s="141" t="str">
        <f>IF($D179&lt;&gt;"",VLOOKUP($D179,'SINAPI JULHO 2018'!$1:$1048576,3,FALSE),"")</f>
        <v>M3</v>
      </c>
      <c r="G179" s="142">
        <f>2.83*0.6*3.17*10</f>
        <v>53.826599999999999</v>
      </c>
      <c r="H179" s="144">
        <f>IF($D179&lt;&gt;"",VLOOKUP($D179,'SINAPI JULHO 2018'!$1:$1048576,4,FALSE),"")</f>
        <v>16.920000000000002</v>
      </c>
      <c r="I179" s="148">
        <f t="shared" ref="I179" si="25">TRUNC(G179*H179,2)</f>
        <v>910.74</v>
      </c>
    </row>
    <row r="180" spans="2:9" s="239" customFormat="1" ht="63.75">
      <c r="B180" s="131" t="s">
        <v>13502</v>
      </c>
      <c r="C180" s="132" t="s">
        <v>8</v>
      </c>
      <c r="D180" s="139">
        <v>93366</v>
      </c>
      <c r="E180" s="140" t="str">
        <f>IF($D180&lt;&gt;"",VLOOKUP($D180,'SINAPI JULHO 2018'!$A$1:G11538,2,FALSE),"")</f>
        <v>REATERRO MECANIZADO DE VALA COM ESCAVADEIRA HIDRÁULICA (CAPACIDADE DA CAÇAMBA: 0,8 M³ / POTÊNCIA: 111 HP), LARGURA DE 1,5 A 2,5 M, PROFUNDIDADE DE 4,5 A 6,0 M, COM SOLO (SEM SUBSTITUIÇÃO) DE 1ª CATEGORIA EM LOCAIS COM ALTO NÍVEL DE INTERFERÊNCIA. AF_04/2016</v>
      </c>
      <c r="F180" s="141" t="str">
        <f>IF($D180&lt;&gt;"",VLOOKUP($D180,'SINAPI JULHO 2018'!$1:$1048576,3,FALSE),"")</f>
        <v>M3</v>
      </c>
      <c r="G180" s="142">
        <f>G179</f>
        <v>53.826599999999999</v>
      </c>
      <c r="H180" s="144">
        <f>IF($D180&lt;&gt;"",VLOOKUP($D180,'SINAPI JULHO 2018'!$1:$1048576,4,FALSE),"")</f>
        <v>6.35</v>
      </c>
      <c r="I180" s="148">
        <f t="shared" ref="I180:I181" si="26">TRUNC(G180*H180,2)</f>
        <v>341.79</v>
      </c>
    </row>
    <row r="181" spans="2:9" s="239" customFormat="1">
      <c r="B181" s="131" t="s">
        <v>13502</v>
      </c>
      <c r="C181" s="132" t="s">
        <v>8</v>
      </c>
      <c r="D181" s="139">
        <v>88316</v>
      </c>
      <c r="E181" s="140" t="str">
        <f>IF($D181&lt;&gt;"",VLOOKUP($D181,'SINAPI JULHO 2018'!$A$1:G11539,2,FALSE),"")</f>
        <v>SERVENTE COM ENCARGOS COMPLEMENTARES</v>
      </c>
      <c r="F181" s="141" t="str">
        <f>IF($D181&lt;&gt;"",VLOOKUP($D181,'SINAPI JULHO 2018'!$1:$1048576,3,FALSE),"")</f>
        <v>H</v>
      </c>
      <c r="G181" s="142">
        <v>20</v>
      </c>
      <c r="H181" s="144">
        <f>IF($D181&lt;&gt;"",VLOOKUP($D181,'SINAPI JULHO 2018'!$1:$1048576,4,FALSE),"")</f>
        <v>14.31</v>
      </c>
      <c r="I181" s="148">
        <f t="shared" si="26"/>
        <v>286.2</v>
      </c>
    </row>
    <row r="182" spans="2:9" s="239" customFormat="1">
      <c r="B182" s="188"/>
      <c r="C182" s="188"/>
      <c r="D182" s="233"/>
      <c r="E182" s="241"/>
      <c r="F182" s="188"/>
      <c r="G182" s="125"/>
      <c r="H182" s="242"/>
      <c r="I182" s="390"/>
    </row>
    <row r="183" spans="2:9" s="239" customFormat="1">
      <c r="B183" s="253" t="s">
        <v>13547</v>
      </c>
      <c r="C183" s="188"/>
      <c r="D183" s="233"/>
      <c r="E183" s="241"/>
      <c r="F183" s="188"/>
      <c r="G183" s="125"/>
      <c r="H183" s="242"/>
      <c r="I183" s="390"/>
    </row>
    <row r="184" spans="2:9" s="239" customFormat="1">
      <c r="B184" s="188"/>
      <c r="C184" s="188"/>
      <c r="D184" s="233"/>
      <c r="E184" s="241"/>
      <c r="F184" s="188"/>
      <c r="G184" s="125"/>
      <c r="H184" s="242"/>
      <c r="I184" s="390"/>
    </row>
    <row r="185" spans="2:9" s="239" customFormat="1" ht="25.5">
      <c r="B185" s="418" t="s">
        <v>233</v>
      </c>
      <c r="C185" s="419"/>
      <c r="D185" s="420"/>
      <c r="E185" s="421" t="s">
        <v>13548</v>
      </c>
      <c r="F185" s="422" t="s">
        <v>172</v>
      </c>
      <c r="G185" s="423">
        <v>1</v>
      </c>
      <c r="H185" s="424"/>
      <c r="I185" s="425">
        <f>SUM(I186:I189)</f>
        <v>39.909999999999997</v>
      </c>
    </row>
    <row r="186" spans="2:9" s="239" customFormat="1" ht="41.25" customHeight="1">
      <c r="B186" s="131" t="s">
        <v>13502</v>
      </c>
      <c r="C186" s="132" t="s">
        <v>8</v>
      </c>
      <c r="D186" s="139">
        <v>90680</v>
      </c>
      <c r="E186" s="140" t="str">
        <f>IF($D186&lt;&gt;"",VLOOKUP($D186,'SINAPI JULHO 2018'!$A$1:G11544,2,FALSE),"")</f>
        <v>PERFURATRIZ HIDRÁULICA SOBRE CAMINHÃO COM TRADO CURTO ACOPLADO, PROFUNDIDADE MÁXIMA DE 20 M, DIÂMETRO MÁXIMO DE 1500 MM, POTÊNCIA INSTALADA DE 137 HP, MESA ROTATIVA COM TORQUE MÁXIMO DE 30 KNM - CHP DIURNO. AF_06/2015</v>
      </c>
      <c r="F186" s="141" t="str">
        <f>IF($D186&lt;&gt;"",VLOOKUP($D186,'SINAPI JULHO 2018'!$1:$1048576,3,FALSE),"")</f>
        <v>CHP</v>
      </c>
      <c r="G186" s="142">
        <v>0.05</v>
      </c>
      <c r="H186" s="144">
        <f>IF($D186&lt;&gt;"",VLOOKUP($D186,'SINAPI JULHO 2018'!$1:$1048576,4,FALSE),"")</f>
        <v>230.35</v>
      </c>
      <c r="I186" s="148">
        <f t="shared" ref="I186" si="27">TRUNC(G186*H186,2)</f>
        <v>11.51</v>
      </c>
    </row>
    <row r="187" spans="2:9" s="239" customFormat="1" ht="41.25" customHeight="1">
      <c r="B187" s="131" t="s">
        <v>13502</v>
      </c>
      <c r="C187" s="132" t="s">
        <v>8</v>
      </c>
      <c r="D187" s="139">
        <v>90681</v>
      </c>
      <c r="E187" s="140" t="str">
        <f>IF($D187&lt;&gt;"",VLOOKUP($D187,'SINAPI JULHO 2018'!$A$1:G11545,2,FALSE),"")</f>
        <v>PERFURATRIZ HIDRÁULICA SOBRE CAMINHÃO COM TRADO CURTO ACOPLADO, PROFUNDIDADE MÁXIMA DE 20 M, DIÂMETRO MÁXIMO DE 1500 MM, POTÊNCIA INSTALADA DE 137 HP, MESA ROTATIVA COM TORQUE MÁXIMO DE 30 KNM - CHI DIURNO. AF_06/2015</v>
      </c>
      <c r="F187" s="141" t="str">
        <f>IF($D187&lt;&gt;"",VLOOKUP($D187,'SINAPI JULHO 2018'!$1:$1048576,3,FALSE),"")</f>
        <v>CHI</v>
      </c>
      <c r="G187" s="142">
        <v>0.05</v>
      </c>
      <c r="H187" s="144">
        <f>IF($D187&lt;&gt;"",VLOOKUP($D187,'SINAPI JULHO 2018'!$1:$1048576,4,FALSE),"")</f>
        <v>90.12</v>
      </c>
      <c r="I187" s="148">
        <f t="shared" ref="I187:I189" si="28">TRUNC(G187*H187,2)</f>
        <v>4.5</v>
      </c>
    </row>
    <row r="188" spans="2:9" s="239" customFormat="1" ht="41.25" customHeight="1">
      <c r="B188" s="131" t="s">
        <v>13502</v>
      </c>
      <c r="C188" s="132" t="s">
        <v>8</v>
      </c>
      <c r="D188" s="139">
        <v>95967</v>
      </c>
      <c r="E188" s="140" t="str">
        <f>IF($D188&lt;&gt;"",VLOOKUP($D188,'SINAPI JULHO 2018'!$A$1:G11546,2,FALSE),"")</f>
        <v>SERVIÇOS TÉCNICOS ESPECIALIZADOS PARA ACOMPANHAMENTO DE EXECUÇÃO DE FUNDAÇÕES PROFUNDAS E ESTRUTURAS DE CONTENÇÃO</v>
      </c>
      <c r="F188" s="141" t="str">
        <f>IF($D188&lt;&gt;"",VLOOKUP($D188,'SINAPI JULHO 2018'!$1:$1048576,3,FALSE),"")</f>
        <v>H</v>
      </c>
      <c r="G188" s="142">
        <v>0.06</v>
      </c>
      <c r="H188" s="144">
        <f>IF($D188&lt;&gt;"",VLOOKUP($D188,'SINAPI JULHO 2018'!$1:$1048576,4,FALSE),"")</f>
        <v>112.33</v>
      </c>
      <c r="I188" s="148">
        <f t="shared" si="28"/>
        <v>6.73</v>
      </c>
    </row>
    <row r="189" spans="2:9" s="239" customFormat="1" ht="41.25" customHeight="1">
      <c r="B189" s="131" t="s">
        <v>13502</v>
      </c>
      <c r="C189" s="132" t="s">
        <v>8</v>
      </c>
      <c r="D189" s="139">
        <v>88316</v>
      </c>
      <c r="E189" s="140" t="str">
        <f>IF($D189&lt;&gt;"",VLOOKUP($D189,'SINAPI JULHO 2018'!$A$1:G11547,2,FALSE),"")</f>
        <v>SERVENTE COM ENCARGOS COMPLEMENTARES</v>
      </c>
      <c r="F189" s="141" t="str">
        <f>IF($D189&lt;&gt;"",VLOOKUP($D189,'SINAPI JULHO 2018'!$1:$1048576,3,FALSE),"")</f>
        <v>H</v>
      </c>
      <c r="G189" s="142">
        <v>1.2</v>
      </c>
      <c r="H189" s="144">
        <f>IF($D189&lt;&gt;"",VLOOKUP($D189,'SINAPI JULHO 2018'!$1:$1048576,4,FALSE),"")</f>
        <v>14.31</v>
      </c>
      <c r="I189" s="148">
        <f t="shared" si="28"/>
        <v>17.170000000000002</v>
      </c>
    </row>
    <row r="190" spans="2:9" s="239" customFormat="1">
      <c r="B190" s="188"/>
      <c r="C190" s="188"/>
      <c r="D190" s="233"/>
      <c r="E190" s="241"/>
      <c r="F190" s="188"/>
      <c r="G190" s="125"/>
      <c r="H190" s="242"/>
      <c r="I190" s="390"/>
    </row>
    <row r="191" spans="2:9" s="239" customFormat="1" ht="25.5">
      <c r="B191" s="418" t="s">
        <v>225</v>
      </c>
      <c r="C191" s="419"/>
      <c r="D191" s="420"/>
      <c r="E191" s="421" t="s">
        <v>13549</v>
      </c>
      <c r="F191" s="422" t="s">
        <v>172</v>
      </c>
      <c r="G191" s="423">
        <v>1</v>
      </c>
      <c r="H191" s="424"/>
      <c r="I191" s="425">
        <f>SUM(I192:I195)</f>
        <v>20.91</v>
      </c>
    </row>
    <row r="192" spans="2:9" s="239" customFormat="1">
      <c r="B192" s="131" t="s">
        <v>13514</v>
      </c>
      <c r="C192" s="132" t="s">
        <v>8</v>
      </c>
      <c r="D192" s="139">
        <v>660</v>
      </c>
      <c r="E192" s="140" t="str">
        <f>IF($D192&lt;&gt;"",VLOOKUP($D192,'SINAPI JULHO 2018'!$A$1:G11550,2,FALSE),"")</f>
        <v>CANALETA CONCRETO 19 X 19 X 19 CM (CLASSE C - NBR 6136)</v>
      </c>
      <c r="F192" s="141" t="str">
        <f>IF($D192&lt;&gt;"",VLOOKUP($D192,'SINAPI JULHO 2018'!$1:$1048576,3,FALSE),"")</f>
        <v xml:space="preserve">UN    </v>
      </c>
      <c r="G192" s="142">
        <v>5.34</v>
      </c>
      <c r="H192" s="144">
        <f>IF($D192&lt;&gt;"",VLOOKUP($D192,'SINAPI JULHO 2018'!$1:$1048576,4,FALSE),"")</f>
        <v>2.12</v>
      </c>
      <c r="I192" s="148">
        <f t="shared" ref="I192" si="29">TRUNC(G192*H192,2)</f>
        <v>11.32</v>
      </c>
    </row>
    <row r="193" spans="2:9" s="239" customFormat="1" ht="38.25">
      <c r="B193" s="131" t="s">
        <v>13502</v>
      </c>
      <c r="C193" s="132" t="s">
        <v>8</v>
      </c>
      <c r="D193" s="139">
        <v>87294</v>
      </c>
      <c r="E193" s="140" t="str">
        <f>IF($D193&lt;&gt;"",VLOOKUP($D193,'SINAPI JULHO 2018'!$A$1:G11551,2,FALSE),"")</f>
        <v>ARGAMASSA TRAÇO 1:2:9 (CIMENTO, CAL E AREIA MÉDIA) PARA EMBOÇO/MASSA ÚNICA/ASSENTAMENTO DE ALVENARIA DE VEDAÇÃO, PREPARO MECÂNICO COM BETONEIRA 600 L. AF_06/2014</v>
      </c>
      <c r="F193" s="141" t="str">
        <f>IF($D193&lt;&gt;"",VLOOKUP($D193,'SINAPI JULHO 2018'!$1:$1048576,3,FALSE),"")</f>
        <v>M3</v>
      </c>
      <c r="G193" s="142">
        <v>0.01</v>
      </c>
      <c r="H193" s="144">
        <f>IF($D193&lt;&gt;"",VLOOKUP($D193,'SINAPI JULHO 2018'!$1:$1048576,4,FALSE),"")</f>
        <v>334.37</v>
      </c>
      <c r="I193" s="148">
        <f t="shared" ref="I193:I195" si="30">TRUNC(G193*H193,2)</f>
        <v>3.34</v>
      </c>
    </row>
    <row r="194" spans="2:9" s="239" customFormat="1">
      <c r="B194" s="131" t="s">
        <v>13502</v>
      </c>
      <c r="C194" s="132" t="s">
        <v>8</v>
      </c>
      <c r="D194" s="139">
        <v>88309</v>
      </c>
      <c r="E194" s="140" t="str">
        <f>IF($D194&lt;&gt;"",VLOOKUP($D194,'SINAPI JULHO 2018'!$A$1:G11552,2,FALSE),"")</f>
        <v>PEDREIRO COM ENCARGOS COMPLEMENTARES</v>
      </c>
      <c r="F194" s="141" t="str">
        <f>IF($D194&lt;&gt;"",VLOOKUP($D194,'SINAPI JULHO 2018'!$1:$1048576,3,FALSE),"")</f>
        <v>H</v>
      </c>
      <c r="G194" s="142">
        <v>0.253</v>
      </c>
      <c r="H194" s="144">
        <f>IF($D194&lt;&gt;"",VLOOKUP($D194,'SINAPI JULHO 2018'!$1:$1048576,4,FALSE),"")</f>
        <v>17.600000000000001</v>
      </c>
      <c r="I194" s="148">
        <f t="shared" si="30"/>
        <v>4.45</v>
      </c>
    </row>
    <row r="195" spans="2:9" s="239" customFormat="1">
      <c r="B195" s="131" t="s">
        <v>13502</v>
      </c>
      <c r="C195" s="132" t="s">
        <v>8</v>
      </c>
      <c r="D195" s="139">
        <v>88316</v>
      </c>
      <c r="E195" s="140" t="str">
        <f>IF($D195&lt;&gt;"",VLOOKUP($D195,'SINAPI JULHO 2018'!$A$1:G11553,2,FALSE),"")</f>
        <v>SERVENTE COM ENCARGOS COMPLEMENTARES</v>
      </c>
      <c r="F195" s="141" t="str">
        <f>IF($D195&lt;&gt;"",VLOOKUP($D195,'SINAPI JULHO 2018'!$1:$1048576,3,FALSE),"")</f>
        <v>H</v>
      </c>
      <c r="G195" s="142">
        <v>0.126</v>
      </c>
      <c r="H195" s="144">
        <f>IF($D195&lt;&gt;"",VLOOKUP($D195,'SINAPI JULHO 2018'!$1:$1048576,4,FALSE),"")</f>
        <v>14.31</v>
      </c>
      <c r="I195" s="148">
        <f t="shared" si="30"/>
        <v>1.8</v>
      </c>
    </row>
    <row r="196" spans="2:9" s="239" customFormat="1">
      <c r="B196" s="188"/>
      <c r="C196" s="188"/>
      <c r="D196" s="233"/>
      <c r="E196" s="241"/>
      <c r="F196" s="188"/>
      <c r="G196" s="125"/>
      <c r="H196" s="242"/>
      <c r="I196" s="390"/>
    </row>
    <row r="197" spans="2:9" s="239" customFormat="1" ht="51">
      <c r="B197" s="418" t="s">
        <v>13550</v>
      </c>
      <c r="C197" s="419"/>
      <c r="D197" s="420"/>
      <c r="E197" s="421" t="s">
        <v>13551</v>
      </c>
      <c r="F197" s="422" t="s">
        <v>5</v>
      </c>
      <c r="G197" s="423">
        <v>1</v>
      </c>
      <c r="H197" s="424"/>
      <c r="I197" s="425">
        <f>SUM(I198:I207)</f>
        <v>116.10000000000001</v>
      </c>
    </row>
    <row r="198" spans="2:9" s="239" customFormat="1" ht="51">
      <c r="B198" s="131" t="s">
        <v>13518</v>
      </c>
      <c r="C198" s="132" t="s">
        <v>8</v>
      </c>
      <c r="D198" s="139">
        <v>90680</v>
      </c>
      <c r="E198" s="140" t="str">
        <f>IF($D198&lt;&gt;"",VLOOKUP($D198,'SINAPI JULHO 2018'!$A$1:G11556,2,FALSE),"")</f>
        <v>PERFURATRIZ HIDRÁULICA SOBRE CAMINHÃO COM TRADO CURTO ACOPLADO, PROFUNDIDADE MÁXIMA DE 20 M, DIÂMETRO MÁXIMO DE 1500 MM, POTÊNCIA INSTALADA DE 137 HP, MESA ROTATIVA COM TORQUE MÁXIMO DE 30 KNM - CHP DIURNO. AF_06/2015</v>
      </c>
      <c r="F198" s="141" t="str">
        <f>IF($D198&lt;&gt;"",VLOOKUP($D198,'SINAPI JULHO 2018'!$1:$1048576,3,FALSE),"")</f>
        <v>CHP</v>
      </c>
      <c r="G198" s="142">
        <v>7.0000000000000007E-2</v>
      </c>
      <c r="H198" s="144">
        <f>IF($D198&lt;&gt;"",VLOOKUP($D198,'SINAPI JULHO 2018'!$1:$1048576,4,FALSE),"")</f>
        <v>230.35</v>
      </c>
      <c r="I198" s="148">
        <f t="shared" ref="I198" si="31">TRUNC(G198*H198,2)</f>
        <v>16.12</v>
      </c>
    </row>
    <row r="199" spans="2:9" s="239" customFormat="1" ht="51">
      <c r="B199" s="131" t="s">
        <v>13518</v>
      </c>
      <c r="C199" s="132" t="s">
        <v>8</v>
      </c>
      <c r="D199" s="139">
        <v>90681</v>
      </c>
      <c r="E199" s="140" t="str">
        <f>IF($D199&lt;&gt;"",VLOOKUP($D199,'SINAPI JULHO 2018'!$A$1:G11557,2,FALSE),"")</f>
        <v>PERFURATRIZ HIDRÁULICA SOBRE CAMINHÃO COM TRADO CURTO ACOPLADO, PROFUNDIDADE MÁXIMA DE 20 M, DIÂMETRO MÁXIMO DE 1500 MM, POTÊNCIA INSTALADA DE 137 HP, MESA ROTATIVA COM TORQUE MÁXIMO DE 30 KNM - CHI DIURNO. AF_06/2015</v>
      </c>
      <c r="F199" s="141" t="str">
        <f>IF($D199&lt;&gt;"",VLOOKUP($D199,'SINAPI JULHO 2018'!$1:$1048576,3,FALSE),"")</f>
        <v>CHI</v>
      </c>
      <c r="G199" s="142">
        <v>0.05</v>
      </c>
      <c r="H199" s="144">
        <f>IF($D199&lt;&gt;"",VLOOKUP($D199,'SINAPI JULHO 2018'!$1:$1048576,4,FALSE),"")</f>
        <v>90.12</v>
      </c>
      <c r="I199" s="148">
        <f t="shared" ref="I199:I207" si="32">TRUNC(G199*H199,2)</f>
        <v>4.5</v>
      </c>
    </row>
    <row r="200" spans="2:9" s="239" customFormat="1" ht="25.5">
      <c r="B200" s="131" t="s">
        <v>13518</v>
      </c>
      <c r="C200" s="132" t="s">
        <v>8</v>
      </c>
      <c r="D200" s="139">
        <v>94964</v>
      </c>
      <c r="E200" s="140" t="str">
        <f>IF($D200&lt;&gt;"",VLOOKUP($D200,'SINAPI JULHO 2018'!$A$1:G11558,2,FALSE),"")</f>
        <v>CONCRETO FCK = 20MPA, TRAÇO 1:2,7:3 (CIMENTO/ AREIA MÉDIA/ BRITA 1)  - PREPARO MECÂNICO COM BETONEIRA 400 L. AF_07/2016</v>
      </c>
      <c r="F200" s="141" t="str">
        <f>IF($D200&lt;&gt;"",VLOOKUP($D200,'SINAPI JULHO 2018'!$1:$1048576,3,FALSE),"")</f>
        <v>M3</v>
      </c>
      <c r="G200" s="142">
        <f>(3.14*(0.1^2))*1.5*1.25</f>
        <v>5.8875000000000004E-2</v>
      </c>
      <c r="H200" s="144">
        <f>IF($D200&lt;&gt;"",VLOOKUP($D200,'SINAPI JULHO 2018'!$1:$1048576,4,FALSE),"")</f>
        <v>310.08999999999997</v>
      </c>
      <c r="I200" s="148">
        <f t="shared" si="32"/>
        <v>18.25</v>
      </c>
    </row>
    <row r="201" spans="2:9" s="239" customFormat="1">
      <c r="B201" s="131" t="s">
        <v>13518</v>
      </c>
      <c r="C201" s="132" t="s">
        <v>8</v>
      </c>
      <c r="D201" s="139" t="s">
        <v>111</v>
      </c>
      <c r="E201" s="140" t="str">
        <f>IF($D201&lt;&gt;"",VLOOKUP($D201,'SINAPI JULHO 2018'!$A$1:G11559,2,FALSE),"")</f>
        <v>LANCAMENTO/APLICACAO MANUAL DE CONCRETO EM FUNDACOES</v>
      </c>
      <c r="F201" s="141" t="str">
        <f>IF($D201&lt;&gt;"",VLOOKUP($D201,'SINAPI JULHO 2018'!$1:$1048576,3,FALSE),"")</f>
        <v>M3</v>
      </c>
      <c r="G201" s="142">
        <f>G200</f>
        <v>5.8875000000000004E-2</v>
      </c>
      <c r="H201" s="144">
        <f>IF($D201&lt;&gt;"",VLOOKUP($D201,'SINAPI JULHO 2018'!$1:$1048576,4,FALSE),"")</f>
        <v>93.76</v>
      </c>
      <c r="I201" s="148">
        <f t="shared" si="32"/>
        <v>5.52</v>
      </c>
    </row>
    <row r="202" spans="2:9" s="239" customFormat="1">
      <c r="B202" s="131" t="s">
        <v>13518</v>
      </c>
      <c r="C202" s="132" t="s">
        <v>8</v>
      </c>
      <c r="D202" s="139">
        <v>88316</v>
      </c>
      <c r="E202" s="140" t="str">
        <f>IF($D202&lt;&gt;"",VLOOKUP($D202,'SINAPI JULHO 2018'!$A$1:G11560,2,FALSE),"")</f>
        <v>SERVENTE COM ENCARGOS COMPLEMENTARES</v>
      </c>
      <c r="F202" s="141" t="str">
        <f>IF($D202&lt;&gt;"",VLOOKUP($D202,'SINAPI JULHO 2018'!$1:$1048576,3,FALSE),"")</f>
        <v>H</v>
      </c>
      <c r="G202" s="142">
        <v>1</v>
      </c>
      <c r="H202" s="144">
        <f>IF($D202&lt;&gt;"",VLOOKUP($D202,'SINAPI JULHO 2018'!$1:$1048576,4,FALSE),"")</f>
        <v>14.31</v>
      </c>
      <c r="I202" s="148">
        <f t="shared" si="32"/>
        <v>14.31</v>
      </c>
    </row>
    <row r="203" spans="2:9" s="239" customFormat="1" ht="49.5" customHeight="1">
      <c r="B203" s="131" t="s">
        <v>13518</v>
      </c>
      <c r="C203" s="132" t="s">
        <v>8</v>
      </c>
      <c r="D203" s="139">
        <v>92759</v>
      </c>
      <c r="E203" s="140" t="str">
        <f>IF($D203&lt;&gt;"",VLOOKUP($D203,'SINAPI JULHO 2018'!$A$1:G11561,2,FALSE),"")</f>
        <v>ARMAÇÃO DE PILAR OU VIGA DE UMA ESTRUTURA CONVENCIONAL DE CONCRETO ARMADO EM UM EDIFÍCIO DE MÚLTIPLOS PAVIMENTOS UTILIZANDO AÇO CA-60 DE 5,0 MM - MONTAGEM. AF_12/2015</v>
      </c>
      <c r="F203" s="141" t="str">
        <f>IF($D203&lt;&gt;"",VLOOKUP($D203,'SINAPI JULHO 2018'!$1:$1048576,3,FALSE),"")</f>
        <v>KG</v>
      </c>
      <c r="G203" s="142">
        <f>0.76*10*0.15*1.1</f>
        <v>1.254</v>
      </c>
      <c r="H203" s="144">
        <f>IF($D203&lt;&gt;"",VLOOKUP($D203,'SINAPI JULHO 2018'!$1:$1048576,4,FALSE),"")</f>
        <v>9.1</v>
      </c>
      <c r="I203" s="148">
        <f t="shared" si="32"/>
        <v>11.41</v>
      </c>
    </row>
    <row r="204" spans="2:9" s="239" customFormat="1" ht="56.25" customHeight="1">
      <c r="B204" s="131" t="s">
        <v>13518</v>
      </c>
      <c r="C204" s="132" t="s">
        <v>8</v>
      </c>
      <c r="D204" s="139">
        <v>92762</v>
      </c>
      <c r="E204" s="140" t="str">
        <f>IF($D204&lt;&gt;"",VLOOKUP($D204,'SINAPI JULHO 2018'!$A$1:G11562,2,FALSE),"")</f>
        <v>ARMAÇÃO DE PILAR OU VIGA DE UMA ESTRUTURA CONVENCIONAL DE CONCRETO ARMADO EM UM EDIFÍCIO DE MÚLTIPLOS PAVIMENTOS UTILIZANDO AÇO CA-50 DE 10,0 MM - MONTAGEM. AF_12/2015</v>
      </c>
      <c r="F204" s="141" t="str">
        <f>IF($D204&lt;&gt;"",VLOOKUP($D204,'SINAPI JULHO 2018'!$1:$1048576,3,FALSE),"")</f>
        <v>KG</v>
      </c>
      <c r="G204" s="142">
        <f>1.8*4*0.62*1.1</f>
        <v>4.910400000000001</v>
      </c>
      <c r="H204" s="144">
        <f>IF($D204&lt;&gt;"",VLOOKUP($D204,'SINAPI JULHO 2018'!$1:$1048576,4,FALSE),"")</f>
        <v>6.58</v>
      </c>
      <c r="I204" s="148">
        <f t="shared" si="32"/>
        <v>32.31</v>
      </c>
    </row>
    <row r="205" spans="2:9" s="239" customFormat="1" ht="38.25">
      <c r="B205" s="131" t="s">
        <v>13518</v>
      </c>
      <c r="C205" s="132" t="s">
        <v>8</v>
      </c>
      <c r="D205" s="139">
        <v>95967</v>
      </c>
      <c r="E205" s="140" t="str">
        <f>IF($D205&lt;&gt;"",VLOOKUP($D205,'SINAPI JULHO 2018'!$A$1:G11563,2,FALSE),"")</f>
        <v>SERVIÇOS TÉCNICOS ESPECIALIZADOS PARA ACOMPANHAMENTO DE EXECUÇÃO DE FUNDAÇÕES PROFUNDAS E ESTRUTURAS DE CONTENÇÃO</v>
      </c>
      <c r="F205" s="141" t="str">
        <f>IF($D205&lt;&gt;"",VLOOKUP($D205,'SINAPI JULHO 2018'!$1:$1048576,3,FALSE),"")</f>
        <v>H</v>
      </c>
      <c r="G205" s="142">
        <v>0.1</v>
      </c>
      <c r="H205" s="144">
        <f>IF($D205&lt;&gt;"",VLOOKUP($D205,'SINAPI JULHO 2018'!$1:$1048576,4,FALSE),"")</f>
        <v>112.33</v>
      </c>
      <c r="I205" s="148">
        <f t="shared" si="32"/>
        <v>11.23</v>
      </c>
    </row>
    <row r="206" spans="2:9" s="239" customFormat="1" ht="25.5">
      <c r="B206" s="131" t="s">
        <v>13518</v>
      </c>
      <c r="C206" s="132" t="s">
        <v>8</v>
      </c>
      <c r="D206" s="139">
        <v>72895</v>
      </c>
      <c r="E206" s="140" t="str">
        <f>IF($D206&lt;&gt;"",VLOOKUP($D206,'SINAPI JULHO 2018'!$A$1:G11564,2,FALSE),"")</f>
        <v>CARGA, MANOBRAS E DESCARGA DE MATERIAIS DIVERSOS, COM CAMINHAO BASCULANTE 6M3 (CARGA E DESCARGA MANUAIS)</v>
      </c>
      <c r="F206" s="141" t="str">
        <f>IF($D206&lt;&gt;"",VLOOKUP($D206,'SINAPI JULHO 2018'!$1:$1048576,3,FALSE),"")</f>
        <v>M3</v>
      </c>
      <c r="G206" s="142">
        <f>G200*1.3</f>
        <v>7.6537500000000008E-2</v>
      </c>
      <c r="H206" s="144">
        <f>IF($D206&lt;&gt;"",VLOOKUP($D206,'SINAPI JULHO 2018'!$1:$1048576,4,FALSE),"")</f>
        <v>20.65</v>
      </c>
      <c r="I206" s="148">
        <f t="shared" si="32"/>
        <v>1.58</v>
      </c>
    </row>
    <row r="207" spans="2:9" s="239" customFormat="1" ht="38.25">
      <c r="B207" s="131" t="s">
        <v>13518</v>
      </c>
      <c r="C207" s="132" t="s">
        <v>8</v>
      </c>
      <c r="D207" s="139">
        <v>97914</v>
      </c>
      <c r="E207" s="140" t="str">
        <f>IF($D207&lt;&gt;"",VLOOKUP($D207,'SINAPI JULHO 2018'!$A$1:G11565,2,FALSE),"")</f>
        <v>TRANSPORTE COM CAMINHÃO BASCULANTE DE 6 M3, EM VIA URBANA PAVIMENTADA, DMT ATÉ 30 KM (UNIDADE: M3XKM). AF_01/2018</v>
      </c>
      <c r="F207" s="141" t="str">
        <f>IF($D207&lt;&gt;"",VLOOKUP($D207,'SINAPI JULHO 2018'!$1:$1048576,3,FALSE),"")</f>
        <v>M3XKM</v>
      </c>
      <c r="G207" s="142">
        <f>G206*7.5</f>
        <v>0.5740312500000001</v>
      </c>
      <c r="H207" s="144">
        <f>IF($D207&lt;&gt;"",VLOOKUP($D207,'SINAPI JULHO 2018'!$1:$1048576,4,FALSE),"")</f>
        <v>1.52</v>
      </c>
      <c r="I207" s="148">
        <f t="shared" si="32"/>
        <v>0.87</v>
      </c>
    </row>
    <row r="208" spans="2:9" s="239" customFormat="1">
      <c r="B208" s="188"/>
      <c r="C208" s="188"/>
      <c r="D208" s="233"/>
      <c r="E208" s="241"/>
      <c r="F208" s="188"/>
      <c r="G208" s="125"/>
      <c r="H208" s="242"/>
      <c r="I208" s="390"/>
    </row>
    <row r="209" spans="2:9" s="239" customFormat="1">
      <c r="B209" s="253" t="s">
        <v>13552</v>
      </c>
      <c r="C209" s="188"/>
      <c r="D209" s="233"/>
      <c r="E209" s="241"/>
      <c r="F209" s="188"/>
      <c r="G209" s="125"/>
      <c r="H209" s="242"/>
      <c r="I209" s="390"/>
    </row>
    <row r="210" spans="2:9" s="239" customFormat="1">
      <c r="B210" s="188"/>
      <c r="C210" s="188"/>
      <c r="D210" s="233"/>
      <c r="E210" s="241"/>
      <c r="F210" s="188"/>
      <c r="G210" s="125"/>
      <c r="H210" s="242"/>
      <c r="I210" s="390"/>
    </row>
    <row r="211" spans="2:9">
      <c r="B211" s="418" t="s">
        <v>167</v>
      </c>
      <c r="C211" s="419"/>
      <c r="D211" s="420"/>
      <c r="E211" s="421" t="s">
        <v>13553</v>
      </c>
      <c r="F211" s="422" t="s">
        <v>145</v>
      </c>
      <c r="G211" s="423"/>
      <c r="H211" s="424"/>
      <c r="I211" s="425">
        <f>SUM(I212:I214)</f>
        <v>3.7700000000000005</v>
      </c>
    </row>
    <row r="212" spans="2:9" ht="25.5">
      <c r="B212" s="131" t="s">
        <v>13514</v>
      </c>
      <c r="C212" s="132" t="s">
        <v>8</v>
      </c>
      <c r="D212" s="139">
        <v>3767</v>
      </c>
      <c r="E212" s="140" t="str">
        <f>IF($D212&lt;&gt;"",VLOOKUP($D212,'SINAPI JULHO 2018'!$A$1:G11570,2,FALSE),"")</f>
        <v>LIXA EM FOLHA PARA PAREDE OU MADEIRA, NUMERO 120 (COR VERMELHA)</v>
      </c>
      <c r="F212" s="141" t="str">
        <f>IF($D212&lt;&gt;"",VLOOKUP($D212,'SINAPI JULHO 2018'!$1:$1048576,3,FALSE),"")</f>
        <v xml:space="preserve">UN    </v>
      </c>
      <c r="G212" s="142">
        <v>0.85</v>
      </c>
      <c r="H212" s="144">
        <f>IF($D212&lt;&gt;"",VLOOKUP($D212,'SINAPI JULHO 2018'!$1:$1048576,4,FALSE),"")</f>
        <v>0.52</v>
      </c>
      <c r="I212" s="148">
        <f t="shared" ref="I212" si="33">TRUNC(G212*H212,2)</f>
        <v>0.44</v>
      </c>
    </row>
    <row r="213" spans="2:9">
      <c r="B213" s="131" t="s">
        <v>13518</v>
      </c>
      <c r="C213" s="132" t="s">
        <v>8</v>
      </c>
      <c r="D213" s="139">
        <v>88309</v>
      </c>
      <c r="E213" s="140" t="str">
        <f>IF($D213&lt;&gt;"",VLOOKUP($D213,'SINAPI JULHO 2018'!$A$1:G11571,2,FALSE),"")</f>
        <v>PEDREIRO COM ENCARGOS COMPLEMENTARES</v>
      </c>
      <c r="F213" s="141" t="str">
        <f>IF($D213&lt;&gt;"",VLOOKUP($D213,'SINAPI JULHO 2018'!$1:$1048576,3,FALSE),"")</f>
        <v>H</v>
      </c>
      <c r="G213" s="142">
        <v>0.1</v>
      </c>
      <c r="H213" s="144">
        <f>IF($D213&lt;&gt;"",VLOOKUP($D213,'SINAPI JULHO 2018'!$1:$1048576,4,FALSE),"")</f>
        <v>17.600000000000001</v>
      </c>
      <c r="I213" s="148">
        <f t="shared" ref="I213:I214" si="34">TRUNC(G213*H213,2)</f>
        <v>1.76</v>
      </c>
    </row>
    <row r="214" spans="2:9">
      <c r="B214" s="131" t="s">
        <v>13518</v>
      </c>
      <c r="C214" s="132" t="s">
        <v>8</v>
      </c>
      <c r="D214" s="139">
        <v>88316</v>
      </c>
      <c r="E214" s="140" t="str">
        <f>IF($D214&lt;&gt;"",VLOOKUP($D214,'SINAPI JULHO 2018'!$A$1:G11572,2,FALSE),"")</f>
        <v>SERVENTE COM ENCARGOS COMPLEMENTARES</v>
      </c>
      <c r="F214" s="141" t="str">
        <f>IF($D214&lt;&gt;"",VLOOKUP($D214,'SINAPI JULHO 2018'!$1:$1048576,3,FALSE),"")</f>
        <v>H</v>
      </c>
      <c r="G214" s="142">
        <v>0.11</v>
      </c>
      <c r="H214" s="144">
        <f>IF($D214&lt;&gt;"",VLOOKUP($D214,'SINAPI JULHO 2018'!$1:$1048576,4,FALSE),"")</f>
        <v>14.31</v>
      </c>
      <c r="I214" s="148">
        <f t="shared" si="34"/>
        <v>1.57</v>
      </c>
    </row>
    <row r="215" spans="2:9" s="239" customFormat="1">
      <c r="B215" s="188"/>
      <c r="C215" s="188"/>
      <c r="D215" s="233"/>
      <c r="E215" s="241"/>
      <c r="F215" s="188"/>
      <c r="G215" s="125"/>
      <c r="H215" s="242"/>
      <c r="I215" s="390"/>
    </row>
    <row r="216" spans="2:9">
      <c r="B216" s="418" t="s">
        <v>141</v>
      </c>
      <c r="C216" s="419"/>
      <c r="D216" s="420"/>
      <c r="E216" s="421" t="s">
        <v>13554</v>
      </c>
      <c r="F216" s="422" t="s">
        <v>145</v>
      </c>
      <c r="G216" s="423"/>
      <c r="H216" s="424"/>
      <c r="I216" s="425">
        <f>SUM(I217:I219)</f>
        <v>4.66</v>
      </c>
    </row>
    <row r="217" spans="2:9">
      <c r="B217" s="131" t="s">
        <v>13514</v>
      </c>
      <c r="C217" s="132" t="s">
        <v>8</v>
      </c>
      <c r="D217" s="139">
        <v>3768</v>
      </c>
      <c r="E217" s="140" t="str">
        <f>IF($D217&lt;&gt;"",VLOOKUP($D217,'SINAPI JULHO 2018'!$A$1:G11575,2,FALSE),"")</f>
        <v>LIXA EM FOLHA PARA FERRO, NUMERO 150</v>
      </c>
      <c r="F217" s="141" t="str">
        <f>IF($D217&lt;&gt;"",VLOOKUP($D217,'SINAPI JULHO 2018'!$1:$1048576,3,FALSE),"")</f>
        <v xml:space="preserve">UN    </v>
      </c>
      <c r="G217" s="142">
        <v>0.6</v>
      </c>
      <c r="H217" s="144">
        <f>IF($D217&lt;&gt;"",VLOOKUP($D217,'SINAPI JULHO 2018'!$1:$1048576,4,FALSE),"")</f>
        <v>2.2000000000000002</v>
      </c>
      <c r="I217" s="148">
        <f t="shared" ref="I217" si="35">TRUNC(G217*H217,2)</f>
        <v>1.32</v>
      </c>
    </row>
    <row r="218" spans="2:9">
      <c r="B218" s="131" t="s">
        <v>13518</v>
      </c>
      <c r="C218" s="132" t="s">
        <v>8</v>
      </c>
      <c r="D218" s="139">
        <v>88310</v>
      </c>
      <c r="E218" s="140" t="str">
        <f>IF($D218&lt;&gt;"",VLOOKUP($D218,'SINAPI JULHO 2018'!$A$1:G11576,2,FALSE),"")</f>
        <v>PINTOR COM ENCARGOS COMPLEMENTARES</v>
      </c>
      <c r="F218" s="141" t="str">
        <f>IF($D218&lt;&gt;"",VLOOKUP($D218,'SINAPI JULHO 2018'!$1:$1048576,3,FALSE),"")</f>
        <v>H</v>
      </c>
      <c r="G218" s="142">
        <v>0.15</v>
      </c>
      <c r="H218" s="144">
        <f>IF($D218&lt;&gt;"",VLOOKUP($D218,'SINAPI JULHO 2018'!$1:$1048576,4,FALSE),"")</f>
        <v>17.54</v>
      </c>
      <c r="I218" s="148">
        <f t="shared" ref="I218:I219" si="36">TRUNC(G218*H218,2)</f>
        <v>2.63</v>
      </c>
    </row>
    <row r="219" spans="2:9">
      <c r="B219" s="131" t="s">
        <v>13518</v>
      </c>
      <c r="C219" s="132" t="s">
        <v>8</v>
      </c>
      <c r="D219" s="139">
        <v>88316</v>
      </c>
      <c r="E219" s="140" t="str">
        <f>IF($D219&lt;&gt;"",VLOOKUP($D219,'SINAPI JULHO 2018'!$A$1:G11577,2,FALSE),"")</f>
        <v>SERVENTE COM ENCARGOS COMPLEMENTARES</v>
      </c>
      <c r="F219" s="141" t="str">
        <f>IF($D219&lt;&gt;"",VLOOKUP($D219,'SINAPI JULHO 2018'!$1:$1048576,3,FALSE),"")</f>
        <v>H</v>
      </c>
      <c r="G219" s="142">
        <v>0.05</v>
      </c>
      <c r="H219" s="144">
        <f>IF($D219&lt;&gt;"",VLOOKUP($D219,'SINAPI JULHO 2018'!$1:$1048576,4,FALSE),"")</f>
        <v>14.31</v>
      </c>
      <c r="I219" s="148">
        <f t="shared" si="36"/>
        <v>0.71</v>
      </c>
    </row>
    <row r="220" spans="2:9" s="239" customFormat="1">
      <c r="B220" s="188"/>
      <c r="C220" s="188"/>
      <c r="D220" s="233"/>
      <c r="E220" s="241"/>
      <c r="F220" s="188"/>
      <c r="G220" s="125"/>
      <c r="H220" s="242"/>
      <c r="I220" s="390"/>
    </row>
    <row r="221" spans="2:9" s="239" customFormat="1">
      <c r="B221" s="247" t="s">
        <v>13555</v>
      </c>
      <c r="C221" s="188"/>
      <c r="D221" s="233"/>
      <c r="E221" s="241"/>
      <c r="F221" s="188"/>
      <c r="G221" s="125"/>
      <c r="H221" s="242"/>
      <c r="I221" s="243"/>
    </row>
    <row r="222" spans="2:9" s="239" customFormat="1">
      <c r="B222" s="388"/>
      <c r="C222" s="188"/>
      <c r="D222" s="233"/>
      <c r="E222" s="241"/>
      <c r="F222" s="188"/>
      <c r="G222" s="125"/>
      <c r="H222" s="242"/>
      <c r="I222" s="243"/>
    </row>
    <row r="223" spans="2:9" s="239" customFormat="1">
      <c r="B223" s="418" t="s">
        <v>236</v>
      </c>
      <c r="C223" s="419"/>
      <c r="D223" s="420"/>
      <c r="E223" s="421" t="s">
        <v>13556</v>
      </c>
      <c r="F223" s="422" t="s">
        <v>145</v>
      </c>
      <c r="G223" s="423">
        <v>1</v>
      </c>
      <c r="H223" s="424"/>
      <c r="I223" s="425">
        <f>SUM(I224:I226)</f>
        <v>50.529999999999994</v>
      </c>
    </row>
    <row r="224" spans="2:9" s="239" customFormat="1">
      <c r="B224" s="131" t="s">
        <v>13518</v>
      </c>
      <c r="C224" s="132" t="s">
        <v>8</v>
      </c>
      <c r="D224" s="139">
        <v>88311</v>
      </c>
      <c r="E224" s="140" t="str">
        <f>IF($D224&lt;&gt;"",VLOOKUP($D224,'SINAPI JULHO 2018'!$A$1:G11582,2,FALSE),"")</f>
        <v>PINTOR DE LETREIROS COM ENCARGOS COMPLEMENTARES</v>
      </c>
      <c r="F224" s="141" t="str">
        <f>IF($D224&lt;&gt;"",VLOOKUP($D224,'SINAPI JULHO 2018'!$1:$1048576,3,FALSE),"")</f>
        <v>H</v>
      </c>
      <c r="G224" s="142">
        <v>2</v>
      </c>
      <c r="H224" s="144">
        <f>IF($D224&lt;&gt;"",VLOOKUP($D224,'SINAPI JULHO 2018'!$1:$1048576,4,FALSE),"")</f>
        <v>19.489999999999998</v>
      </c>
      <c r="I224" s="148">
        <f t="shared" ref="I224" si="37">TRUNC(G224*H224,2)</f>
        <v>38.979999999999997</v>
      </c>
    </row>
    <row r="225" spans="2:9" s="239" customFormat="1" ht="25.5">
      <c r="B225" s="131" t="s">
        <v>13518</v>
      </c>
      <c r="C225" s="132" t="s">
        <v>8</v>
      </c>
      <c r="D225" s="139">
        <v>88415</v>
      </c>
      <c r="E225" s="140" t="str">
        <f>IF($D225&lt;&gt;"",VLOOKUP($D225,'SINAPI JULHO 2018'!$A$1:G11583,2,FALSE),"")</f>
        <v>APLICAÇÃO MANUAL DE FUNDO SELADOR ACRÍLICO EM PAREDES EXTERNAS DE CASAS. AF_06/2014</v>
      </c>
      <c r="F225" s="141" t="str">
        <f>IF($D225&lt;&gt;"",VLOOKUP($D225,'SINAPI JULHO 2018'!$1:$1048576,3,FALSE),"")</f>
        <v>M2</v>
      </c>
      <c r="G225" s="142">
        <v>1</v>
      </c>
      <c r="H225" s="144">
        <f>IF($D225&lt;&gt;"",VLOOKUP($D225,'SINAPI JULHO 2018'!$1:$1048576,4,FALSE),"")</f>
        <v>1.86</v>
      </c>
      <c r="I225" s="148">
        <f t="shared" ref="I225:I226" si="38">TRUNC(G225*H225,2)</f>
        <v>1.86</v>
      </c>
    </row>
    <row r="226" spans="2:9" s="239" customFormat="1" ht="25.5">
      <c r="B226" s="131" t="s">
        <v>13518</v>
      </c>
      <c r="C226" s="132" t="s">
        <v>8</v>
      </c>
      <c r="D226" s="139">
        <v>88489</v>
      </c>
      <c r="E226" s="140" t="str">
        <f>IF($D226&lt;&gt;"",VLOOKUP($D226,'SINAPI JULHO 2018'!$A$1:G11584,2,FALSE),"")</f>
        <v>APLICAÇÃO MANUAL DE PINTURA COM TINTA LÁTEX ACRÍLICA EM PAREDES, DUAS DEMÃOS. AF_06/2014</v>
      </c>
      <c r="F226" s="141" t="str">
        <f>IF($D226&lt;&gt;"",VLOOKUP($D226,'SINAPI JULHO 2018'!$1:$1048576,3,FALSE),"")</f>
        <v>M2</v>
      </c>
      <c r="G226" s="142">
        <v>1</v>
      </c>
      <c r="H226" s="144">
        <f>IF($D226&lt;&gt;"",VLOOKUP($D226,'SINAPI JULHO 2018'!$1:$1048576,4,FALSE),"")</f>
        <v>9.69</v>
      </c>
      <c r="I226" s="148">
        <f t="shared" si="38"/>
        <v>9.69</v>
      </c>
    </row>
    <row r="227" spans="2:9" s="239" customFormat="1">
      <c r="B227" s="388"/>
      <c r="C227" s="188"/>
      <c r="D227" s="233"/>
      <c r="E227" s="244"/>
      <c r="F227" s="235"/>
      <c r="G227" s="236"/>
      <c r="H227" s="237"/>
      <c r="I227" s="243"/>
    </row>
    <row r="228" spans="2:9">
      <c r="B228" s="418" t="s">
        <v>168</v>
      </c>
      <c r="C228" s="419"/>
      <c r="D228" s="420"/>
      <c r="E228" s="421" t="s">
        <v>13557</v>
      </c>
      <c r="F228" s="422" t="s">
        <v>145</v>
      </c>
      <c r="G228" s="423">
        <v>1</v>
      </c>
      <c r="H228" s="424"/>
      <c r="I228" s="425">
        <f>SUM(I229:I231)</f>
        <v>10.93</v>
      </c>
    </row>
    <row r="229" spans="2:9">
      <c r="B229" s="131" t="s">
        <v>13518</v>
      </c>
      <c r="C229" s="132" t="s">
        <v>8</v>
      </c>
      <c r="D229" s="139">
        <v>7292</v>
      </c>
      <c r="E229" s="140" t="str">
        <f>IF($D229&lt;&gt;"",VLOOKUP($D229,'SINAPI JULHO 2018'!$A$1:G11587,2,FALSE),"")</f>
        <v>TINTA ESMALTE SINTETICO PREMIUM BRILHANTE</v>
      </c>
      <c r="F229" s="141" t="str">
        <f>IF($D229&lt;&gt;"",VLOOKUP($D229,'SINAPI JULHO 2018'!$1:$1048576,3,FALSE),"")</f>
        <v xml:space="preserve">L     </v>
      </c>
      <c r="G229" s="142">
        <v>0.33</v>
      </c>
      <c r="H229" s="144">
        <f>IF($D229&lt;&gt;"",VLOOKUP($D229,'SINAPI JULHO 2018'!$1:$1048576,4,FALSE),"")</f>
        <v>20.010000000000002</v>
      </c>
      <c r="I229" s="148">
        <f t="shared" ref="I229" si="39">TRUNC(G229*H229,2)</f>
        <v>6.6</v>
      </c>
    </row>
    <row r="230" spans="2:9">
      <c r="B230" s="131" t="s">
        <v>13518</v>
      </c>
      <c r="C230" s="132" t="s">
        <v>8</v>
      </c>
      <c r="D230" s="139">
        <v>88310</v>
      </c>
      <c r="E230" s="140" t="str">
        <f>IF($D230&lt;&gt;"",VLOOKUP($D230,'SINAPI JULHO 2018'!$A$1:G11588,2,FALSE),"")</f>
        <v>PINTOR COM ENCARGOS COMPLEMENTARES</v>
      </c>
      <c r="F230" s="141" t="str">
        <f>IF($D230&lt;&gt;"",VLOOKUP($D230,'SINAPI JULHO 2018'!$1:$1048576,3,FALSE),"")</f>
        <v>H</v>
      </c>
      <c r="G230" s="142">
        <v>0.19</v>
      </c>
      <c r="H230" s="144">
        <f>IF($D230&lt;&gt;"",VLOOKUP($D230,'SINAPI JULHO 2018'!$1:$1048576,4,FALSE),"")</f>
        <v>17.54</v>
      </c>
      <c r="I230" s="148">
        <f t="shared" ref="I230:I231" si="40">TRUNC(G230*H230,2)</f>
        <v>3.33</v>
      </c>
    </row>
    <row r="231" spans="2:9">
      <c r="B231" s="131" t="s">
        <v>13518</v>
      </c>
      <c r="C231" s="132" t="s">
        <v>8</v>
      </c>
      <c r="D231" s="139">
        <v>88316</v>
      </c>
      <c r="E231" s="140" t="str">
        <f>IF($D231&lt;&gt;"",VLOOKUP($D231,'SINAPI JULHO 2018'!$A$1:G11589,2,FALSE),"")</f>
        <v>SERVENTE COM ENCARGOS COMPLEMENTARES</v>
      </c>
      <c r="F231" s="141" t="str">
        <f>IF($D231&lt;&gt;"",VLOOKUP($D231,'SINAPI JULHO 2018'!$1:$1048576,3,FALSE),"")</f>
        <v>H</v>
      </c>
      <c r="G231" s="142">
        <v>7.0000000000000007E-2</v>
      </c>
      <c r="H231" s="144">
        <f>IF($D231&lt;&gt;"",VLOOKUP($D231,'SINAPI JULHO 2018'!$1:$1048576,4,FALSE),"")</f>
        <v>14.31</v>
      </c>
      <c r="I231" s="148">
        <f t="shared" si="40"/>
        <v>1</v>
      </c>
    </row>
    <row r="232" spans="2:9" s="239" customFormat="1">
      <c r="B232" s="391"/>
      <c r="C232" s="392"/>
      <c r="D232" s="392"/>
      <c r="E232" s="393"/>
      <c r="F232" s="392"/>
      <c r="G232" s="394"/>
      <c r="H232" s="395"/>
      <c r="I232" s="396"/>
    </row>
    <row r="233" spans="2:9" s="239" customFormat="1">
      <c r="B233" s="253" t="s">
        <v>390</v>
      </c>
      <c r="C233" s="254"/>
      <c r="D233" s="254"/>
      <c r="E233" s="255"/>
      <c r="F233" s="254"/>
      <c r="G233" s="256"/>
      <c r="H233" s="257"/>
      <c r="I233" s="258"/>
    </row>
    <row r="234" spans="2:9" s="239" customFormat="1">
      <c r="B234" s="388"/>
      <c r="C234" s="188"/>
      <c r="D234" s="233"/>
      <c r="E234" s="241"/>
      <c r="F234" s="188"/>
      <c r="G234" s="125"/>
      <c r="H234" s="242"/>
      <c r="I234" s="243"/>
    </row>
    <row r="235" spans="2:9" ht="25.5">
      <c r="B235" s="418" t="s">
        <v>13558</v>
      </c>
      <c r="C235" s="419"/>
      <c r="D235" s="420"/>
      <c r="E235" s="421" t="s">
        <v>13559</v>
      </c>
      <c r="F235" s="422" t="s">
        <v>5</v>
      </c>
      <c r="G235" s="423">
        <v>1</v>
      </c>
      <c r="H235" s="424"/>
      <c r="I235" s="425">
        <f>SUM(I236:I238)</f>
        <v>1523.46</v>
      </c>
    </row>
    <row r="236" spans="2:9">
      <c r="B236" s="131" t="s">
        <v>13502</v>
      </c>
      <c r="C236" s="132" t="s">
        <v>8</v>
      </c>
      <c r="D236" s="139">
        <v>88309</v>
      </c>
      <c r="E236" s="140" t="str">
        <f>IF($D236&lt;&gt;"",VLOOKUP($D236,'SINAPI JULHO 2018'!$A$1:G11594,2,FALSE),"")</f>
        <v>PEDREIRO COM ENCARGOS COMPLEMENTARES</v>
      </c>
      <c r="F236" s="141" t="str">
        <f>IF($D236&lt;&gt;"",VLOOKUP($D236,'SINAPI JULHO 2018'!$1:$1048576,3,FALSE),"")</f>
        <v>H</v>
      </c>
      <c r="G236" s="142">
        <v>0.5</v>
      </c>
      <c r="H236" s="144">
        <f>IF($D236&lt;&gt;"",VLOOKUP($D236,'SINAPI JULHO 2018'!$1:$1048576,4,FALSE),"")</f>
        <v>17.600000000000001</v>
      </c>
      <c r="I236" s="148">
        <f t="shared" ref="I236" si="41">TRUNC(G236*H236,2)</f>
        <v>8.8000000000000007</v>
      </c>
    </row>
    <row r="237" spans="2:9">
      <c r="B237" s="131" t="s">
        <v>13502</v>
      </c>
      <c r="C237" s="132" t="s">
        <v>8</v>
      </c>
      <c r="D237" s="139">
        <v>88316</v>
      </c>
      <c r="E237" s="140" t="str">
        <f>IF($D237&lt;&gt;"",VLOOKUP($D237,'SINAPI JULHO 2018'!$A$1:G11595,2,FALSE),"")</f>
        <v>SERVENTE COM ENCARGOS COMPLEMENTARES</v>
      </c>
      <c r="F237" s="141" t="str">
        <f>IF($D237&lt;&gt;"",VLOOKUP($D237,'SINAPI JULHO 2018'!$1:$1048576,3,FALSE),"")</f>
        <v>H</v>
      </c>
      <c r="G237" s="142">
        <v>0.5</v>
      </c>
      <c r="H237" s="144">
        <f>IF($D237&lt;&gt;"",VLOOKUP($D237,'SINAPI JULHO 2018'!$1:$1048576,4,FALSE),"")</f>
        <v>14.31</v>
      </c>
      <c r="I237" s="148">
        <f t="shared" ref="I237:I238" si="42">TRUNC(G237*H237,2)</f>
        <v>7.15</v>
      </c>
    </row>
    <row r="238" spans="2:9">
      <c r="B238" s="131" t="s">
        <v>13501</v>
      </c>
      <c r="C238" s="132" t="s">
        <v>8</v>
      </c>
      <c r="D238" s="139">
        <v>10848</v>
      </c>
      <c r="E238" s="140" t="str">
        <f>IF($D238&lt;&gt;"",VLOOKUP($D238,'SINAPI JULHO 2018'!$A$1:G11596,2,FALSE),"")</f>
        <v>PLACA DE INAUGURACAO METALICA, *40* CM X *60* CM</v>
      </c>
      <c r="F238" s="141" t="str">
        <f>IF($D238&lt;&gt;"",VLOOKUP($D238,'SINAPI JULHO 2018'!$1:$1048576,3,FALSE),"")</f>
        <v xml:space="preserve">UN    </v>
      </c>
      <c r="G238" s="142">
        <v>1</v>
      </c>
      <c r="H238" s="144">
        <f>IF($D238&lt;&gt;"",VLOOKUP($D238,'SINAPI JULHO 2018'!$1:$1048576,4,FALSE),"")</f>
        <v>1507.51</v>
      </c>
      <c r="I238" s="148">
        <f t="shared" si="42"/>
        <v>1507.51</v>
      </c>
    </row>
    <row r="240" spans="2:9">
      <c r="B240" s="418" t="s">
        <v>13560</v>
      </c>
      <c r="C240" s="419"/>
      <c r="D240" s="420"/>
      <c r="E240" s="421" t="s">
        <v>13561</v>
      </c>
      <c r="F240" s="422" t="s">
        <v>5</v>
      </c>
      <c r="G240" s="423">
        <v>1</v>
      </c>
      <c r="H240" s="424"/>
      <c r="I240" s="425">
        <f>SUM(I241:I267)</f>
        <v>2384.21</v>
      </c>
    </row>
    <row r="241" spans="2:9" ht="25.5">
      <c r="B241" s="131" t="s">
        <v>13502</v>
      </c>
      <c r="C241" s="132" t="s">
        <v>8</v>
      </c>
      <c r="D241" s="139">
        <v>92716</v>
      </c>
      <c r="E241" s="140" t="str">
        <f>IF($D241&lt;&gt;"",VLOOKUP($D241,'SINAPI JULHO 2018'!$A$1:G11600,2,FALSE),"")</f>
        <v>APARELHO PARA CORTE E SOLDA OXI-ACETILENO SOBRE RODAS, INCLUSIVE CILINDROS E MAÇARICOS - CHP DIURNO. AF_12/2015</v>
      </c>
      <c r="F241" s="141" t="str">
        <f>IF($D241&lt;&gt;"",VLOOKUP($D241,'SINAPI JULHO 2018'!$1:$1048576,3,FALSE),"")</f>
        <v>CHP</v>
      </c>
      <c r="G241" s="142">
        <v>0.85</v>
      </c>
      <c r="H241" s="144">
        <f>IF($D241&lt;&gt;"",VLOOKUP($D241,'SINAPI JULHO 2018'!$1:$1048576,4,FALSE),"")</f>
        <v>22.31</v>
      </c>
      <c r="I241" s="148">
        <f t="shared" ref="I241" si="43">TRUNC(G241*H241,2)</f>
        <v>18.96</v>
      </c>
    </row>
    <row r="242" spans="2:9">
      <c r="B242" s="131" t="s">
        <v>13502</v>
      </c>
      <c r="C242" s="132" t="s">
        <v>8</v>
      </c>
      <c r="D242" s="139">
        <v>88238</v>
      </c>
      <c r="E242" s="140" t="str">
        <f>IF($D242&lt;&gt;"",VLOOKUP($D242,'SINAPI JULHO 2018'!$A$1:G11601,2,FALSE),"")</f>
        <v>AJUDANTE DE ARMADOR COM ENCARGOS COMPLEMENTARES</v>
      </c>
      <c r="F242" s="141" t="str">
        <f>IF($D242&lt;&gt;"",VLOOKUP($D242,'SINAPI JULHO 2018'!$1:$1048576,3,FALSE),"")</f>
        <v>H</v>
      </c>
      <c r="G242" s="142">
        <v>2.34</v>
      </c>
      <c r="H242" s="144">
        <f>IF($D242&lt;&gt;"",VLOOKUP($D242,'SINAPI JULHO 2018'!$1:$1048576,4,FALSE),"")</f>
        <v>13.62</v>
      </c>
      <c r="I242" s="148">
        <f t="shared" ref="I242:I265" si="44">TRUNC(G242*H242,2)</f>
        <v>31.87</v>
      </c>
    </row>
    <row r="243" spans="2:9">
      <c r="B243" s="131" t="s">
        <v>13502</v>
      </c>
      <c r="C243" s="132" t="s">
        <v>8</v>
      </c>
      <c r="D243" s="139">
        <v>88239</v>
      </c>
      <c r="E243" s="140" t="str">
        <f>IF($D243&lt;&gt;"",VLOOKUP($D243,'SINAPI JULHO 2018'!$A$1:G11602,2,FALSE),"")</f>
        <v>AJUDANTE DE CARPINTEIRO COM ENCARGOS COMPLEMENTARES</v>
      </c>
      <c r="F243" s="141" t="str">
        <f>IF($D243&lt;&gt;"",VLOOKUP($D243,'SINAPI JULHO 2018'!$1:$1048576,3,FALSE),"")</f>
        <v>H</v>
      </c>
      <c r="G243" s="142">
        <v>3.5</v>
      </c>
      <c r="H243" s="144">
        <f>IF($D243&lt;&gt;"",VLOOKUP($D243,'SINAPI JULHO 2018'!$1:$1048576,4,FALSE),"")</f>
        <v>14.8</v>
      </c>
      <c r="I243" s="148">
        <f t="shared" si="44"/>
        <v>51.8</v>
      </c>
    </row>
    <row r="244" spans="2:9">
      <c r="B244" s="131" t="s">
        <v>13501</v>
      </c>
      <c r="C244" s="132" t="s">
        <v>8</v>
      </c>
      <c r="D244" s="139">
        <v>34466</v>
      </c>
      <c r="E244" s="140" t="str">
        <f>IF($D244&lt;&gt;"",VLOOKUP($D244,'SINAPI JULHO 2018'!$A$1:G11603,2,FALSE),"")</f>
        <v>AJUDANTE DE PINTOR</v>
      </c>
      <c r="F244" s="141" t="str">
        <f>IF($D244&lt;&gt;"",VLOOKUP($D244,'SINAPI JULHO 2018'!$1:$1048576,3,FALSE),"")</f>
        <v xml:space="preserve">H     </v>
      </c>
      <c r="G244" s="142">
        <v>3.5</v>
      </c>
      <c r="H244" s="144">
        <f>IF($D244&lt;&gt;"",VLOOKUP($D244,'SINAPI JULHO 2018'!$1:$1048576,4,FALSE),"")</f>
        <v>9.15</v>
      </c>
      <c r="I244" s="148">
        <f t="shared" si="44"/>
        <v>32.020000000000003</v>
      </c>
    </row>
    <row r="245" spans="2:9">
      <c r="B245" s="131" t="s">
        <v>13502</v>
      </c>
      <c r="C245" s="132" t="s">
        <v>8</v>
      </c>
      <c r="D245" s="139">
        <v>88245</v>
      </c>
      <c r="E245" s="140" t="str">
        <f>IF($D245&lt;&gt;"",VLOOKUP($D245,'SINAPI JULHO 2018'!$A$1:G11604,2,FALSE),"")</f>
        <v>ARMADOR COM ENCARGOS COMPLEMENTARES</v>
      </c>
      <c r="F245" s="141" t="str">
        <f>IF($D245&lt;&gt;"",VLOOKUP($D245,'SINAPI JULHO 2018'!$1:$1048576,3,FALSE),"")</f>
        <v>H</v>
      </c>
      <c r="G245" s="142">
        <v>2.34</v>
      </c>
      <c r="H245" s="144">
        <f>IF($D245&lt;&gt;"",VLOOKUP($D245,'SINAPI JULHO 2018'!$1:$1048576,4,FALSE),"")</f>
        <v>17.5</v>
      </c>
      <c r="I245" s="148">
        <f t="shared" si="44"/>
        <v>40.950000000000003</v>
      </c>
    </row>
    <row r="246" spans="2:9">
      <c r="B246" s="131" t="s">
        <v>13502</v>
      </c>
      <c r="C246" s="132" t="s">
        <v>8</v>
      </c>
      <c r="D246" s="139">
        <v>88262</v>
      </c>
      <c r="E246" s="140" t="str">
        <f>IF($D246&lt;&gt;"",VLOOKUP($D246,'SINAPI JULHO 2018'!$A$1:G11605,2,FALSE),"")</f>
        <v>CARPINTEIRO DE FORMAS COM ENCARGOS COMPLEMENTARES</v>
      </c>
      <c r="F246" s="141" t="str">
        <f>IF($D246&lt;&gt;"",VLOOKUP($D246,'SINAPI JULHO 2018'!$1:$1048576,3,FALSE),"")</f>
        <v>H</v>
      </c>
      <c r="G246" s="142">
        <v>3.5</v>
      </c>
      <c r="H246" s="144">
        <f>IF($D246&lt;&gt;"",VLOOKUP($D246,'SINAPI JULHO 2018'!$1:$1048576,4,FALSE),"")</f>
        <v>17.5</v>
      </c>
      <c r="I246" s="148">
        <f t="shared" si="44"/>
        <v>61.25</v>
      </c>
    </row>
    <row r="247" spans="2:9">
      <c r="B247" s="131" t="s">
        <v>13502</v>
      </c>
      <c r="C247" s="132" t="s">
        <v>8</v>
      </c>
      <c r="D247" s="139">
        <v>88256</v>
      </c>
      <c r="E247" s="140" t="str">
        <f>IF($D247&lt;&gt;"",VLOOKUP($D247,'SINAPI JULHO 2018'!$A$1:G11606,2,FALSE),"")</f>
        <v>AZULEJISTA OU LADRILHISTA COM ENCARGOS COMPLEMENTARES</v>
      </c>
      <c r="F247" s="141" t="str">
        <f>IF($D247&lt;&gt;"",VLOOKUP($D247,'SINAPI JULHO 2018'!$1:$1048576,3,FALSE),"")</f>
        <v>H</v>
      </c>
      <c r="G247" s="142">
        <v>5.5</v>
      </c>
      <c r="H247" s="144">
        <f>IF($D247&lt;&gt;"",VLOOKUP($D247,'SINAPI JULHO 2018'!$1:$1048576,4,FALSE),"")</f>
        <v>17.54</v>
      </c>
      <c r="I247" s="148">
        <f t="shared" si="44"/>
        <v>96.47</v>
      </c>
    </row>
    <row r="248" spans="2:9">
      <c r="B248" s="131" t="s">
        <v>13502</v>
      </c>
      <c r="C248" s="132" t="s">
        <v>8</v>
      </c>
      <c r="D248" s="139">
        <v>88309</v>
      </c>
      <c r="E248" s="140" t="str">
        <f>IF($D248&lt;&gt;"",VLOOKUP($D248,'SINAPI JULHO 2018'!$A$1:G11607,2,FALSE),"")</f>
        <v>PEDREIRO COM ENCARGOS COMPLEMENTARES</v>
      </c>
      <c r="F248" s="141" t="str">
        <f>IF($D248&lt;&gt;"",VLOOKUP($D248,'SINAPI JULHO 2018'!$1:$1048576,3,FALSE),"")</f>
        <v>H</v>
      </c>
      <c r="G248" s="142">
        <v>1.91</v>
      </c>
      <c r="H248" s="144">
        <f>IF($D248&lt;&gt;"",VLOOKUP($D248,'SINAPI JULHO 2018'!$1:$1048576,4,FALSE),"")</f>
        <v>17.600000000000001</v>
      </c>
      <c r="I248" s="148">
        <f t="shared" si="44"/>
        <v>33.61</v>
      </c>
    </row>
    <row r="249" spans="2:9">
      <c r="B249" s="131" t="s">
        <v>13502</v>
      </c>
      <c r="C249" s="132" t="s">
        <v>8</v>
      </c>
      <c r="D249" s="139">
        <v>88316</v>
      </c>
      <c r="E249" s="140" t="str">
        <f>IF($D249&lt;&gt;"",VLOOKUP($D249,'SINAPI JULHO 2018'!$A$1:G11608,2,FALSE),"")</f>
        <v>SERVENTE COM ENCARGOS COMPLEMENTARES</v>
      </c>
      <c r="F249" s="141" t="str">
        <f>IF($D249&lt;&gt;"",VLOOKUP($D249,'SINAPI JULHO 2018'!$1:$1048576,3,FALSE),"")</f>
        <v>H</v>
      </c>
      <c r="G249" s="142">
        <v>12.5</v>
      </c>
      <c r="H249" s="144">
        <f>IF($D249&lt;&gt;"",VLOOKUP($D249,'SINAPI JULHO 2018'!$1:$1048576,4,FALSE),"")</f>
        <v>14.31</v>
      </c>
      <c r="I249" s="148">
        <f t="shared" si="44"/>
        <v>178.87</v>
      </c>
    </row>
    <row r="250" spans="2:9">
      <c r="B250" s="131" t="s">
        <v>13501</v>
      </c>
      <c r="C250" s="132" t="s">
        <v>8</v>
      </c>
      <c r="D250" s="139">
        <v>337</v>
      </c>
      <c r="E250" s="140" t="str">
        <f>IF($D250&lt;&gt;"",VLOOKUP($D250,'SINAPI JULHO 2018'!$A$1:G11609,2,FALSE),"")</f>
        <v>ARAME RECOZIDO 18 BWG, 1,25 MM (0,01 KG/M)</v>
      </c>
      <c r="F250" s="141" t="str">
        <f>IF($D250&lt;&gt;"",VLOOKUP($D250,'SINAPI JULHO 2018'!$1:$1048576,3,FALSE),"")</f>
        <v xml:space="preserve">KG    </v>
      </c>
      <c r="G250" s="142">
        <v>0.59</v>
      </c>
      <c r="H250" s="144">
        <f>IF($D250&lt;&gt;"",VLOOKUP($D250,'SINAPI JULHO 2018'!$1:$1048576,4,FALSE),"")</f>
        <v>9.4</v>
      </c>
      <c r="I250" s="148">
        <f t="shared" si="44"/>
        <v>5.54</v>
      </c>
    </row>
    <row r="251" spans="2:9" ht="25.5">
      <c r="B251" s="131" t="s">
        <v>13501</v>
      </c>
      <c r="C251" s="132" t="s">
        <v>8</v>
      </c>
      <c r="D251" s="139">
        <v>367</v>
      </c>
      <c r="E251" s="140" t="str">
        <f>IF($D251&lt;&gt;"",VLOOKUP($D251,'SINAPI JULHO 2018'!$A$1:G11610,2,FALSE),"")</f>
        <v>AREIA GROSSA - POSTO JAZIDA/FORNECEDOR (RETIRADO NA JAZIDA, SEM TRANSPORTE)</v>
      </c>
      <c r="F251" s="141" t="str">
        <f>IF($D251&lt;&gt;"",VLOOKUP($D251,'SINAPI JULHO 2018'!$1:$1048576,3,FALSE),"")</f>
        <v xml:space="preserve">M3    </v>
      </c>
      <c r="G251" s="142">
        <v>0.5</v>
      </c>
      <c r="H251" s="144">
        <f>IF($D251&lt;&gt;"",VLOOKUP($D251,'SINAPI JULHO 2018'!$1:$1048576,4,FALSE),"")</f>
        <v>54</v>
      </c>
      <c r="I251" s="148">
        <f t="shared" si="44"/>
        <v>27</v>
      </c>
    </row>
    <row r="252" spans="2:9">
      <c r="B252" s="131" t="s">
        <v>13501</v>
      </c>
      <c r="C252" s="132" t="s">
        <v>8</v>
      </c>
      <c r="D252" s="139">
        <v>33</v>
      </c>
      <c r="E252" s="140" t="str">
        <f>IF($D252&lt;&gt;"",VLOOKUP($D252,'SINAPI JULHO 2018'!$A$1:G11611,2,FALSE),"")</f>
        <v>ACO CA-50, 8,0 MM, VERGALHAO</v>
      </c>
      <c r="F252" s="141" t="str">
        <f>IF($D252&lt;&gt;"",VLOOKUP($D252,'SINAPI JULHO 2018'!$1:$1048576,3,FALSE),"")</f>
        <v xml:space="preserve">KG    </v>
      </c>
      <c r="G252" s="142">
        <v>33.5</v>
      </c>
      <c r="H252" s="144">
        <f>IF($D252&lt;&gt;"",VLOOKUP($D252,'SINAPI JULHO 2018'!$1:$1048576,4,FALSE),"")</f>
        <v>5.34</v>
      </c>
      <c r="I252" s="148">
        <f t="shared" si="44"/>
        <v>178.89</v>
      </c>
    </row>
    <row r="253" spans="2:9" ht="25.5">
      <c r="B253" s="131" t="s">
        <v>13501</v>
      </c>
      <c r="C253" s="132" t="s">
        <v>8</v>
      </c>
      <c r="D253" s="139">
        <v>4718</v>
      </c>
      <c r="E253" s="140" t="str">
        <f>IF($D253&lt;&gt;"",VLOOKUP($D253,'SINAPI JULHO 2018'!$A$1:G11612,2,FALSE),"")</f>
        <v>PEDRA BRITADA N. 2 (19 A 38 MM) POSTO PEDREIRA/FORNECEDOR, SEM FRETE</v>
      </c>
      <c r="F253" s="141" t="str">
        <f>IF($D253&lt;&gt;"",VLOOKUP($D253,'SINAPI JULHO 2018'!$1:$1048576,3,FALSE),"")</f>
        <v xml:space="preserve">M3    </v>
      </c>
      <c r="G253" s="142">
        <v>0.16</v>
      </c>
      <c r="H253" s="144">
        <f>IF($D253&lt;&gt;"",VLOOKUP($D253,'SINAPI JULHO 2018'!$1:$1048576,4,FALSE),"")</f>
        <v>63.77</v>
      </c>
      <c r="I253" s="148">
        <f t="shared" si="44"/>
        <v>10.199999999999999</v>
      </c>
    </row>
    <row r="254" spans="2:9">
      <c r="B254" s="131" t="s">
        <v>13501</v>
      </c>
      <c r="C254" s="132" t="s">
        <v>8</v>
      </c>
      <c r="D254" s="139">
        <v>1106</v>
      </c>
      <c r="E254" s="140" t="str">
        <f>IF($D254&lt;&gt;"",VLOOKUP($D254,'SINAPI JULHO 2018'!$A$1:G11613,2,FALSE),"")</f>
        <v>CAL HIDRATADA CH-I PARA ARGAMASSAS</v>
      </c>
      <c r="F254" s="141" t="str">
        <f>IF($D254&lt;&gt;"",VLOOKUP($D254,'SINAPI JULHO 2018'!$1:$1048576,3,FALSE),"")</f>
        <v xml:space="preserve">KG    </v>
      </c>
      <c r="G254" s="142">
        <v>7.28</v>
      </c>
      <c r="H254" s="144">
        <f>IF($D254&lt;&gt;"",VLOOKUP($D254,'SINAPI JULHO 2018'!$1:$1048576,4,FALSE),"")</f>
        <v>0.56000000000000005</v>
      </c>
      <c r="I254" s="148">
        <f t="shared" si="44"/>
        <v>4.07</v>
      </c>
    </row>
    <row r="255" spans="2:9" ht="25.5">
      <c r="B255" s="131" t="s">
        <v>13501</v>
      </c>
      <c r="C255" s="132" t="s">
        <v>8</v>
      </c>
      <c r="D255" s="139">
        <v>1347</v>
      </c>
      <c r="E255" s="140" t="str">
        <f>IF($D255&lt;&gt;"",VLOOKUP($D255,'SINAPI JULHO 2018'!$A$1:G11614,2,FALSE),"")</f>
        <v>CHAPA DE MADEIRA COMPENSADA PLASTIFICADA PARA FORMA DE CONCRETO, DE 2,20 X 1,10 M, E = 12 MM</v>
      </c>
      <c r="F255" s="141" t="str">
        <f>IF($D255&lt;&gt;"",VLOOKUP($D255,'SINAPI JULHO 2018'!$1:$1048576,3,FALSE),"")</f>
        <v xml:space="preserve">M2    </v>
      </c>
      <c r="G255" s="142">
        <v>3.3</v>
      </c>
      <c r="H255" s="144">
        <f>IF($D255&lt;&gt;"",VLOOKUP($D255,'SINAPI JULHO 2018'!$1:$1048576,4,FALSE),"")</f>
        <v>26.72</v>
      </c>
      <c r="I255" s="148">
        <f t="shared" si="44"/>
        <v>88.17</v>
      </c>
    </row>
    <row r="256" spans="2:9">
      <c r="B256" s="131" t="s">
        <v>13501</v>
      </c>
      <c r="C256" s="132" t="s">
        <v>8</v>
      </c>
      <c r="D256" s="139">
        <v>1379</v>
      </c>
      <c r="E256" s="140" t="str">
        <f>IF($D256&lt;&gt;"",VLOOKUP($D256,'SINAPI JULHO 2018'!$A$1:G11615,2,FALSE),"")</f>
        <v>CIMENTO PORTLAND COMPOSTO CP II-32</v>
      </c>
      <c r="F256" s="141" t="str">
        <f>IF($D256&lt;&gt;"",VLOOKUP($D256,'SINAPI JULHO 2018'!$1:$1048576,3,FALSE),"")</f>
        <v xml:space="preserve">KG    </v>
      </c>
      <c r="G256" s="142">
        <v>112</v>
      </c>
      <c r="H256" s="144">
        <f>IF($D256&lt;&gt;"",VLOOKUP($D256,'SINAPI JULHO 2018'!$1:$1048576,4,FALSE),"")</f>
        <v>0.51</v>
      </c>
      <c r="I256" s="148">
        <f t="shared" si="44"/>
        <v>57.12</v>
      </c>
    </row>
    <row r="257" spans="2:9" ht="25.5">
      <c r="B257" s="131" t="s">
        <v>13501</v>
      </c>
      <c r="C257" s="132" t="s">
        <v>8</v>
      </c>
      <c r="D257" s="139">
        <v>2692</v>
      </c>
      <c r="E257" s="140" t="str">
        <f>IF($D257&lt;&gt;"",VLOOKUP($D257,'SINAPI JULHO 2018'!$A$1:G11616,2,FALSE),"")</f>
        <v>DESMOLDANTE PROTETOR PARA FORMAS DE MADEIRA, DE BASE OLEOSA EMULSIONADA EM AGUA</v>
      </c>
      <c r="F257" s="141" t="str">
        <f>IF($D257&lt;&gt;"",VLOOKUP($D257,'SINAPI JULHO 2018'!$1:$1048576,3,FALSE),"")</f>
        <v xml:space="preserve">L     </v>
      </c>
      <c r="G257" s="142">
        <v>1.8</v>
      </c>
      <c r="H257" s="144">
        <f>IF($D257&lt;&gt;"",VLOOKUP($D257,'SINAPI JULHO 2018'!$1:$1048576,4,FALSE),"")</f>
        <v>5.82</v>
      </c>
      <c r="I257" s="148">
        <f t="shared" si="44"/>
        <v>10.47</v>
      </c>
    </row>
    <row r="258" spans="2:9">
      <c r="B258" s="131" t="s">
        <v>13501</v>
      </c>
      <c r="C258" s="132" t="s">
        <v>8</v>
      </c>
      <c r="D258" s="139">
        <v>10997</v>
      </c>
      <c r="E258" s="140" t="str">
        <f>IF($D258&lt;&gt;"",VLOOKUP($D258,'SINAPI JULHO 2018'!$A$1:G11617,2,FALSE),"")</f>
        <v>ELETRODO REVESTIDO AWS - E7018, DIAMETRO IGUAL A 4,00 MM</v>
      </c>
      <c r="F258" s="141" t="str">
        <f>IF($D258&lt;&gt;"",VLOOKUP($D258,'SINAPI JULHO 2018'!$1:$1048576,3,FALSE),"")</f>
        <v xml:space="preserve">KG    </v>
      </c>
      <c r="G258" s="142">
        <v>0.85</v>
      </c>
      <c r="H258" s="144">
        <f>IF($D258&lt;&gt;"",VLOOKUP($D258,'SINAPI JULHO 2018'!$1:$1048576,4,FALSE),"")</f>
        <v>12</v>
      </c>
      <c r="I258" s="148">
        <f t="shared" si="44"/>
        <v>10.199999999999999</v>
      </c>
    </row>
    <row r="259" spans="2:9" ht="25.5">
      <c r="B259" s="131" t="s">
        <v>13501</v>
      </c>
      <c r="C259" s="132" t="s">
        <v>8</v>
      </c>
      <c r="D259" s="139">
        <v>7293</v>
      </c>
      <c r="E259" s="140" t="str">
        <f>IF($D259&lt;&gt;"",VLOOKUP($D259,'SINAPI JULHO 2018'!$A$1:G11618,2,FALSE),"")</f>
        <v>TINTA ESMALTE SINTETICO GRAFITE COM PROTECAO PARA METAIS FERROSOS</v>
      </c>
      <c r="F259" s="141" t="str">
        <f>IF($D259&lt;&gt;"",VLOOKUP($D259,'SINAPI JULHO 2018'!$1:$1048576,3,FALSE),"")</f>
        <v xml:space="preserve">L     </v>
      </c>
      <c r="G259" s="142">
        <v>1.1000000000000001</v>
      </c>
      <c r="H259" s="144">
        <f>IF($D259&lt;&gt;"",VLOOKUP($D259,'SINAPI JULHO 2018'!$1:$1048576,4,FALSE),"")</f>
        <v>21.31</v>
      </c>
      <c r="I259" s="148">
        <f t="shared" si="44"/>
        <v>23.44</v>
      </c>
    </row>
    <row r="260" spans="2:9">
      <c r="B260" s="131" t="s">
        <v>13501</v>
      </c>
      <c r="C260" s="132" t="s">
        <v>8</v>
      </c>
      <c r="D260" s="139">
        <v>3731</v>
      </c>
      <c r="E260" s="140" t="str">
        <f>IF($D260&lt;&gt;"",VLOOKUP($D260,'SINAPI JULHO 2018'!$A$1:G11619,2,FALSE),"")</f>
        <v>LADRILHO HIDRAULICO, *20 X 20* CM, E= 2 CM, DADOS, COR NATURAL</v>
      </c>
      <c r="F260" s="141" t="str">
        <f>IF($D260&lt;&gt;"",VLOOKUP($D260,'SINAPI JULHO 2018'!$1:$1048576,3,FALSE),"")</f>
        <v xml:space="preserve">M2    </v>
      </c>
      <c r="G260" s="142">
        <v>4.3499999999999996</v>
      </c>
      <c r="H260" s="144">
        <f>IF($D260&lt;&gt;"",VLOOKUP($D260,'SINAPI JULHO 2018'!$1:$1048576,4,FALSE),"")</f>
        <v>45.25</v>
      </c>
      <c r="I260" s="148">
        <f t="shared" si="44"/>
        <v>196.83</v>
      </c>
    </row>
    <row r="261" spans="2:9">
      <c r="B261" s="131" t="s">
        <v>13501</v>
      </c>
      <c r="C261" s="132" t="s">
        <v>8</v>
      </c>
      <c r="D261" s="139">
        <v>3768</v>
      </c>
      <c r="E261" s="140" t="str">
        <f>IF($D261&lt;&gt;"",VLOOKUP($D261,'SINAPI JULHO 2018'!$A$1:G11620,2,FALSE),"")</f>
        <v>LIXA EM FOLHA PARA FERRO, NUMERO 150</v>
      </c>
      <c r="F261" s="141" t="str">
        <f>IF($D261&lt;&gt;"",VLOOKUP($D261,'SINAPI JULHO 2018'!$1:$1048576,3,FALSE),"")</f>
        <v xml:space="preserve">UN    </v>
      </c>
      <c r="G261" s="142">
        <v>2.1</v>
      </c>
      <c r="H261" s="144">
        <f>IF($D261&lt;&gt;"",VLOOKUP($D261,'SINAPI JULHO 2018'!$1:$1048576,4,FALSE),"")</f>
        <v>2.2000000000000002</v>
      </c>
      <c r="I261" s="148">
        <f t="shared" si="44"/>
        <v>4.62</v>
      </c>
    </row>
    <row r="262" spans="2:9" ht="25.5">
      <c r="B262" s="131" t="s">
        <v>13501</v>
      </c>
      <c r="C262" s="132" t="s">
        <v>8</v>
      </c>
      <c r="D262" s="139">
        <v>4720</v>
      </c>
      <c r="E262" s="140" t="str">
        <f>IF($D262&lt;&gt;"",VLOOKUP($D262,'SINAPI JULHO 2018'!$A$1:G11621,2,FALSE),"")</f>
        <v>PEDRA BRITADA N. 0, OU PEDRISCO (4,8 A 9,5 MM) POSTO PEDREIRA/FORNECEDOR, SEM FRETE</v>
      </c>
      <c r="F262" s="141" t="str">
        <f>IF($D262&lt;&gt;"",VLOOKUP($D262,'SINAPI JULHO 2018'!$1:$1048576,3,FALSE),"")</f>
        <v xml:space="preserve">M3    </v>
      </c>
      <c r="G262" s="142">
        <v>0.38</v>
      </c>
      <c r="H262" s="144">
        <f>IF($D262&lt;&gt;"",VLOOKUP($D262,'SINAPI JULHO 2018'!$1:$1048576,4,FALSE),"")</f>
        <v>81.42</v>
      </c>
      <c r="I262" s="148">
        <f t="shared" si="44"/>
        <v>30.93</v>
      </c>
    </row>
    <row r="263" spans="2:9">
      <c r="B263" s="131" t="s">
        <v>13501</v>
      </c>
      <c r="C263" s="132" t="s">
        <v>13507</v>
      </c>
      <c r="D263" s="139"/>
      <c r="E263" s="140" t="s">
        <v>13562</v>
      </c>
      <c r="F263" s="141" t="s">
        <v>283</v>
      </c>
      <c r="G263" s="142">
        <v>0.45</v>
      </c>
      <c r="H263" s="144">
        <v>9.4</v>
      </c>
      <c r="I263" s="148">
        <f t="shared" si="44"/>
        <v>4.2300000000000004</v>
      </c>
    </row>
    <row r="264" spans="2:9">
      <c r="B264" s="131" t="s">
        <v>13501</v>
      </c>
      <c r="C264" s="132" t="s">
        <v>13507</v>
      </c>
      <c r="D264" s="139"/>
      <c r="E264" s="140" t="s">
        <v>13563</v>
      </c>
      <c r="F264" s="141" t="s">
        <v>172</v>
      </c>
      <c r="G264" s="142">
        <v>2.25</v>
      </c>
      <c r="H264" s="144">
        <v>4.74</v>
      </c>
      <c r="I264" s="148">
        <f t="shared" si="44"/>
        <v>10.66</v>
      </c>
    </row>
    <row r="265" spans="2:9" ht="25.5">
      <c r="B265" s="131" t="s">
        <v>13501</v>
      </c>
      <c r="C265" s="132" t="s">
        <v>8</v>
      </c>
      <c r="D265" s="139">
        <v>21014</v>
      </c>
      <c r="E265" s="140" t="str">
        <f>IF($D265&lt;&gt;"",VLOOKUP($D265,'SINAPI JULHO 2018'!$A$1:G11624,2,FALSE),"")</f>
        <v>TUBO ACO GALVANIZADO COM COSTURA, CLASSE LEVE, DN 65 MM ( 2 1/2"),  E = 3,35 MM, * 6,23* KG/M (NBR 5580)</v>
      </c>
      <c r="F265" s="141" t="str">
        <f>IF($D265&lt;&gt;"",VLOOKUP($D265,'SINAPI JULHO 2018'!$1:$1048576,3,FALSE),"")</f>
        <v xml:space="preserve">M     </v>
      </c>
      <c r="G265" s="142">
        <v>11</v>
      </c>
      <c r="H265" s="144">
        <f>IF($D265&lt;&gt;"",VLOOKUP($D265,'SINAPI JULHO 2018'!$1:$1048576,4,FALSE),"")</f>
        <v>50.23</v>
      </c>
      <c r="I265" s="148">
        <f t="shared" si="44"/>
        <v>552.53</v>
      </c>
    </row>
    <row r="266" spans="2:9" ht="25.5">
      <c r="B266" s="131" t="s">
        <v>13501</v>
      </c>
      <c r="C266" s="132" t="s">
        <v>8</v>
      </c>
      <c r="D266" s="139">
        <v>21015</v>
      </c>
      <c r="E266" s="140" t="str">
        <f>IF($D266&lt;&gt;"",VLOOKUP($D266,'SINAPI JULHO 2018'!$A$1:G11625,2,FALSE),"")</f>
        <v>TUBO ACO GALVANIZADO COM COSTURA, CLASSE LEVE, DN 80 MM ( 3"),  E = 3,35 MM, *7,32* KG/M (NBR 5580)</v>
      </c>
      <c r="F266" s="141" t="str">
        <f>IF($D266&lt;&gt;"",VLOOKUP($D266,'SINAPI JULHO 2018'!$1:$1048576,3,FALSE),"")</f>
        <v xml:space="preserve">M     </v>
      </c>
      <c r="G266" s="142">
        <v>10.5</v>
      </c>
      <c r="H266" s="144">
        <f>IF($D266&lt;&gt;"",VLOOKUP($D266,'SINAPI JULHO 2018'!$1:$1048576,4,FALSE),"")</f>
        <v>57.7</v>
      </c>
      <c r="I266" s="148">
        <f t="shared" ref="I266:I267" si="45">TRUNC(G266*H266,2)</f>
        <v>605.85</v>
      </c>
    </row>
    <row r="267" spans="2:9">
      <c r="B267" s="131" t="s">
        <v>13501</v>
      </c>
      <c r="C267" s="132" t="s">
        <v>8</v>
      </c>
      <c r="D267" s="139">
        <v>7307</v>
      </c>
      <c r="E267" s="140" t="str">
        <f>IF($D267&lt;&gt;"",VLOOKUP($D267,'SINAPI JULHO 2018'!$A$1:G11626,2,FALSE),"")</f>
        <v>FUNDO ANTICORROSIVO PARA METAIS FERROSOS (ZARCAO)</v>
      </c>
      <c r="F267" s="141" t="str">
        <f>IF($D267&lt;&gt;"",VLOOKUP($D267,'SINAPI JULHO 2018'!$1:$1048576,3,FALSE),"")</f>
        <v xml:space="preserve">L     </v>
      </c>
      <c r="G267" s="142">
        <v>0.85</v>
      </c>
      <c r="H267" s="144">
        <f>IF($D267&lt;&gt;"",VLOOKUP($D267,'SINAPI JULHO 2018'!$1:$1048576,4,FALSE),"")</f>
        <v>20.78</v>
      </c>
      <c r="I267" s="148">
        <f t="shared" si="45"/>
        <v>17.66</v>
      </c>
    </row>
    <row r="268" spans="2:9" s="239" customFormat="1">
      <c r="B268" s="188"/>
      <c r="C268" s="188"/>
      <c r="D268" s="233"/>
      <c r="E268" s="241"/>
      <c r="F268" s="188"/>
      <c r="G268" s="125"/>
      <c r="H268" s="242"/>
      <c r="I268" s="390"/>
    </row>
    <row r="269" spans="2:9" s="239" customFormat="1">
      <c r="B269" s="253" t="s">
        <v>13564</v>
      </c>
      <c r="C269" s="188"/>
      <c r="D269" s="233"/>
      <c r="E269" s="241"/>
      <c r="F269" s="188"/>
      <c r="G269" s="125"/>
      <c r="H269" s="242"/>
      <c r="I269" s="390"/>
    </row>
    <row r="270" spans="2:9" s="239" customFormat="1">
      <c r="B270" s="188"/>
      <c r="C270" s="188"/>
      <c r="D270" s="233"/>
      <c r="E270" s="241"/>
      <c r="F270" s="188"/>
      <c r="G270" s="125"/>
      <c r="H270" s="242"/>
      <c r="I270" s="390"/>
    </row>
    <row r="271" spans="2:9" s="239" customFormat="1" ht="51">
      <c r="B271" s="418" t="s">
        <v>13565</v>
      </c>
      <c r="C271" s="419"/>
      <c r="D271" s="420"/>
      <c r="E271" s="421" t="s">
        <v>4986</v>
      </c>
      <c r="F271" s="422" t="s">
        <v>474</v>
      </c>
      <c r="G271" s="423">
        <v>1</v>
      </c>
      <c r="H271" s="424"/>
      <c r="I271" s="425">
        <f>SUM(I272:I278)</f>
        <v>679.36</v>
      </c>
    </row>
    <row r="272" spans="2:9" s="239" customFormat="1">
      <c r="B272" s="131" t="s">
        <v>13514</v>
      </c>
      <c r="C272" s="132" t="s">
        <v>8</v>
      </c>
      <c r="D272" s="139">
        <v>3146</v>
      </c>
      <c r="E272" s="140" t="str">
        <f>IF($D272&lt;&gt;"",VLOOKUP($D272,'SINAPI JULHO 2018'!$A$1:G11631,2,FALSE),"")</f>
        <v>FITA VEDA ROSCA EM ROLOS DE 18 MM X 10 M (L X C)</v>
      </c>
      <c r="F272" s="141" t="str">
        <f>IF($D272&lt;&gt;"",VLOOKUP($D272,'SINAPI JULHO 2018'!$1:$1048576,3,FALSE),"")</f>
        <v xml:space="preserve">UN    </v>
      </c>
      <c r="G272" s="142">
        <v>7.5999999999999998E-2</v>
      </c>
      <c r="H272" s="144">
        <f>IF($D272&lt;&gt;"",VLOOKUP($D272,'SINAPI JULHO 2018'!$1:$1048576,4,FALSE),"")</f>
        <v>3</v>
      </c>
      <c r="I272" s="148">
        <f t="shared" ref="I272" si="46">TRUNC(G272*H272,2)</f>
        <v>0.22</v>
      </c>
    </row>
    <row r="273" spans="2:9" s="239" customFormat="1" ht="38.25">
      <c r="B273" s="131" t="s">
        <v>13514</v>
      </c>
      <c r="C273" s="132" t="s">
        <v>8</v>
      </c>
      <c r="D273" s="139">
        <v>4351</v>
      </c>
      <c r="E273" s="140" t="str">
        <f>IF($D273&lt;&gt;"",VLOOKUP($D273,'SINAPI JULHO 2018'!$A$1:G11632,2,FALSE),"")</f>
        <v>PARAFUSO NIQUELADO 3 1/2" COM ACABAMENTO CROMADO PARA FIXAR PECA SANITARIA, INCLUI PORCA CEGA, ARRUELA E BUCHA DE NYLON TAMANHO S-8</v>
      </c>
      <c r="F273" s="141" t="str">
        <f>IF($D273&lt;&gt;"",VLOOKUP($D273,'SINAPI JULHO 2018'!$1:$1048576,3,FALSE),"")</f>
        <v xml:space="preserve">UN    </v>
      </c>
      <c r="G273" s="142">
        <v>2</v>
      </c>
      <c r="H273" s="144">
        <f>IF($D273&lt;&gt;"",VLOOKUP($D273,'SINAPI JULHO 2018'!$1:$1048576,4,FALSE),"")</f>
        <v>8.85</v>
      </c>
      <c r="I273" s="148">
        <f t="shared" ref="I273:I278" si="47">TRUNC(G273*H273,2)</f>
        <v>17.7</v>
      </c>
    </row>
    <row r="274" spans="2:9" s="239" customFormat="1" ht="25.5">
      <c r="B274" s="131" t="s">
        <v>13514</v>
      </c>
      <c r="C274" s="132" t="s">
        <v>8</v>
      </c>
      <c r="D274" s="139">
        <v>6021</v>
      </c>
      <c r="E274" s="140" t="str">
        <f>IF($D274&lt;&gt;"",VLOOKUP($D274,'SINAPI JULHO 2018'!$A$1:G11633,2,FALSE),"")</f>
        <v>REGISTRO PRESSAO COM ACABAMENTO E CANOPLA CROMADA, SIMPLES, BITOLA 1/2 " (REF 1416)</v>
      </c>
      <c r="F274" s="141" t="str">
        <f>IF($D274&lt;&gt;"",VLOOKUP($D274,'SINAPI JULHO 2018'!$1:$1048576,3,FALSE),"")</f>
        <v xml:space="preserve">UN    </v>
      </c>
      <c r="G274" s="142">
        <v>1</v>
      </c>
      <c r="H274" s="144">
        <f>IF($D274&lt;&gt;"",VLOOKUP($D274,'SINAPI JULHO 2018'!$1:$1048576,4,FALSE),"")</f>
        <v>24.63</v>
      </c>
      <c r="I274" s="148">
        <f t="shared" si="47"/>
        <v>24.63</v>
      </c>
    </row>
    <row r="275" spans="2:9" s="239" customFormat="1" ht="34.5" customHeight="1">
      <c r="B275" s="131" t="s">
        <v>13514</v>
      </c>
      <c r="C275" s="132" t="s">
        <v>8</v>
      </c>
      <c r="D275" s="139">
        <v>11698</v>
      </c>
      <c r="E275" s="140" t="str">
        <f>IF($D275&lt;&gt;"",VLOOKUP($D275,'SINAPI JULHO 2018'!$A$1:G11634,2,FALSE),"")</f>
        <v>MICTORIO COLETIVO ACO INOX (AISI 304), E = 0,8 MM, DE *100 X 50 X 35* CM (C X A X P)</v>
      </c>
      <c r="F275" s="141" t="str">
        <f>IF($D275&lt;&gt;"",VLOOKUP($D275,'SINAPI JULHO 2018'!$1:$1048576,3,FALSE),"")</f>
        <v xml:space="preserve">UN    </v>
      </c>
      <c r="G275" s="142">
        <v>1</v>
      </c>
      <c r="H275" s="144">
        <f>IF($D275&lt;&gt;"",VLOOKUP($D275,'SINAPI JULHO 2018'!$1:$1048576,4,FALSE),"")</f>
        <v>494.87</v>
      </c>
      <c r="I275" s="148">
        <f t="shared" si="47"/>
        <v>494.87</v>
      </c>
    </row>
    <row r="276" spans="2:9" s="239" customFormat="1">
      <c r="B276" s="131" t="s">
        <v>13514</v>
      </c>
      <c r="C276" s="132" t="s">
        <v>8</v>
      </c>
      <c r="D276" s="139">
        <v>11683</v>
      </c>
      <c r="E276" s="140" t="str">
        <f>IF($D276&lt;&gt;"",VLOOKUP($D276,'SINAPI JULHO 2018'!$A$1:G11635,2,FALSE),"")</f>
        <v>ENGATE / RABICHO FLEXIVEL INOX 1/2 " X 30 CM</v>
      </c>
      <c r="F276" s="141" t="str">
        <f>IF($D276&lt;&gt;"",VLOOKUP($D276,'SINAPI JULHO 2018'!$1:$1048576,3,FALSE),"")</f>
        <v xml:space="preserve">UN    </v>
      </c>
      <c r="G276" s="142">
        <v>1</v>
      </c>
      <c r="H276" s="144">
        <f>IF($D276&lt;&gt;"",VLOOKUP($D276,'SINAPI JULHO 2018'!$1:$1048576,4,FALSE),"")</f>
        <v>29.45</v>
      </c>
      <c r="I276" s="148">
        <f t="shared" si="47"/>
        <v>29.45</v>
      </c>
    </row>
    <row r="277" spans="2:9" s="239" customFormat="1" ht="25.5">
      <c r="B277" s="131" t="s">
        <v>13518</v>
      </c>
      <c r="C277" s="132" t="s">
        <v>8</v>
      </c>
      <c r="D277" s="139">
        <v>88248</v>
      </c>
      <c r="E277" s="140" t="str">
        <f>IF($D277&lt;&gt;"",VLOOKUP($D277,'SINAPI JULHO 2018'!$A$1:G11636,2,FALSE),"")</f>
        <v>AUXILIAR DE ENCANADOR OU BOMBEIRO HIDRÁULICO COM ENCARGOS COMPLEMENTARES</v>
      </c>
      <c r="F277" s="141" t="str">
        <f>IF($D277&lt;&gt;"",VLOOKUP($D277,'SINAPI JULHO 2018'!$1:$1048576,3,FALSE),"")</f>
        <v>H</v>
      </c>
      <c r="G277" s="142">
        <v>3.5</v>
      </c>
      <c r="H277" s="144">
        <f>IF($D277&lt;&gt;"",VLOOKUP($D277,'SINAPI JULHO 2018'!$1:$1048576,4,FALSE),"")</f>
        <v>14.12</v>
      </c>
      <c r="I277" s="148">
        <f t="shared" si="47"/>
        <v>49.42</v>
      </c>
    </row>
    <row r="278" spans="2:9" s="239" customFormat="1" ht="25.5">
      <c r="B278" s="131" t="s">
        <v>13518</v>
      </c>
      <c r="C278" s="132" t="s">
        <v>8</v>
      </c>
      <c r="D278" s="139">
        <v>88267</v>
      </c>
      <c r="E278" s="140" t="str">
        <f>IF($D278&lt;&gt;"",VLOOKUP($D278,'SINAPI JULHO 2018'!$A$1:G11637,2,FALSE),"")</f>
        <v>ENCANADOR OU BOMBEIRO HIDRÁULICO COM ENCARGOS COMPLEMENTARES</v>
      </c>
      <c r="F278" s="141" t="str">
        <f>IF($D278&lt;&gt;"",VLOOKUP($D278,'SINAPI JULHO 2018'!$1:$1048576,3,FALSE),"")</f>
        <v>H</v>
      </c>
      <c r="G278" s="142">
        <v>3.5</v>
      </c>
      <c r="H278" s="144">
        <f>IF($D278&lt;&gt;"",VLOOKUP($D278,'SINAPI JULHO 2018'!$1:$1048576,4,FALSE),"")</f>
        <v>18.02</v>
      </c>
      <c r="I278" s="148">
        <f t="shared" si="47"/>
        <v>63.07</v>
      </c>
    </row>
    <row r="279" spans="2:9" s="239" customFormat="1">
      <c r="B279" s="188"/>
      <c r="C279" s="188"/>
      <c r="D279" s="233"/>
      <c r="E279" s="241"/>
      <c r="F279" s="188"/>
      <c r="G279" s="125"/>
      <c r="H279" s="242"/>
      <c r="I279" s="390"/>
    </row>
    <row r="280" spans="2:9" s="239" customFormat="1">
      <c r="B280" s="253" t="s">
        <v>13566</v>
      </c>
      <c r="C280" s="188"/>
      <c r="D280" s="233"/>
      <c r="E280" s="241"/>
      <c r="F280" s="188"/>
      <c r="G280" s="125"/>
      <c r="H280" s="242"/>
      <c r="I280" s="390"/>
    </row>
    <row r="281" spans="2:9" s="239" customFormat="1">
      <c r="B281" s="188"/>
      <c r="C281" s="188"/>
      <c r="D281" s="233"/>
      <c r="E281" s="241"/>
      <c r="F281" s="188"/>
      <c r="G281" s="125"/>
      <c r="H281" s="242"/>
      <c r="I281" s="390"/>
    </row>
    <row r="282" spans="2:9" s="239" customFormat="1" ht="25.5">
      <c r="B282" s="418" t="s">
        <v>13567</v>
      </c>
      <c r="C282" s="419"/>
      <c r="D282" s="420"/>
      <c r="E282" s="421" t="s">
        <v>13568</v>
      </c>
      <c r="F282" s="422" t="s">
        <v>5</v>
      </c>
      <c r="G282" s="423">
        <v>1</v>
      </c>
      <c r="H282" s="424"/>
      <c r="I282" s="425">
        <f>SUM(I283:I287)</f>
        <v>207.84</v>
      </c>
    </row>
    <row r="283" spans="2:9" s="239" customFormat="1" ht="25.5">
      <c r="B283" s="131" t="s">
        <v>13514</v>
      </c>
      <c r="C283" s="132" t="s">
        <v>8</v>
      </c>
      <c r="D283" s="139">
        <v>142</v>
      </c>
      <c r="E283" s="140" t="str">
        <f>IF($D283&lt;&gt;"",VLOOKUP($D283,'SINAPI JULHO 2018'!$A$1:G11642,2,FALSE),"")</f>
        <v>SELANTE ELASTICO MONOCOMPONENTE A BASE DE POLIURETANO PARA JUNTAS DIVERSAS</v>
      </c>
      <c r="F283" s="141" t="str">
        <f>IF($D283&lt;&gt;"",VLOOKUP($D283,'SINAPI JULHO 2018'!$1:$1048576,3,FALSE),"")</f>
        <v xml:space="preserve">310ML </v>
      </c>
      <c r="G283" s="142">
        <v>5</v>
      </c>
      <c r="H283" s="144">
        <f>IF($D283&lt;&gt;"",VLOOKUP($D283,'SINAPI JULHO 2018'!$1:$1048576,4,FALSE),"")</f>
        <v>29.57</v>
      </c>
      <c r="I283" s="148">
        <f t="shared" ref="I283" si="48">TRUNC(G283*H283,2)</f>
        <v>147.85</v>
      </c>
    </row>
    <row r="284" spans="2:9" s="239" customFormat="1" ht="25.5">
      <c r="B284" s="131" t="s">
        <v>13514</v>
      </c>
      <c r="C284" s="132" t="s">
        <v>8</v>
      </c>
      <c r="D284" s="139">
        <v>11615</v>
      </c>
      <c r="E284" s="140" t="str">
        <f>IF($D284&lt;&gt;"",VLOOKUP($D284,'SINAPI JULHO 2018'!$A$1:G11643,2,FALSE),"")</f>
        <v>POLIESTIRENO EXPANDIDO/EPS (ISOPOR), TIPO 2F, PLACA, ISOLAMENTO TERMOACUSTICO, E = 10 MM, 1000 X 500 MM</v>
      </c>
      <c r="F284" s="141" t="str">
        <f>IF($D284&lt;&gt;"",VLOOKUP($D284,'SINAPI JULHO 2018'!$1:$1048576,3,FALSE),"")</f>
        <v xml:space="preserve">M2    </v>
      </c>
      <c r="G284" s="142">
        <v>1.68</v>
      </c>
      <c r="H284" s="144">
        <f>IF($D284&lt;&gt;"",VLOOKUP($D284,'SINAPI JULHO 2018'!$1:$1048576,4,FALSE),"")</f>
        <v>2.94</v>
      </c>
      <c r="I284" s="148">
        <f t="shared" ref="I284:I287" si="49">TRUNC(G284*H284,2)</f>
        <v>4.93</v>
      </c>
    </row>
    <row r="285" spans="2:9" s="239" customFormat="1">
      <c r="B285" s="131" t="s">
        <v>13514</v>
      </c>
      <c r="C285" s="132" t="s">
        <v>8</v>
      </c>
      <c r="D285" s="139">
        <v>11849</v>
      </c>
      <c r="E285" s="140" t="str">
        <f>IF($D285&lt;&gt;"",VLOOKUP($D285,'SINAPI JULHO 2018'!$A$1:G11644,2,FALSE),"")</f>
        <v>COLA BRANCA BASE PVA</v>
      </c>
      <c r="F285" s="141" t="str">
        <f>IF($D285&lt;&gt;"",VLOOKUP($D285,'SINAPI JULHO 2018'!$1:$1048576,3,FALSE),"")</f>
        <v xml:space="preserve">L     </v>
      </c>
      <c r="G285" s="142">
        <v>1.25</v>
      </c>
      <c r="H285" s="144">
        <f>IF($D285&lt;&gt;"",VLOOKUP($D285,'SINAPI JULHO 2018'!$1:$1048576,4,FALSE),"")</f>
        <v>9.99</v>
      </c>
      <c r="I285" s="148">
        <f t="shared" si="49"/>
        <v>12.48</v>
      </c>
    </row>
    <row r="286" spans="2:9" s="239" customFormat="1">
      <c r="B286" s="131" t="s">
        <v>13518</v>
      </c>
      <c r="C286" s="132" t="s">
        <v>8</v>
      </c>
      <c r="D286" s="139">
        <v>88309</v>
      </c>
      <c r="E286" s="140" t="str">
        <f>IF($D286&lt;&gt;"",VLOOKUP($D286,'SINAPI JULHO 2018'!$A$1:G11645,2,FALSE),"")</f>
        <v>PEDREIRO COM ENCARGOS COMPLEMENTARES</v>
      </c>
      <c r="F286" s="141" t="str">
        <f>IF($D286&lt;&gt;"",VLOOKUP($D286,'SINAPI JULHO 2018'!$1:$1048576,3,FALSE),"")</f>
        <v>H</v>
      </c>
      <c r="G286" s="142">
        <v>1.2</v>
      </c>
      <c r="H286" s="144">
        <f>IF($D286&lt;&gt;"",VLOOKUP($D286,'SINAPI JULHO 2018'!$1:$1048576,4,FALSE),"")</f>
        <v>17.600000000000001</v>
      </c>
      <c r="I286" s="148">
        <f t="shared" si="49"/>
        <v>21.12</v>
      </c>
    </row>
    <row r="287" spans="2:9" s="239" customFormat="1">
      <c r="B287" s="131" t="s">
        <v>13518</v>
      </c>
      <c r="C287" s="132" t="s">
        <v>8</v>
      </c>
      <c r="D287" s="139">
        <v>88316</v>
      </c>
      <c r="E287" s="140" t="str">
        <f>IF($D287&lt;&gt;"",VLOOKUP($D287,'SINAPI JULHO 2018'!$A$1:G11646,2,FALSE),"")</f>
        <v>SERVENTE COM ENCARGOS COMPLEMENTARES</v>
      </c>
      <c r="F287" s="141" t="str">
        <f>IF($D287&lt;&gt;"",VLOOKUP($D287,'SINAPI JULHO 2018'!$1:$1048576,3,FALSE),"")</f>
        <v>H</v>
      </c>
      <c r="G287" s="142">
        <v>1.5</v>
      </c>
      <c r="H287" s="144">
        <f>IF($D287&lt;&gt;"",VLOOKUP($D287,'SINAPI JULHO 2018'!$1:$1048576,4,FALSE),"")</f>
        <v>14.31</v>
      </c>
      <c r="I287" s="148">
        <f t="shared" si="49"/>
        <v>21.46</v>
      </c>
    </row>
    <row r="288" spans="2:9" s="239" customFormat="1">
      <c r="B288" s="188"/>
      <c r="C288" s="188"/>
      <c r="D288" s="233"/>
      <c r="E288" s="241"/>
      <c r="F288" s="188"/>
      <c r="G288" s="125"/>
      <c r="H288" s="242"/>
      <c r="I288" s="390"/>
    </row>
    <row r="289" spans="2:9" s="239" customFormat="1">
      <c r="B289" s="253" t="s">
        <v>13569</v>
      </c>
      <c r="C289" s="188"/>
      <c r="D289" s="233"/>
      <c r="E289" s="241"/>
      <c r="F289" s="188"/>
      <c r="G289" s="125"/>
      <c r="H289" s="242"/>
      <c r="I289" s="390"/>
    </row>
    <row r="290" spans="2:9" s="239" customFormat="1">
      <c r="B290" s="380"/>
      <c r="C290" s="188"/>
      <c r="D290" s="233"/>
      <c r="E290" s="241"/>
      <c r="F290" s="188"/>
      <c r="G290" s="125"/>
      <c r="H290" s="242"/>
      <c r="I290" s="390"/>
    </row>
    <row r="291" spans="2:9" s="239" customFormat="1" ht="25.5">
      <c r="B291" s="418" t="s">
        <v>13570</v>
      </c>
      <c r="C291" s="419"/>
      <c r="D291" s="420"/>
      <c r="E291" s="421" t="s">
        <v>13571</v>
      </c>
      <c r="F291" s="422" t="s">
        <v>5</v>
      </c>
      <c r="G291" s="423">
        <v>1</v>
      </c>
      <c r="H291" s="424"/>
      <c r="I291" s="425">
        <f>SUM(I292:I298)</f>
        <v>852.25</v>
      </c>
    </row>
    <row r="292" spans="2:9" s="239" customFormat="1">
      <c r="B292" s="131" t="s">
        <v>13514</v>
      </c>
      <c r="C292" s="132" t="s">
        <v>8</v>
      </c>
      <c r="D292" s="139">
        <v>4823</v>
      </c>
      <c r="E292" s="140" t="str">
        <f>IF($D292&lt;&gt;"",VLOOKUP($D292,'SINAPI JULHO 2018'!$A$1:G11651,2,FALSE),"")</f>
        <v>MASSA PLASTICA PARA MARMORE/GRANITO</v>
      </c>
      <c r="F292" s="141" t="str">
        <f>IF($D292&lt;&gt;"",VLOOKUP($D292,'SINAPI JULHO 2018'!$1:$1048576,3,FALSE),"")</f>
        <v xml:space="preserve">KG    </v>
      </c>
      <c r="G292" s="142">
        <v>0.75</v>
      </c>
      <c r="H292" s="144">
        <f>IF($D292&lt;&gt;"",VLOOKUP($D292,'SINAPI JULHO 2018'!$1:$1048576,4,FALSE),"")</f>
        <v>31.92</v>
      </c>
      <c r="I292" s="148">
        <f t="shared" ref="I292" si="50">TRUNC(G292*H292,2)</f>
        <v>23.94</v>
      </c>
    </row>
    <row r="293" spans="2:9" s="239" customFormat="1" ht="38.25">
      <c r="B293" s="131" t="s">
        <v>13514</v>
      </c>
      <c r="C293" s="132" t="s">
        <v>8</v>
      </c>
      <c r="D293" s="139">
        <v>7568</v>
      </c>
      <c r="E293" s="140" t="str">
        <f>IF($D293&lt;&gt;"",VLOOKUP($D293,'SINAPI JULHO 2018'!$A$1:G11652,2,FALSE),"")</f>
        <v>BUCHA DE NYLON SEM ABA S10, COM PARAFUSO DE 6,10 X 65 MM EM ACO ZINCADO COM ROSCA SOBERBA, CABECA CHATA E FENDA PHILLIPS</v>
      </c>
      <c r="F293" s="141" t="str">
        <f>IF($D293&lt;&gt;"",VLOOKUP($D293,'SINAPI JULHO 2018'!$1:$1048576,3,FALSE),"")</f>
        <v xml:space="preserve">UN    </v>
      </c>
      <c r="G293" s="142">
        <v>20</v>
      </c>
      <c r="H293" s="144">
        <f>IF($D293&lt;&gt;"",VLOOKUP($D293,'SINAPI JULHO 2018'!$1:$1048576,4,FALSE),"")</f>
        <v>0.61</v>
      </c>
      <c r="I293" s="148">
        <f t="shared" ref="I293:I298" si="51">TRUNC(G293*H293,2)</f>
        <v>12.2</v>
      </c>
    </row>
    <row r="294" spans="2:9" s="239" customFormat="1" ht="38.25">
      <c r="B294" s="131" t="s">
        <v>13514</v>
      </c>
      <c r="C294" s="132" t="s">
        <v>8</v>
      </c>
      <c r="D294" s="139">
        <v>11795</v>
      </c>
      <c r="E294" s="140" t="str">
        <f>IF($D294&lt;&gt;"",VLOOKUP($D294,'SINAPI JULHO 2018'!$A$1:G11653,2,FALSE),"")</f>
        <v>GRANITO PARA BANCADA, POLIDO, TIPO ANDORINHA/ QUARTZ/ CASTELO/ CORUMBA OU OUTROS EQUIVALENTES DA REGIAO, E=  *2,5* CM</v>
      </c>
      <c r="F294" s="141" t="str">
        <f>IF($D294&lt;&gt;"",VLOOKUP($D294,'SINAPI JULHO 2018'!$1:$1048576,3,FALSE),"")</f>
        <v xml:space="preserve">M2    </v>
      </c>
      <c r="G294" s="142">
        <f>2*0.6</f>
        <v>1.2</v>
      </c>
      <c r="H294" s="144">
        <f>IF($D294&lt;&gt;"",VLOOKUP($D294,'SINAPI JULHO 2018'!$1:$1048576,4,FALSE),"")</f>
        <v>483.01</v>
      </c>
      <c r="I294" s="148">
        <f t="shared" si="51"/>
        <v>579.61</v>
      </c>
    </row>
    <row r="295" spans="2:9" s="239" customFormat="1">
      <c r="B295" s="131" t="s">
        <v>13514</v>
      </c>
      <c r="C295" s="132" t="s">
        <v>8</v>
      </c>
      <c r="D295" s="139">
        <v>37329</v>
      </c>
      <c r="E295" s="140" t="str">
        <f>IF($D295&lt;&gt;"",VLOOKUP($D295,'SINAPI JULHO 2018'!$A$1:G11654,2,FALSE),"")</f>
        <v>REJUNTE EPOXI BRANCO</v>
      </c>
      <c r="F295" s="141" t="str">
        <f>IF($D295&lt;&gt;"",VLOOKUP($D295,'SINAPI JULHO 2018'!$1:$1048576,3,FALSE),"")</f>
        <v xml:space="preserve">KG    </v>
      </c>
      <c r="G295" s="142">
        <v>0.2</v>
      </c>
      <c r="H295" s="144">
        <f>IF($D295&lt;&gt;"",VLOOKUP($D295,'SINAPI JULHO 2018'!$1:$1048576,4,FALSE),"")</f>
        <v>48.73</v>
      </c>
      <c r="I295" s="148">
        <f t="shared" si="51"/>
        <v>9.74</v>
      </c>
    </row>
    <row r="296" spans="2:9" s="239" customFormat="1" ht="25.5">
      <c r="B296" s="131" t="s">
        <v>13514</v>
      </c>
      <c r="C296" s="132" t="s">
        <v>8</v>
      </c>
      <c r="D296" s="139">
        <v>37590</v>
      </c>
      <c r="E296" s="140" t="str">
        <f>IF($D296&lt;&gt;"",VLOOKUP($D296,'SINAPI JULHO 2018'!$A$1:G11655,2,FALSE),"")</f>
        <v>SUPORTE MAO-FRANCESA EM ACO, ABAS IGUAIS 30 CM, CAPACIDADE MINIMA 60 KG, BRANCO</v>
      </c>
      <c r="F296" s="141" t="str">
        <f>IF($D296&lt;&gt;"",VLOOKUP($D296,'SINAPI JULHO 2018'!$1:$1048576,3,FALSE),"")</f>
        <v xml:space="preserve">UN    </v>
      </c>
      <c r="G296" s="142">
        <v>5</v>
      </c>
      <c r="H296" s="144">
        <f>IF($D296&lt;&gt;"",VLOOKUP($D296,'SINAPI JULHO 2018'!$1:$1048576,4,FALSE),"")</f>
        <v>28.93</v>
      </c>
      <c r="I296" s="148">
        <f t="shared" si="51"/>
        <v>144.65</v>
      </c>
    </row>
    <row r="297" spans="2:9" s="239" customFormat="1">
      <c r="B297" s="131" t="s">
        <v>13518</v>
      </c>
      <c r="C297" s="132" t="s">
        <v>8</v>
      </c>
      <c r="D297" s="139">
        <v>88274</v>
      </c>
      <c r="E297" s="140" t="str">
        <f>IF($D297&lt;&gt;"",VLOOKUP($D297,'SINAPI JULHO 2018'!$A$1:G11656,2,FALSE),"")</f>
        <v>MARMORISTA/GRANITEIRO COM ENCARGOS COMPLEMENTARES</v>
      </c>
      <c r="F297" s="141" t="str">
        <f>IF($D297&lt;&gt;"",VLOOKUP($D297,'SINAPI JULHO 2018'!$1:$1048576,3,FALSE),"")</f>
        <v>H</v>
      </c>
      <c r="G297" s="142">
        <v>3</v>
      </c>
      <c r="H297" s="144">
        <f>IF($D297&lt;&gt;"",VLOOKUP($D297,'SINAPI JULHO 2018'!$1:$1048576,4,FALSE),"")</f>
        <v>17.829999999999998</v>
      </c>
      <c r="I297" s="148">
        <f t="shared" si="51"/>
        <v>53.49</v>
      </c>
    </row>
    <row r="298" spans="2:9" s="239" customFormat="1">
      <c r="B298" s="131" t="s">
        <v>13518</v>
      </c>
      <c r="C298" s="132" t="s">
        <v>8</v>
      </c>
      <c r="D298" s="139">
        <v>88316</v>
      </c>
      <c r="E298" s="140" t="str">
        <f>IF($D298&lt;&gt;"",VLOOKUP($D298,'SINAPI JULHO 2018'!$A$1:G11657,2,FALSE),"")</f>
        <v>SERVENTE COM ENCARGOS COMPLEMENTARES</v>
      </c>
      <c r="F298" s="141" t="str">
        <f>IF($D298&lt;&gt;"",VLOOKUP($D298,'SINAPI JULHO 2018'!$1:$1048576,3,FALSE),"")</f>
        <v>H</v>
      </c>
      <c r="G298" s="142">
        <v>2</v>
      </c>
      <c r="H298" s="144">
        <f>IF($D298&lt;&gt;"",VLOOKUP($D298,'SINAPI JULHO 2018'!$1:$1048576,4,FALSE),"")</f>
        <v>14.31</v>
      </c>
      <c r="I298" s="148">
        <f t="shared" si="51"/>
        <v>28.62</v>
      </c>
    </row>
    <row r="299" spans="2:9" s="239" customFormat="1">
      <c r="B299" s="188"/>
      <c r="C299" s="188"/>
      <c r="D299" s="233"/>
      <c r="E299" s="241"/>
      <c r="F299" s="188"/>
      <c r="G299" s="125"/>
      <c r="H299" s="242"/>
      <c r="I299" s="390"/>
    </row>
    <row r="300" spans="2:9" s="239" customFormat="1">
      <c r="B300" s="253" t="s">
        <v>320</v>
      </c>
      <c r="C300" s="188"/>
      <c r="D300" s="233"/>
      <c r="E300" s="241"/>
      <c r="F300" s="188"/>
      <c r="G300" s="125"/>
      <c r="H300" s="242"/>
      <c r="I300" s="390"/>
    </row>
    <row r="301" spans="2:9" s="239" customFormat="1">
      <c r="B301" s="188"/>
      <c r="C301" s="188"/>
      <c r="D301" s="233"/>
      <c r="E301" s="241"/>
      <c r="F301" s="188"/>
      <c r="G301" s="125"/>
      <c r="H301" s="242"/>
      <c r="I301" s="390"/>
    </row>
    <row r="302" spans="2:9" s="239" customFormat="1" ht="38.25">
      <c r="B302" s="418" t="s">
        <v>13572</v>
      </c>
      <c r="C302" s="419"/>
      <c r="D302" s="420"/>
      <c r="E302" s="421" t="s">
        <v>13573</v>
      </c>
      <c r="F302" s="422" t="s">
        <v>5</v>
      </c>
      <c r="G302" s="423">
        <v>1</v>
      </c>
      <c r="H302" s="424"/>
      <c r="I302" s="425">
        <f>SUM(I303:I309)</f>
        <v>342.01</v>
      </c>
    </row>
    <row r="303" spans="2:9" s="239" customFormat="1">
      <c r="B303" s="131" t="s">
        <v>13514</v>
      </c>
      <c r="C303" s="132" t="s">
        <v>8</v>
      </c>
      <c r="D303" s="139">
        <v>31</v>
      </c>
      <c r="E303" s="140" t="str">
        <f>IF($D303&lt;&gt;"",VLOOKUP($D303,'SINAPI JULHO 2018'!$A$1:G11662,2,FALSE),"")</f>
        <v>ACO CA-50, 12,5 MM, VERGALHAO</v>
      </c>
      <c r="F303" s="141" t="str">
        <f>IF($D303&lt;&gt;"",VLOOKUP($D303,'SINAPI JULHO 2018'!$1:$1048576,3,FALSE),"")</f>
        <v xml:space="preserve">KG    </v>
      </c>
      <c r="G303" s="142">
        <v>2.5</v>
      </c>
      <c r="H303" s="144">
        <f>IF($D303&lt;&gt;"",VLOOKUP($D303,'SINAPI JULHO 2018'!$1:$1048576,4,FALSE),"")</f>
        <v>4.32</v>
      </c>
      <c r="I303" s="148">
        <f t="shared" ref="I303" si="52">TRUNC(G303*H303,2)</f>
        <v>10.8</v>
      </c>
    </row>
    <row r="304" spans="2:9" s="239" customFormat="1" ht="25.5">
      <c r="B304" s="131" t="s">
        <v>13514</v>
      </c>
      <c r="C304" s="132" t="s">
        <v>8</v>
      </c>
      <c r="D304" s="139">
        <v>370</v>
      </c>
      <c r="E304" s="140" t="str">
        <f>IF($D304&lt;&gt;"",VLOOKUP($D304,'SINAPI JULHO 2018'!$A$1:G11663,2,FALSE),"")</f>
        <v>AREIA MEDIA - POSTO JAZIDA/FORNECEDOR (RETIRADO NA JAZIDA, SEM TRANSPORTE)</v>
      </c>
      <c r="F304" s="141" t="str">
        <f>IF($D304&lt;&gt;"",VLOOKUP($D304,'SINAPI JULHO 2018'!$1:$1048576,3,FALSE),"")</f>
        <v xml:space="preserve">M3    </v>
      </c>
      <c r="G304" s="142">
        <v>0.3</v>
      </c>
      <c r="H304" s="144">
        <f>IF($D304&lt;&gt;"",VLOOKUP($D304,'SINAPI JULHO 2018'!$1:$1048576,4,FALSE),"")</f>
        <v>62.75</v>
      </c>
      <c r="I304" s="148">
        <f t="shared" ref="I304:I309" si="53">TRUNC(G304*H304,2)</f>
        <v>18.82</v>
      </c>
    </row>
    <row r="305" spans="2:9" s="239" customFormat="1">
      <c r="B305" s="131" t="s">
        <v>13514</v>
      </c>
      <c r="C305" s="132" t="s">
        <v>8</v>
      </c>
      <c r="D305" s="139">
        <v>1382</v>
      </c>
      <c r="E305" s="140" t="str">
        <f>IF($D305&lt;&gt;"",VLOOKUP($D305,'SINAPI JULHO 2018'!$A$1:G11664,2,FALSE),"")</f>
        <v>CIMENTO PORTLAND POZOLANICO CP IV- 32</v>
      </c>
      <c r="F305" s="141" t="str">
        <f>IF($D305&lt;&gt;"",VLOOKUP($D305,'SINAPI JULHO 2018'!$1:$1048576,3,FALSE),"")</f>
        <v xml:space="preserve">50KG  </v>
      </c>
      <c r="G305" s="142">
        <v>1.85</v>
      </c>
      <c r="H305" s="144">
        <f>IF($D305&lt;&gt;"",VLOOKUP($D305,'SINAPI JULHO 2018'!$1:$1048576,4,FALSE),"")</f>
        <v>24.95</v>
      </c>
      <c r="I305" s="148">
        <f t="shared" si="53"/>
        <v>46.15</v>
      </c>
    </row>
    <row r="306" spans="2:9" s="239" customFormat="1" ht="25.5">
      <c r="B306" s="131" t="s">
        <v>13514</v>
      </c>
      <c r="C306" s="132" t="s">
        <v>8</v>
      </c>
      <c r="D306" s="139">
        <v>4721</v>
      </c>
      <c r="E306" s="140" t="str">
        <f>IF($D306&lt;&gt;"",VLOOKUP($D306,'SINAPI JULHO 2018'!$A$1:G11665,2,FALSE),"")</f>
        <v>PEDRA BRITADA N. 1 (9,5 a 19 MM) POSTO PEDREIRA/FORNECEDOR, SEM FRETE</v>
      </c>
      <c r="F306" s="141" t="str">
        <f>IF($D306&lt;&gt;"",VLOOKUP($D306,'SINAPI JULHO 2018'!$1:$1048576,3,FALSE),"")</f>
        <v xml:space="preserve">M3    </v>
      </c>
      <c r="G306" s="142">
        <v>0.13</v>
      </c>
      <c r="H306" s="144">
        <f>IF($D306&lt;&gt;"",VLOOKUP($D306,'SINAPI JULHO 2018'!$1:$1048576,4,FALSE),"")</f>
        <v>63.77</v>
      </c>
      <c r="I306" s="148">
        <f t="shared" si="53"/>
        <v>8.2899999999999991</v>
      </c>
    </row>
    <row r="307" spans="2:9" s="239" customFormat="1">
      <c r="B307" s="131" t="s">
        <v>13514</v>
      </c>
      <c r="C307" s="132" t="s">
        <v>8</v>
      </c>
      <c r="D307" s="139">
        <v>7258</v>
      </c>
      <c r="E307" s="140" t="str">
        <f>IF($D307&lt;&gt;"",VLOOKUP($D307,'SINAPI JULHO 2018'!$A$1:G11666,2,FALSE),"")</f>
        <v>TIJOLO CERAMICO MACICO *5 X 10 X 20* CM</v>
      </c>
      <c r="F307" s="141" t="str">
        <f>IF($D307&lt;&gt;"",VLOOKUP($D307,'SINAPI JULHO 2018'!$1:$1048576,3,FALSE),"")</f>
        <v xml:space="preserve">UN    </v>
      </c>
      <c r="G307" s="142">
        <v>110</v>
      </c>
      <c r="H307" s="144">
        <f>IF($D307&lt;&gt;"",VLOOKUP($D307,'SINAPI JULHO 2018'!$1:$1048576,4,FALSE),"")</f>
        <v>0.33</v>
      </c>
      <c r="I307" s="148">
        <f t="shared" si="53"/>
        <v>36.299999999999997</v>
      </c>
    </row>
    <row r="308" spans="2:9" s="239" customFormat="1">
      <c r="B308" s="131" t="s">
        <v>13518</v>
      </c>
      <c r="C308" s="132" t="s">
        <v>8</v>
      </c>
      <c r="D308" s="139">
        <v>88309</v>
      </c>
      <c r="E308" s="140" t="str">
        <f>IF($D308&lt;&gt;"",VLOOKUP($D308,'SINAPI JULHO 2018'!$A$1:G11667,2,FALSE),"")</f>
        <v>PEDREIRO COM ENCARGOS COMPLEMENTARES</v>
      </c>
      <c r="F308" s="141" t="str">
        <f>IF($D308&lt;&gt;"",VLOOKUP($D308,'SINAPI JULHO 2018'!$1:$1048576,3,FALSE),"")</f>
        <v>H</v>
      </c>
      <c r="G308" s="142">
        <v>3.65</v>
      </c>
      <c r="H308" s="144">
        <f>IF($D308&lt;&gt;"",VLOOKUP($D308,'SINAPI JULHO 2018'!$1:$1048576,4,FALSE),"")</f>
        <v>17.600000000000001</v>
      </c>
      <c r="I308" s="148">
        <f t="shared" si="53"/>
        <v>64.239999999999995</v>
      </c>
    </row>
    <row r="309" spans="2:9" s="239" customFormat="1">
      <c r="B309" s="131" t="s">
        <v>13518</v>
      </c>
      <c r="C309" s="132" t="s">
        <v>8</v>
      </c>
      <c r="D309" s="139">
        <v>88316</v>
      </c>
      <c r="E309" s="140" t="str">
        <f>IF($D309&lt;&gt;"",VLOOKUP($D309,'SINAPI JULHO 2018'!$A$1:G11668,2,FALSE),"")</f>
        <v>SERVENTE COM ENCARGOS COMPLEMENTARES</v>
      </c>
      <c r="F309" s="141" t="str">
        <f>IF($D309&lt;&gt;"",VLOOKUP($D309,'SINAPI JULHO 2018'!$1:$1048576,3,FALSE),"")</f>
        <v>H</v>
      </c>
      <c r="G309" s="142">
        <v>11</v>
      </c>
      <c r="H309" s="144">
        <f>IF($D309&lt;&gt;"",VLOOKUP($D309,'SINAPI JULHO 2018'!$1:$1048576,4,FALSE),"")</f>
        <v>14.31</v>
      </c>
      <c r="I309" s="148">
        <f t="shared" si="53"/>
        <v>157.41</v>
      </c>
    </row>
    <row r="310" spans="2:9" s="239" customFormat="1">
      <c r="B310" s="16"/>
      <c r="C310" s="16"/>
      <c r="D310" s="16"/>
      <c r="E310" s="280"/>
      <c r="F310" s="225"/>
      <c r="G310" s="397"/>
      <c r="H310" s="226"/>
      <c r="I310" s="18"/>
    </row>
    <row r="311" spans="2:9" s="239" customFormat="1" ht="25.5">
      <c r="B311" s="418" t="s">
        <v>332</v>
      </c>
      <c r="C311" s="419"/>
      <c r="D311" s="420"/>
      <c r="E311" s="421" t="s">
        <v>13574</v>
      </c>
      <c r="F311" s="422" t="s">
        <v>5</v>
      </c>
      <c r="G311" s="423">
        <v>1</v>
      </c>
      <c r="H311" s="424"/>
      <c r="I311" s="425">
        <f>SUM(I312:I316)</f>
        <v>44.65</v>
      </c>
    </row>
    <row r="312" spans="2:9" s="239" customFormat="1" ht="25.5">
      <c r="B312" s="131" t="s">
        <v>13514</v>
      </c>
      <c r="C312" s="132" t="s">
        <v>8</v>
      </c>
      <c r="D312" s="139">
        <v>301</v>
      </c>
      <c r="E312" s="140" t="str">
        <f>IF($D312&lt;&gt;"",VLOOKUP($D312,'SINAPI JULHO 2018'!$A$1:G11671,2,FALSE),"")</f>
        <v>ANEL BORRACHA PARA TUBO ESGOTO PREDIAL, DN 100 MM (NBR 5688)</v>
      </c>
      <c r="F312" s="141" t="str">
        <f>IF($D312&lt;&gt;"",VLOOKUP($D312,'SINAPI JULHO 2018'!$1:$1048576,3,FALSE),"")</f>
        <v xml:space="preserve">UN    </v>
      </c>
      <c r="G312" s="142">
        <v>2</v>
      </c>
      <c r="H312" s="144">
        <f>IF($D312&lt;&gt;"",VLOOKUP($D312,'SINAPI JULHO 2018'!$1:$1048576,4,FALSE),"")</f>
        <v>1.62</v>
      </c>
      <c r="I312" s="148">
        <f t="shared" ref="I312" si="54">TRUNC(G312*H312,2)</f>
        <v>3.24</v>
      </c>
    </row>
    <row r="313" spans="2:9" s="239" customFormat="1" ht="25.5">
      <c r="B313" s="131" t="s">
        <v>13514</v>
      </c>
      <c r="C313" s="132" t="s">
        <v>8</v>
      </c>
      <c r="D313" s="139">
        <v>3659</v>
      </c>
      <c r="E313" s="140" t="str">
        <f>IF($D313&lt;&gt;"",VLOOKUP($D313,'SINAPI JULHO 2018'!$A$1:G11672,2,FALSE),"")</f>
        <v>JUNCAO SIMPLES, PVC, DN 100 X 50 MM, SERIE NORMAL PARA ESGOTO PREDIAL</v>
      </c>
      <c r="F313" s="141" t="str">
        <f>IF($D313&lt;&gt;"",VLOOKUP($D313,'SINAPI JULHO 2018'!$1:$1048576,3,FALSE),"")</f>
        <v xml:space="preserve">UN    </v>
      </c>
      <c r="G313" s="142">
        <v>1</v>
      </c>
      <c r="H313" s="144">
        <f>IF($D313&lt;&gt;"",VLOOKUP($D313,'SINAPI JULHO 2018'!$1:$1048576,4,FALSE),"")</f>
        <v>11.13</v>
      </c>
      <c r="I313" s="148">
        <f t="shared" ref="I313:I316" si="55">TRUNC(G313*H313,2)</f>
        <v>11.13</v>
      </c>
    </row>
    <row r="314" spans="2:9" s="239" customFormat="1" ht="25.5">
      <c r="B314" s="131" t="s">
        <v>13514</v>
      </c>
      <c r="C314" s="132" t="s">
        <v>8</v>
      </c>
      <c r="D314" s="139">
        <v>20078</v>
      </c>
      <c r="E314" s="140" t="str">
        <f>IF($D314&lt;&gt;"",VLOOKUP($D314,'SINAPI JULHO 2018'!$A$1:G11673,2,FALSE),"")</f>
        <v>PASTA LUBRIFICANTE PARA TUBOS E CONEXOES COM JUNTA ELASTICA (USO EM PVC, ACO, POLIETILENO E OUTROS) ( DE *400* G)</v>
      </c>
      <c r="F314" s="141" t="str">
        <f>IF($D314&lt;&gt;"",VLOOKUP($D314,'SINAPI JULHO 2018'!$1:$1048576,3,FALSE),"")</f>
        <v xml:space="preserve">UN    </v>
      </c>
      <c r="G314" s="142">
        <v>9.1999999999999998E-2</v>
      </c>
      <c r="H314" s="144">
        <f>IF($D314&lt;&gt;"",VLOOKUP($D314,'SINAPI JULHO 2018'!$1:$1048576,4,FALSE),"")</f>
        <v>18.190000000000001</v>
      </c>
      <c r="I314" s="148">
        <f t="shared" si="55"/>
        <v>1.67</v>
      </c>
    </row>
    <row r="315" spans="2:9" s="239" customFormat="1" ht="25.5">
      <c r="B315" s="131" t="s">
        <v>13518</v>
      </c>
      <c r="C315" s="132" t="s">
        <v>8</v>
      </c>
      <c r="D315" s="139">
        <v>88248</v>
      </c>
      <c r="E315" s="140" t="str">
        <f>IF($D315&lt;&gt;"",VLOOKUP($D315,'SINAPI JULHO 2018'!$A$1:G11674,2,FALSE),"")</f>
        <v>AUXILIAR DE ENCANADOR OU BOMBEIRO HIDRÁULICO COM ENCARGOS COMPLEMENTARES</v>
      </c>
      <c r="F315" s="141" t="str">
        <f>IF($D315&lt;&gt;"",VLOOKUP($D315,'SINAPI JULHO 2018'!$1:$1048576,3,FALSE),"")</f>
        <v>H</v>
      </c>
      <c r="G315" s="142">
        <v>0.33</v>
      </c>
      <c r="H315" s="144">
        <f>IF($D315&lt;&gt;"",VLOOKUP($D315,'SINAPI JULHO 2018'!$1:$1048576,4,FALSE),"")</f>
        <v>14.12</v>
      </c>
      <c r="I315" s="148">
        <f t="shared" si="55"/>
        <v>4.6500000000000004</v>
      </c>
    </row>
    <row r="316" spans="2:9" s="239" customFormat="1" ht="25.5">
      <c r="B316" s="131" t="s">
        <v>13518</v>
      </c>
      <c r="C316" s="132" t="s">
        <v>8</v>
      </c>
      <c r="D316" s="139">
        <v>88267</v>
      </c>
      <c r="E316" s="140" t="str">
        <f>IF($D316&lt;&gt;"",VLOOKUP($D316,'SINAPI JULHO 2018'!$A$1:G11675,2,FALSE),"")</f>
        <v>ENCANADOR OU BOMBEIRO HIDRÁULICO COM ENCARGOS COMPLEMENTARES</v>
      </c>
      <c r="F316" s="141" t="str">
        <f>IF($D316&lt;&gt;"",VLOOKUP($D316,'SINAPI JULHO 2018'!$1:$1048576,3,FALSE),"")</f>
        <v>H</v>
      </c>
      <c r="G316" s="142">
        <v>1.33</v>
      </c>
      <c r="H316" s="144">
        <f>IF($D316&lt;&gt;"",VLOOKUP($D316,'SINAPI JULHO 2018'!$1:$1048576,4,FALSE),"")</f>
        <v>18.02</v>
      </c>
      <c r="I316" s="148">
        <f t="shared" si="55"/>
        <v>23.96</v>
      </c>
    </row>
    <row r="317" spans="2:9" s="239" customFormat="1">
      <c r="B317" s="388"/>
      <c r="C317" s="188"/>
      <c r="D317" s="233"/>
      <c r="E317" s="241"/>
      <c r="F317" s="188"/>
      <c r="G317" s="125"/>
      <c r="H317" s="242"/>
      <c r="I317" s="243"/>
    </row>
    <row r="318" spans="2:9" s="239" customFormat="1" ht="38.25">
      <c r="B318" s="418" t="s">
        <v>336</v>
      </c>
      <c r="C318" s="419"/>
      <c r="D318" s="420"/>
      <c r="E318" s="421" t="s">
        <v>13575</v>
      </c>
      <c r="F318" s="422" t="s">
        <v>5</v>
      </c>
      <c r="G318" s="423">
        <v>1</v>
      </c>
      <c r="H318" s="424"/>
      <c r="I318" s="425">
        <f>SUM(I319:I323)</f>
        <v>24.389999999999997</v>
      </c>
    </row>
    <row r="319" spans="2:9" s="239" customFormat="1" ht="25.5">
      <c r="B319" s="131" t="s">
        <v>13514</v>
      </c>
      <c r="C319" s="132" t="s">
        <v>8</v>
      </c>
      <c r="D319" s="139">
        <v>301</v>
      </c>
      <c r="E319" s="140" t="str">
        <f>IF($D319&lt;&gt;"",VLOOKUP($D319,'SINAPI JULHO 2018'!$A$1:G11678,2,FALSE),"")</f>
        <v>ANEL BORRACHA PARA TUBO ESGOTO PREDIAL, DN 100 MM (NBR 5688)</v>
      </c>
      <c r="F319" s="141" t="str">
        <f>IF($D319&lt;&gt;"",VLOOKUP($D319,'SINAPI JULHO 2018'!$1:$1048576,3,FALSE),"")</f>
        <v xml:space="preserve">UN    </v>
      </c>
      <c r="G319" s="142">
        <v>2</v>
      </c>
      <c r="H319" s="144">
        <f>IF($D319&lt;&gt;"",VLOOKUP($D319,'SINAPI JULHO 2018'!$1:$1048576,4,FALSE),"")</f>
        <v>1.62</v>
      </c>
      <c r="I319" s="148">
        <f t="shared" ref="I319" si="56">TRUNC(G319*H319,2)</f>
        <v>3.24</v>
      </c>
    </row>
    <row r="320" spans="2:9" s="239" customFormat="1" ht="25.5">
      <c r="B320" s="131" t="s">
        <v>13514</v>
      </c>
      <c r="C320" s="132" t="s">
        <v>13507</v>
      </c>
      <c r="D320" s="139"/>
      <c r="E320" s="140" t="s">
        <v>11789</v>
      </c>
      <c r="F320" s="141" t="s">
        <v>7278</v>
      </c>
      <c r="G320" s="142">
        <v>1</v>
      </c>
      <c r="H320" s="144">
        <v>14.35</v>
      </c>
      <c r="I320" s="148">
        <f t="shared" ref="I320" si="57">TRUNC(H320*G320,2)</f>
        <v>14.35</v>
      </c>
    </row>
    <row r="321" spans="2:9" s="239" customFormat="1" ht="25.5">
      <c r="B321" s="131" t="s">
        <v>13514</v>
      </c>
      <c r="C321" s="132" t="s">
        <v>8</v>
      </c>
      <c r="D321" s="139">
        <v>20078</v>
      </c>
      <c r="E321" s="140" t="str">
        <f>IF($D321&lt;&gt;"",VLOOKUP($D321,'SINAPI JULHO 2018'!$A$1:G11680,2,FALSE),"")</f>
        <v>PASTA LUBRIFICANTE PARA TUBOS E CONEXOES COM JUNTA ELASTICA (USO EM PVC, ACO, POLIETILENO E OUTROS) ( DE *400* G)</v>
      </c>
      <c r="F321" s="141" t="str">
        <f>IF($D321&lt;&gt;"",VLOOKUP($D321,'SINAPI JULHO 2018'!$1:$1048576,3,FALSE),"")</f>
        <v xml:space="preserve">UN    </v>
      </c>
      <c r="G321" s="142">
        <v>9.1999999999999998E-2</v>
      </c>
      <c r="H321" s="144">
        <f>IF($D321&lt;&gt;"",VLOOKUP($D321,'SINAPI JULHO 2018'!$1:$1048576,4,FALSE),"")</f>
        <v>18.190000000000001</v>
      </c>
      <c r="I321" s="148">
        <f t="shared" ref="I321:I323" si="58">TRUNC(G321*H321,2)</f>
        <v>1.67</v>
      </c>
    </row>
    <row r="322" spans="2:9" s="239" customFormat="1" ht="25.5">
      <c r="B322" s="131" t="s">
        <v>13518</v>
      </c>
      <c r="C322" s="132" t="s">
        <v>8</v>
      </c>
      <c r="D322" s="139">
        <v>88248</v>
      </c>
      <c r="E322" s="140" t="str">
        <f>IF($D322&lt;&gt;"",VLOOKUP($D322,'SINAPI JULHO 2018'!$A$1:G11681,2,FALSE),"")</f>
        <v>AUXILIAR DE ENCANADOR OU BOMBEIRO HIDRÁULICO COM ENCARGOS COMPLEMENTARES</v>
      </c>
      <c r="F322" s="141" t="str">
        <f>IF($D322&lt;&gt;"",VLOOKUP($D322,'SINAPI JULHO 2018'!$1:$1048576,3,FALSE),"")</f>
        <v>H</v>
      </c>
      <c r="G322" s="142">
        <v>0.16</v>
      </c>
      <c r="H322" s="144">
        <f>IF($D322&lt;&gt;"",VLOOKUP($D322,'SINAPI JULHO 2018'!$1:$1048576,4,FALSE),"")</f>
        <v>14.12</v>
      </c>
      <c r="I322" s="148">
        <f t="shared" si="58"/>
        <v>2.25</v>
      </c>
    </row>
    <row r="323" spans="2:9" s="239" customFormat="1" ht="25.5">
      <c r="B323" s="131" t="s">
        <v>13518</v>
      </c>
      <c r="C323" s="132" t="s">
        <v>8</v>
      </c>
      <c r="D323" s="139">
        <v>88267</v>
      </c>
      <c r="E323" s="140" t="str">
        <f>IF($D323&lt;&gt;"",VLOOKUP($D323,'SINAPI JULHO 2018'!$A$1:G11682,2,FALSE),"")</f>
        <v>ENCANADOR OU BOMBEIRO HIDRÁULICO COM ENCARGOS COMPLEMENTARES</v>
      </c>
      <c r="F323" s="141" t="str">
        <f>IF($D323&lt;&gt;"",VLOOKUP($D323,'SINAPI JULHO 2018'!$1:$1048576,3,FALSE),"")</f>
        <v>H</v>
      </c>
      <c r="G323" s="142">
        <v>0.16</v>
      </c>
      <c r="H323" s="144">
        <f>IF($D323&lt;&gt;"",VLOOKUP($D323,'SINAPI JULHO 2018'!$1:$1048576,4,FALSE),"")</f>
        <v>18.02</v>
      </c>
      <c r="I323" s="148">
        <f t="shared" si="58"/>
        <v>2.88</v>
      </c>
    </row>
    <row r="324" spans="2:9" s="239" customFormat="1">
      <c r="B324" s="188"/>
      <c r="C324" s="188"/>
      <c r="D324" s="233"/>
      <c r="E324" s="241"/>
      <c r="F324" s="188"/>
      <c r="G324" s="125"/>
      <c r="H324" s="242"/>
      <c r="I324" s="390"/>
    </row>
    <row r="325" spans="2:9" s="239" customFormat="1">
      <c r="B325" s="418" t="s">
        <v>13576</v>
      </c>
      <c r="C325" s="419"/>
      <c r="D325" s="420"/>
      <c r="E325" s="421" t="s">
        <v>13577</v>
      </c>
      <c r="F325" s="422" t="s">
        <v>5</v>
      </c>
      <c r="G325" s="423">
        <v>1</v>
      </c>
      <c r="H325" s="424"/>
      <c r="I325" s="425">
        <f>SUM(I326:I331)</f>
        <v>790.6099999999999</v>
      </c>
    </row>
    <row r="326" spans="2:9" s="239" customFormat="1" ht="25.5">
      <c r="B326" s="131" t="s">
        <v>13518</v>
      </c>
      <c r="C326" s="132" t="s">
        <v>8</v>
      </c>
      <c r="D326" s="139">
        <v>96522</v>
      </c>
      <c r="E326" s="140" t="str">
        <f>IF($D326&lt;&gt;"",VLOOKUP($D326,'SINAPI JULHO 2018'!$A$1:G11685,2,FALSE),"")</f>
        <v>ESCAVAÇÃO MANUAL PARA BLOCO DE COROAMENTO OU SAPATA, SEM PREVISÃO DE FÔRMA. AF_06/2017</v>
      </c>
      <c r="F326" s="141" t="str">
        <f>IF($D326&lt;&gt;"",VLOOKUP($D326,'SINAPI JULHO 2018'!$1:$1048576,3,FALSE),"")</f>
        <v>M3</v>
      </c>
      <c r="G326" s="142">
        <f>12*0.2*0.8</f>
        <v>1.9200000000000004</v>
      </c>
      <c r="H326" s="144">
        <f>IF($D326&lt;&gt;"",VLOOKUP($D326,'SINAPI JULHO 2018'!$1:$1048576,4,FALSE),"")</f>
        <v>100.89</v>
      </c>
      <c r="I326" s="148">
        <f t="shared" ref="I326" si="59">TRUNC(G326*H326,2)</f>
        <v>193.7</v>
      </c>
    </row>
    <row r="327" spans="2:9" s="239" customFormat="1" ht="25.5">
      <c r="B327" s="131" t="s">
        <v>13518</v>
      </c>
      <c r="C327" s="132" t="s">
        <v>8</v>
      </c>
      <c r="D327" s="139">
        <v>93382</v>
      </c>
      <c r="E327" s="140" t="str">
        <f>IF($D327&lt;&gt;"",VLOOKUP($D327,'SINAPI JULHO 2018'!$A$1:G11686,2,FALSE),"")</f>
        <v>REATERRO MANUAL DE VALAS COM COMPACTAÇÃO MECANIZADA. AF_04/2016</v>
      </c>
      <c r="F327" s="141" t="str">
        <f>IF($D327&lt;&gt;"",VLOOKUP($D327,'SINAPI JULHO 2018'!$1:$1048576,3,FALSE),"")</f>
        <v>M3</v>
      </c>
      <c r="G327" s="142">
        <f>12*0.2*0.7</f>
        <v>1.6800000000000002</v>
      </c>
      <c r="H327" s="144">
        <f>IF($D327&lt;&gt;"",VLOOKUP($D327,'SINAPI JULHO 2018'!$1:$1048576,4,FALSE),"")</f>
        <v>19.27</v>
      </c>
      <c r="I327" s="148">
        <f t="shared" ref="I327:I331" si="60">TRUNC(G327*H327,2)</f>
        <v>32.369999999999997</v>
      </c>
    </row>
    <row r="328" spans="2:9" s="239" customFormat="1" ht="25.5">
      <c r="B328" s="131" t="s">
        <v>13518</v>
      </c>
      <c r="C328" s="132" t="s">
        <v>8</v>
      </c>
      <c r="D328" s="139">
        <v>90446</v>
      </c>
      <c r="E328" s="140" t="str">
        <f>IF($D328&lt;&gt;"",VLOOKUP($D328,'SINAPI JULHO 2018'!$A$1:G11687,2,FALSE),"")</f>
        <v>RASGO EM CONTRAPISO PARA RAMAIS/ DISTRIBUIÇÃO COM DIÂMETROS MAIORES QUE 75 MM. AF_05/2015</v>
      </c>
      <c r="F328" s="141" t="str">
        <f>IF($D328&lt;&gt;"",VLOOKUP($D328,'SINAPI JULHO 2018'!$1:$1048576,3,FALSE),"")</f>
        <v>M</v>
      </c>
      <c r="G328" s="142">
        <v>12</v>
      </c>
      <c r="H328" s="144">
        <f>IF($D328&lt;&gt;"",VLOOKUP($D328,'SINAPI JULHO 2018'!$1:$1048576,4,FALSE),"")</f>
        <v>19.88</v>
      </c>
      <c r="I328" s="148">
        <f t="shared" si="60"/>
        <v>238.56</v>
      </c>
    </row>
    <row r="329" spans="2:9" s="239" customFormat="1" ht="51">
      <c r="B329" s="131" t="s">
        <v>13518</v>
      </c>
      <c r="C329" s="132" t="s">
        <v>8</v>
      </c>
      <c r="D329" s="139">
        <v>90694</v>
      </c>
      <c r="E329" s="140" t="str">
        <f>IF($D329&lt;&gt;"",VLOOKUP($D329,'SINAPI JULHO 2018'!$A$1:G11688,2,FALSE),"")</f>
        <v>TUBO DE PVC PARA REDE COLETORA DE ESGOTO DE PAREDE MACIÇA, DN 100 MM, JUNTA ELÁSTICA, INSTALADO EM LOCAL COM NÍVEL BAIXO DE INTERFERÊNCIAS - FORNECIMENTO E ASSENTAMENTO. AF_06/2015</v>
      </c>
      <c r="F329" s="141" t="str">
        <f>IF($D329&lt;&gt;"",VLOOKUP($D329,'SINAPI JULHO 2018'!$1:$1048576,3,FALSE),"")</f>
        <v>M</v>
      </c>
      <c r="G329" s="142">
        <v>12</v>
      </c>
      <c r="H329" s="144">
        <f>IF($D329&lt;&gt;"",VLOOKUP($D329,'SINAPI JULHO 2018'!$1:$1048576,4,FALSE),"")</f>
        <v>21.22</v>
      </c>
      <c r="I329" s="148">
        <f t="shared" si="60"/>
        <v>254.64</v>
      </c>
    </row>
    <row r="330" spans="2:9" s="239" customFormat="1" ht="25.5">
      <c r="B330" s="131" t="s">
        <v>13518</v>
      </c>
      <c r="C330" s="132" t="s">
        <v>8</v>
      </c>
      <c r="D330" s="139">
        <v>88248</v>
      </c>
      <c r="E330" s="140" t="str">
        <f>IF($D330&lt;&gt;"",VLOOKUP($D330,'SINAPI JULHO 2018'!$A$1:G11689,2,FALSE),"")</f>
        <v>AUXILIAR DE ENCANADOR OU BOMBEIRO HIDRÁULICO COM ENCARGOS COMPLEMENTARES</v>
      </c>
      <c r="F330" s="141" t="str">
        <f>IF($D330&lt;&gt;"",VLOOKUP($D330,'SINAPI JULHO 2018'!$1:$1048576,3,FALSE),"")</f>
        <v>H</v>
      </c>
      <c r="G330" s="142">
        <v>2.5</v>
      </c>
      <c r="H330" s="144">
        <f>IF($D330&lt;&gt;"",VLOOKUP($D330,'SINAPI JULHO 2018'!$1:$1048576,4,FALSE),"")</f>
        <v>14.12</v>
      </c>
      <c r="I330" s="148">
        <f t="shared" si="60"/>
        <v>35.299999999999997</v>
      </c>
    </row>
    <row r="331" spans="2:9" s="239" customFormat="1" ht="25.5">
      <c r="B331" s="131" t="s">
        <v>13518</v>
      </c>
      <c r="C331" s="132" t="s">
        <v>8</v>
      </c>
      <c r="D331" s="139">
        <v>88267</v>
      </c>
      <c r="E331" s="140" t="str">
        <f>IF($D331&lt;&gt;"",VLOOKUP($D331,'SINAPI JULHO 2018'!$A$1:G11690,2,FALSE),"")</f>
        <v>ENCANADOR OU BOMBEIRO HIDRÁULICO COM ENCARGOS COMPLEMENTARES</v>
      </c>
      <c r="F331" s="141" t="str">
        <f>IF($D331&lt;&gt;"",VLOOKUP($D331,'SINAPI JULHO 2018'!$1:$1048576,3,FALSE),"")</f>
        <v>H</v>
      </c>
      <c r="G331" s="142">
        <v>2</v>
      </c>
      <c r="H331" s="144">
        <f>IF($D331&lt;&gt;"",VLOOKUP($D331,'SINAPI JULHO 2018'!$1:$1048576,4,FALSE),"")</f>
        <v>18.02</v>
      </c>
      <c r="I331" s="148">
        <f t="shared" si="60"/>
        <v>36.04</v>
      </c>
    </row>
    <row r="332" spans="2:9" s="239" customFormat="1">
      <c r="B332" s="188"/>
      <c r="C332" s="188"/>
      <c r="D332" s="233"/>
      <c r="E332" s="241"/>
      <c r="F332" s="188"/>
      <c r="G332" s="125"/>
      <c r="H332" s="242"/>
      <c r="I332" s="390"/>
    </row>
    <row r="333" spans="2:9" s="239" customFormat="1">
      <c r="B333" s="253" t="s">
        <v>13578</v>
      </c>
      <c r="C333" s="188"/>
      <c r="D333" s="233"/>
      <c r="E333" s="241"/>
      <c r="F333" s="188"/>
      <c r="G333" s="125"/>
      <c r="H333" s="242"/>
      <c r="I333" s="390"/>
    </row>
    <row r="334" spans="2:9" s="239" customFormat="1">
      <c r="B334" s="188"/>
      <c r="C334" s="188"/>
      <c r="D334" s="233"/>
      <c r="E334" s="241"/>
      <c r="F334" s="188"/>
      <c r="G334" s="125"/>
      <c r="H334" s="242"/>
      <c r="I334" s="390"/>
    </row>
    <row r="335" spans="2:9" ht="36">
      <c r="B335" s="418" t="s">
        <v>342</v>
      </c>
      <c r="C335" s="426"/>
      <c r="D335" s="427"/>
      <c r="E335" s="428" t="s">
        <v>13579</v>
      </c>
      <c r="F335" s="429" t="s">
        <v>5</v>
      </c>
      <c r="G335" s="430">
        <v>1</v>
      </c>
      <c r="H335" s="431"/>
      <c r="I335" s="432">
        <f>SUM(I336:I357)</f>
        <v>3896.6999999999994</v>
      </c>
    </row>
    <row r="336" spans="2:9" ht="25.5">
      <c r="B336" s="131" t="s">
        <v>13514</v>
      </c>
      <c r="C336" s="132" t="s">
        <v>8</v>
      </c>
      <c r="D336" s="139">
        <v>406</v>
      </c>
      <c r="E336" s="140" t="str">
        <f>IF($D336&lt;&gt;"",VLOOKUP($D336,'SINAPI JULHO 2018'!$A$1:G11695,2,FALSE),"")</f>
        <v>FITA ACO INOX PARA CINTAR POSTE, L = 19 MM, E = 0,5 MM (ROLO DE 30M)</v>
      </c>
      <c r="F336" s="141" t="str">
        <f>IF($D336&lt;&gt;"",VLOOKUP($D336,'SINAPI JULHO 2018'!$1:$1048576,3,FALSE),"")</f>
        <v xml:space="preserve">UN    </v>
      </c>
      <c r="G336" s="142">
        <v>0.13333329999999999</v>
      </c>
      <c r="H336" s="144">
        <f>IF($D336&lt;&gt;"",VLOOKUP($D336,'SINAPI JULHO 2018'!$1:$1048576,4,FALSE),"")</f>
        <v>51.3</v>
      </c>
      <c r="I336" s="148">
        <f t="shared" ref="I336" si="61">TRUNC(G336*H336,2)</f>
        <v>6.83</v>
      </c>
    </row>
    <row r="337" spans="2:9" ht="25.5">
      <c r="B337" s="131" t="s">
        <v>13514</v>
      </c>
      <c r="C337" s="132" t="s">
        <v>8</v>
      </c>
      <c r="D337" s="139">
        <v>420</v>
      </c>
      <c r="E337" s="140" t="str">
        <f>IF($D337&lt;&gt;"",VLOOKUP($D337,'SINAPI JULHO 2018'!$A$1:G11696,2,FALSE),"")</f>
        <v>CINTA CIRCULAR EM ACO GALVANIZADO DE 150 MM DE DIAMETRO PARA FIXACAO DE CAIXA MEDICAO, INCLUI PARAFUSOS E PORCAS</v>
      </c>
      <c r="F337" s="141" t="str">
        <f>IF($D337&lt;&gt;"",VLOOKUP($D337,'SINAPI JULHO 2018'!$1:$1048576,3,FALSE),"")</f>
        <v xml:space="preserve">UN    </v>
      </c>
      <c r="G337" s="142">
        <v>2</v>
      </c>
      <c r="H337" s="144">
        <f>IF($D337&lt;&gt;"",VLOOKUP($D337,'SINAPI JULHO 2018'!$1:$1048576,4,FALSE),"")</f>
        <v>19.399999999999999</v>
      </c>
      <c r="I337" s="148">
        <f t="shared" ref="I337:I357" si="62">TRUNC(G337*H337,2)</f>
        <v>38.799999999999997</v>
      </c>
    </row>
    <row r="338" spans="2:9">
      <c r="B338" s="131" t="s">
        <v>13514</v>
      </c>
      <c r="C338" s="132" t="s">
        <v>8</v>
      </c>
      <c r="D338" s="139">
        <v>863</v>
      </c>
      <c r="E338" s="140" t="str">
        <f>IF($D338&lt;&gt;"",VLOOKUP($D338,'SINAPI JULHO 2018'!$A$1:G11697,2,FALSE),"")</f>
        <v>CABO DE COBRE NU 35 MM2 MEIO-DURO</v>
      </c>
      <c r="F338" s="141" t="str">
        <f>IF($D338&lt;&gt;"",VLOOKUP($D338,'SINAPI JULHO 2018'!$1:$1048576,3,FALSE),"")</f>
        <v xml:space="preserve">M     </v>
      </c>
      <c r="G338" s="142">
        <v>8</v>
      </c>
      <c r="H338" s="144">
        <f>IF($D338&lt;&gt;"",VLOOKUP($D338,'SINAPI JULHO 2018'!$1:$1048576,4,FALSE),"")</f>
        <v>17.41</v>
      </c>
      <c r="I338" s="148">
        <f t="shared" si="62"/>
        <v>139.28</v>
      </c>
    </row>
    <row r="339" spans="2:9" ht="38.25">
      <c r="B339" s="131" t="s">
        <v>13514</v>
      </c>
      <c r="C339" s="132" t="s">
        <v>8</v>
      </c>
      <c r="D339" s="139">
        <v>988</v>
      </c>
      <c r="E339" s="140" t="str">
        <f>IF($D339&lt;&gt;"",VLOOKUP($D339,'SINAPI JULHO 2018'!$A$1:G11698,2,FALSE),"")</f>
        <v>CABO DE COBRE, RIGIDO, CLASSE 2, ISOLACAO EM PVC/A, ANTICHAMA BWF-B, 1 CONDUTOR, 450/750 V, SECAO NOMINAL 70 MM2</v>
      </c>
      <c r="F339" s="141" t="str">
        <f>IF($D339&lt;&gt;"",VLOOKUP($D339,'SINAPI JULHO 2018'!$1:$1048576,3,FALSE),"")</f>
        <v xml:space="preserve">M     </v>
      </c>
      <c r="G339" s="142">
        <v>48</v>
      </c>
      <c r="H339" s="144">
        <f>IF($D339&lt;&gt;"",VLOOKUP($D339,'SINAPI JULHO 2018'!$1:$1048576,4,FALSE),"")</f>
        <v>36.71</v>
      </c>
      <c r="I339" s="148">
        <f t="shared" si="62"/>
        <v>1762.08</v>
      </c>
    </row>
    <row r="340" spans="2:9" ht="38.25">
      <c r="B340" s="131" t="s">
        <v>13514</v>
      </c>
      <c r="C340" s="132" t="s">
        <v>8</v>
      </c>
      <c r="D340" s="139">
        <v>1062</v>
      </c>
      <c r="E340" s="140" t="str">
        <f>IF($D340&lt;&gt;"",VLOOKUP($D340,'SINAPI JULHO 2018'!$A$1:G11699,2,FALSE),"")</f>
        <v>CAIXA INTERNA DE MEDICAO PARA 1 MEDIDOR TRIFASICO, COM VISOR, EM CHAPA DE ACO 18 USG (PADRAO DA CONCESSIONARIA LOCAL)</v>
      </c>
      <c r="F340" s="141" t="str">
        <f>IF($D340&lt;&gt;"",VLOOKUP($D340,'SINAPI JULHO 2018'!$1:$1048576,3,FALSE),"")</f>
        <v xml:space="preserve">UN    </v>
      </c>
      <c r="G340" s="142">
        <v>1</v>
      </c>
      <c r="H340" s="144">
        <f>IF($D340&lt;&gt;"",VLOOKUP($D340,'SINAPI JULHO 2018'!$1:$1048576,4,FALSE),"")</f>
        <v>149.5</v>
      </c>
      <c r="I340" s="148">
        <f t="shared" si="62"/>
        <v>149.5</v>
      </c>
    </row>
    <row r="341" spans="2:9" ht="25.5">
      <c r="B341" s="131" t="s">
        <v>13514</v>
      </c>
      <c r="C341" s="132" t="s">
        <v>8</v>
      </c>
      <c r="D341" s="139">
        <v>1096</v>
      </c>
      <c r="E341" s="140" t="str">
        <f>IF($D341&lt;&gt;"",VLOOKUP($D341,'SINAPI JULHO 2018'!$A$1:G11700,2,FALSE),"")</f>
        <v>ARMACAO VERTICAL COM HASTE E CONTRA-PINO, EM CHAPA DE ACO GALVANIZADO 3/16", COM 4 ESTRIBOS E 4 ISOLADORES</v>
      </c>
      <c r="F341" s="141" t="str">
        <f>IF($D341&lt;&gt;"",VLOOKUP($D341,'SINAPI JULHO 2018'!$1:$1048576,3,FALSE),"")</f>
        <v xml:space="preserve">UN    </v>
      </c>
      <c r="G341" s="142">
        <v>1</v>
      </c>
      <c r="H341" s="144">
        <f>IF($D341&lt;&gt;"",VLOOKUP($D341,'SINAPI JULHO 2018'!$1:$1048576,4,FALSE),"")</f>
        <v>64.39</v>
      </c>
      <c r="I341" s="148">
        <f t="shared" si="62"/>
        <v>64.39</v>
      </c>
    </row>
    <row r="342" spans="2:9" ht="25.5">
      <c r="B342" s="131" t="s">
        <v>13514</v>
      </c>
      <c r="C342" s="132" t="s">
        <v>8</v>
      </c>
      <c r="D342" s="139">
        <v>1091</v>
      </c>
      <c r="E342" s="140" t="str">
        <f>IF($D342&lt;&gt;"",VLOOKUP($D342,'SINAPI JULHO 2018'!$A$1:G11701,2,FALSE),"")</f>
        <v>ARMACAO VERTICAL COM HASTE E CONTRA-PINO, EM CHAPA DE ACO GALVANIZADO 3/16", COM 1 ESTRIBO E 1 ISOLADOR</v>
      </c>
      <c r="F342" s="141" t="str">
        <f>IF($D342&lt;&gt;"",VLOOKUP($D342,'SINAPI JULHO 2018'!$1:$1048576,3,FALSE),"")</f>
        <v xml:space="preserve">UN    </v>
      </c>
      <c r="G342" s="142">
        <v>1</v>
      </c>
      <c r="H342" s="144">
        <f>IF($D342&lt;&gt;"",VLOOKUP($D342,'SINAPI JULHO 2018'!$1:$1048576,4,FALSE),"")</f>
        <v>18.600000000000001</v>
      </c>
      <c r="I342" s="148">
        <f t="shared" si="62"/>
        <v>18.600000000000001</v>
      </c>
    </row>
    <row r="343" spans="2:9" ht="25.5">
      <c r="B343" s="131" t="s">
        <v>13514</v>
      </c>
      <c r="C343" s="132" t="s">
        <v>8</v>
      </c>
      <c r="D343" s="139">
        <v>11855</v>
      </c>
      <c r="E343" s="140" t="str">
        <f>IF($D343&lt;&gt;"",VLOOKUP($D343,'SINAPI JULHO 2018'!$A$1:G11702,2,FALSE),"")</f>
        <v>CONECTOR METALICO TIPO PARAFUSO FENDIDO (SPLIT BOLT), PARA CABOS ATE 70 MM2</v>
      </c>
      <c r="F343" s="141" t="str">
        <f>IF($D343&lt;&gt;"",VLOOKUP($D343,'SINAPI JULHO 2018'!$1:$1048576,3,FALSE),"")</f>
        <v xml:space="preserve">UN    </v>
      </c>
      <c r="G343" s="142">
        <v>9</v>
      </c>
      <c r="H343" s="144">
        <f>IF($D343&lt;&gt;"",VLOOKUP($D343,'SINAPI JULHO 2018'!$1:$1048576,4,FALSE),"")</f>
        <v>11.06</v>
      </c>
      <c r="I343" s="148">
        <f t="shared" si="62"/>
        <v>99.54</v>
      </c>
    </row>
    <row r="344" spans="2:9">
      <c r="B344" s="131" t="s">
        <v>13514</v>
      </c>
      <c r="C344" s="132" t="s">
        <v>8</v>
      </c>
      <c r="D344" s="139">
        <v>1896</v>
      </c>
      <c r="E344" s="140" t="str">
        <f>IF($D344&lt;&gt;"",VLOOKUP($D344,'SINAPI JULHO 2018'!$A$1:G11703,2,FALSE),"")</f>
        <v>LUVA EM PVC RIGIDO ROSCAVEL, DE 3", PARA ELETRODUTO</v>
      </c>
      <c r="F344" s="141" t="str">
        <f>IF($D344&lt;&gt;"",VLOOKUP($D344,'SINAPI JULHO 2018'!$1:$1048576,3,FALSE),"")</f>
        <v xml:space="preserve">UN    </v>
      </c>
      <c r="G344" s="142">
        <v>4</v>
      </c>
      <c r="H344" s="144">
        <f>IF($D344&lt;&gt;"",VLOOKUP($D344,'SINAPI JULHO 2018'!$1:$1048576,4,FALSE),"")</f>
        <v>10.75</v>
      </c>
      <c r="I344" s="148">
        <f t="shared" si="62"/>
        <v>43</v>
      </c>
    </row>
    <row r="345" spans="2:9" ht="25.5">
      <c r="B345" s="131" t="s">
        <v>13514</v>
      </c>
      <c r="C345" s="132" t="s">
        <v>8</v>
      </c>
      <c r="D345" s="139">
        <v>2374</v>
      </c>
      <c r="E345" s="140" t="str">
        <f>IF($D345&lt;&gt;"",VLOOKUP($D345,'SINAPI JULHO 2018'!$A$1:G11704,2,FALSE),"")</f>
        <v>DISJUNTOR TERMOMAGNETICO TRIPOLAR 150 A / 600 V, TIPO FXD / ICC - 35 KA</v>
      </c>
      <c r="F345" s="141" t="str">
        <f>IF($D345&lt;&gt;"",VLOOKUP($D345,'SINAPI JULHO 2018'!$1:$1048576,3,FALSE),"")</f>
        <v xml:space="preserve">UN    </v>
      </c>
      <c r="G345" s="142">
        <v>1</v>
      </c>
      <c r="H345" s="144">
        <f>IF($D345&lt;&gt;"",VLOOKUP($D345,'SINAPI JULHO 2018'!$1:$1048576,4,FALSE),"")</f>
        <v>286.89</v>
      </c>
      <c r="I345" s="148">
        <f t="shared" si="62"/>
        <v>286.89</v>
      </c>
    </row>
    <row r="346" spans="2:9">
      <c r="B346" s="131" t="s">
        <v>13514</v>
      </c>
      <c r="C346" s="132" t="s">
        <v>8</v>
      </c>
      <c r="D346" s="139">
        <v>2686</v>
      </c>
      <c r="E346" s="140" t="str">
        <f>IF($D346&lt;&gt;"",VLOOKUP($D346,'SINAPI JULHO 2018'!$A$1:G11705,2,FALSE),"")</f>
        <v>ELETRODUTO DE PVC RIGIDO ROSCAVEL DE 3 ", SEM LUVA</v>
      </c>
      <c r="F346" s="141" t="str">
        <f>IF($D346&lt;&gt;"",VLOOKUP($D346,'SINAPI JULHO 2018'!$1:$1048576,3,FALSE),"")</f>
        <v xml:space="preserve">M     </v>
      </c>
      <c r="G346" s="142">
        <v>8</v>
      </c>
      <c r="H346" s="144">
        <f>IF($D346&lt;&gt;"",VLOOKUP($D346,'SINAPI JULHO 2018'!$1:$1048576,4,FALSE),"")</f>
        <v>14.13</v>
      </c>
      <c r="I346" s="148">
        <f t="shared" si="62"/>
        <v>113.04</v>
      </c>
    </row>
    <row r="347" spans="2:9">
      <c r="B347" s="131" t="s">
        <v>13514</v>
      </c>
      <c r="C347" s="132" t="s">
        <v>8</v>
      </c>
      <c r="D347" s="139">
        <v>5059</v>
      </c>
      <c r="E347" s="140" t="str">
        <f>IF($D347&lt;&gt;"",VLOOKUP($D347,'SINAPI JULHO 2018'!$A$1:G11706,2,FALSE),"")</f>
        <v>POSTE DE CONCRETO CIRCULAR, 400 KG, H = 9 M (NBR 8451)</v>
      </c>
      <c r="F347" s="141" t="str">
        <f>IF($D347&lt;&gt;"",VLOOKUP($D347,'SINAPI JULHO 2018'!$1:$1048576,3,FALSE),"")</f>
        <v xml:space="preserve">UN    </v>
      </c>
      <c r="G347" s="142">
        <v>1</v>
      </c>
      <c r="H347" s="144">
        <f>IF($D347&lt;&gt;"",VLOOKUP($D347,'SINAPI JULHO 2018'!$1:$1048576,4,FALSE),"")</f>
        <v>750.85</v>
      </c>
      <c r="I347" s="148">
        <f t="shared" si="62"/>
        <v>750.85</v>
      </c>
    </row>
    <row r="348" spans="2:9" ht="38.25">
      <c r="B348" s="131" t="s">
        <v>13514</v>
      </c>
      <c r="C348" s="132" t="s">
        <v>8</v>
      </c>
      <c r="D348" s="139">
        <v>3379</v>
      </c>
      <c r="E348" s="140" t="str">
        <f>IF($D348&lt;&gt;"",VLOOKUP($D348,'SINAPI JULHO 2018'!$A$1:G11707,2,FALSE),"")</f>
        <v>!EM PROCESSO DE DESATIVACAO! HASTE DE ATERRAMENTO EM ACO COM 3,00 M DE COMPRIMENTO E DN = 5/8", REVESTIDA COM BAIXA CAMADA DE COBRE, SEM CONECTOR</v>
      </c>
      <c r="F348" s="141" t="str">
        <f>IF($D348&lt;&gt;"",VLOOKUP($D348,'SINAPI JULHO 2018'!$1:$1048576,3,FALSE),"")</f>
        <v xml:space="preserve">UN    </v>
      </c>
      <c r="G348" s="142">
        <v>3</v>
      </c>
      <c r="H348" s="144">
        <f>IF($D348&lt;&gt;"",VLOOKUP($D348,'SINAPI JULHO 2018'!$1:$1048576,4,FALSE),"")</f>
        <v>33.549999999999997</v>
      </c>
      <c r="I348" s="148">
        <f t="shared" si="62"/>
        <v>100.65</v>
      </c>
    </row>
    <row r="349" spans="2:9" ht="38.25">
      <c r="B349" s="131" t="s">
        <v>13514</v>
      </c>
      <c r="C349" s="132" t="s">
        <v>8</v>
      </c>
      <c r="D349" s="139">
        <v>4346</v>
      </c>
      <c r="E349" s="140" t="str">
        <f>IF($D349&lt;&gt;"",VLOOKUP($D349,'SINAPI JULHO 2018'!$A$1:G11708,2,FALSE),"")</f>
        <v>PARAFUSO DE FERRO POLIDO, SEXTAVADO, COM ROSCA PARCIAL, DIAMETRO 5/8", COMPRIMENTO 6", COM PORCA E ARRUELA DE PRESSAO MEDIA</v>
      </c>
      <c r="F349" s="141" t="str">
        <f>IF($D349&lt;&gt;"",VLOOKUP($D349,'SINAPI JULHO 2018'!$1:$1048576,3,FALSE),"")</f>
        <v xml:space="preserve">UN    </v>
      </c>
      <c r="G349" s="142">
        <v>2</v>
      </c>
      <c r="H349" s="144">
        <f>IF($D349&lt;&gt;"",VLOOKUP($D349,'SINAPI JULHO 2018'!$1:$1048576,4,FALSE),"")</f>
        <v>5.38</v>
      </c>
      <c r="I349" s="148">
        <f t="shared" si="62"/>
        <v>10.76</v>
      </c>
    </row>
    <row r="350" spans="2:9" ht="25.5">
      <c r="B350" s="131" t="s">
        <v>13514</v>
      </c>
      <c r="C350" s="132" t="s">
        <v>8</v>
      </c>
      <c r="D350" s="139">
        <v>11267</v>
      </c>
      <c r="E350" s="140" t="str">
        <f>IF($D350&lt;&gt;"",VLOOKUP($D350,'SINAPI JULHO 2018'!$A$1:G11709,2,FALSE),"")</f>
        <v>ARRUELA REDONDA DE LATAO, DIAMETRO EXTERNO = 34 MM, ESPESSURA = 2,5 MM, DIAMETRO DO FURO = 17 MM</v>
      </c>
      <c r="F350" s="141" t="str">
        <f>IF($D350&lt;&gt;"",VLOOKUP($D350,'SINAPI JULHO 2018'!$1:$1048576,3,FALSE),"")</f>
        <v xml:space="preserve">UN    </v>
      </c>
      <c r="G350" s="142">
        <v>2</v>
      </c>
      <c r="H350" s="144">
        <f>IF($D350&lt;&gt;"",VLOOKUP($D350,'SINAPI JULHO 2018'!$1:$1048576,4,FALSE),"")</f>
        <v>5.26</v>
      </c>
      <c r="I350" s="148">
        <f t="shared" si="62"/>
        <v>10.52</v>
      </c>
    </row>
    <row r="351" spans="2:9" ht="38.25">
      <c r="B351" s="131" t="s">
        <v>13514</v>
      </c>
      <c r="C351" s="132" t="s">
        <v>8</v>
      </c>
      <c r="D351" s="139">
        <v>1102</v>
      </c>
      <c r="E351" s="140" t="str">
        <f>IF($D351&lt;&gt;"",VLOOKUP($D351,'SINAPI JULHO 2018'!$A$1:G11710,2,FALSE),"")</f>
        <v>CABECOTE PARA ENTRADA DE LINHA DE ALIMENTACAO PARA ELETRODUTO, EM LIGA DE ALUMINIO COM ACABAMENTO ANTI CORROSIVO, COM FIXACAO POR ENCAIXE LISO DE 360 GRAUS, DE 3"</v>
      </c>
      <c r="F351" s="141" t="str">
        <f>IF($D351&lt;&gt;"",VLOOKUP($D351,'SINAPI JULHO 2018'!$1:$1048576,3,FALSE),"")</f>
        <v xml:space="preserve">UN    </v>
      </c>
      <c r="G351" s="142">
        <v>2</v>
      </c>
      <c r="H351" s="144">
        <f>IF($D351&lt;&gt;"",VLOOKUP($D351,'SINAPI JULHO 2018'!$1:$1048576,4,FALSE),"")</f>
        <v>23.59</v>
      </c>
      <c r="I351" s="148">
        <f t="shared" si="62"/>
        <v>47.18</v>
      </c>
    </row>
    <row r="352" spans="2:9">
      <c r="B352" s="131" t="s">
        <v>13514</v>
      </c>
      <c r="C352" s="132" t="s">
        <v>8</v>
      </c>
      <c r="D352" s="139">
        <v>39181</v>
      </c>
      <c r="E352" s="140" t="str">
        <f>IF($D352&lt;&gt;"",VLOOKUP($D352,'SINAPI JULHO 2018'!$A$1:G11711,2,FALSE),"")</f>
        <v>BUCHA EM ALUMINIO, COM ROSCA, DE 3", PARA ELETRODUTO</v>
      </c>
      <c r="F352" s="141" t="str">
        <f>IF($D352&lt;&gt;"",VLOOKUP($D352,'SINAPI JULHO 2018'!$1:$1048576,3,FALSE),"")</f>
        <v xml:space="preserve">UN    </v>
      </c>
      <c r="G352" s="142">
        <v>2</v>
      </c>
      <c r="H352" s="144">
        <f>IF($D352&lt;&gt;"",VLOOKUP($D352,'SINAPI JULHO 2018'!$1:$1048576,4,FALSE),"")</f>
        <v>4.07</v>
      </c>
      <c r="I352" s="148">
        <f t="shared" si="62"/>
        <v>8.14</v>
      </c>
    </row>
    <row r="353" spans="2:9">
      <c r="B353" s="131" t="s">
        <v>13514</v>
      </c>
      <c r="C353" s="132" t="s">
        <v>8</v>
      </c>
      <c r="D353" s="139">
        <v>39215</v>
      </c>
      <c r="E353" s="140" t="str">
        <f>IF($D353&lt;&gt;"",VLOOKUP($D353,'SINAPI JULHO 2018'!$A$1:G11712,2,FALSE),"")</f>
        <v>ARRUELA EM ALUMINIO, COM ROSCA, DE 3", PARA ELETRODUTO</v>
      </c>
      <c r="F353" s="141" t="str">
        <f>IF($D353&lt;&gt;"",VLOOKUP($D353,'SINAPI JULHO 2018'!$1:$1048576,3,FALSE),"")</f>
        <v xml:space="preserve">UN    </v>
      </c>
      <c r="G353" s="142">
        <v>2</v>
      </c>
      <c r="H353" s="144">
        <f>IF($D353&lt;&gt;"",VLOOKUP($D353,'SINAPI JULHO 2018'!$1:$1048576,4,FALSE),"")</f>
        <v>3.32</v>
      </c>
      <c r="I353" s="148">
        <f t="shared" si="62"/>
        <v>6.64</v>
      </c>
    </row>
    <row r="354" spans="2:9" ht="25.5">
      <c r="B354" s="131" t="s">
        <v>13514</v>
      </c>
      <c r="C354" s="132" t="s">
        <v>8</v>
      </c>
      <c r="D354" s="139">
        <v>11273</v>
      </c>
      <c r="E354" s="140" t="str">
        <f>IF($D354&lt;&gt;"",VLOOKUP($D354,'SINAPI JULHO 2018'!$A$1:G11713,2,FALSE),"")</f>
        <v>ALCA PREFORMADA DE DISTRIBUICAO, EM ACO GALVANIZADO, PARA CONDUTORES DE ALUMINIO AWG 1/0 (CAA 6/1 OU CA 7 FIOS)</v>
      </c>
      <c r="F354" s="141" t="str">
        <f>IF($D354&lt;&gt;"",VLOOKUP($D354,'SINAPI JULHO 2018'!$1:$1048576,3,FALSE),"")</f>
        <v xml:space="preserve">UN    </v>
      </c>
      <c r="G354" s="142">
        <v>2</v>
      </c>
      <c r="H354" s="144">
        <f>IF($D354&lt;&gt;"",VLOOKUP($D354,'SINAPI JULHO 2018'!$1:$1048576,4,FALSE),"")</f>
        <v>6.83</v>
      </c>
      <c r="I354" s="148">
        <f t="shared" si="62"/>
        <v>13.66</v>
      </c>
    </row>
    <row r="355" spans="2:9" ht="25.5">
      <c r="B355" s="131" t="s">
        <v>13514</v>
      </c>
      <c r="C355" s="132" t="s">
        <v>8</v>
      </c>
      <c r="D355" s="139">
        <v>34643</v>
      </c>
      <c r="E355" s="140" t="str">
        <f>IF($D355&lt;&gt;"",VLOOKUP($D355,'SINAPI JULHO 2018'!$A$1:G11714,2,FALSE),"")</f>
        <v>CAIXA INSPECAO EM POLIETILENO PARA ATERRAMENTO E PARA RAIOS DIAMETRO = 300 MM</v>
      </c>
      <c r="F355" s="141" t="str">
        <f>IF($D355&lt;&gt;"",VLOOKUP($D355,'SINAPI JULHO 2018'!$1:$1048576,3,FALSE),"")</f>
        <v xml:space="preserve">UN    </v>
      </c>
      <c r="G355" s="142">
        <v>3</v>
      </c>
      <c r="H355" s="144">
        <f>IF($D355&lt;&gt;"",VLOOKUP($D355,'SINAPI JULHO 2018'!$1:$1048576,4,FALSE),"")</f>
        <v>10.39</v>
      </c>
      <c r="I355" s="148">
        <f t="shared" si="62"/>
        <v>31.17</v>
      </c>
    </row>
    <row r="356" spans="2:9">
      <c r="B356" s="131" t="s">
        <v>13518</v>
      </c>
      <c r="C356" s="132" t="s">
        <v>8</v>
      </c>
      <c r="D356" s="139">
        <v>88264</v>
      </c>
      <c r="E356" s="140" t="str">
        <f>IF($D356&lt;&gt;"",VLOOKUP($D356,'SINAPI JULHO 2018'!$A$1:G11715,2,FALSE),"")</f>
        <v>ELETRICISTA COM ENCARGOS COMPLEMENTARES</v>
      </c>
      <c r="F356" s="141" t="str">
        <f>IF($D356&lt;&gt;"",VLOOKUP($D356,'SINAPI JULHO 2018'!$1:$1048576,3,FALSE),"")</f>
        <v>H</v>
      </c>
      <c r="G356" s="142">
        <v>6</v>
      </c>
      <c r="H356" s="144">
        <f>IF($D356&lt;&gt;"",VLOOKUP($D356,'SINAPI JULHO 2018'!$1:$1048576,4,FALSE),"")</f>
        <v>18.22</v>
      </c>
      <c r="I356" s="148">
        <f t="shared" si="62"/>
        <v>109.32</v>
      </c>
    </row>
    <row r="357" spans="2:9">
      <c r="B357" s="131" t="s">
        <v>13518</v>
      </c>
      <c r="C357" s="132" t="s">
        <v>8</v>
      </c>
      <c r="D357" s="139">
        <v>88316</v>
      </c>
      <c r="E357" s="140" t="str">
        <f>IF($D357&lt;&gt;"",VLOOKUP($D357,'SINAPI JULHO 2018'!$A$1:G11716,2,FALSE),"")</f>
        <v>SERVENTE COM ENCARGOS COMPLEMENTARES</v>
      </c>
      <c r="F357" s="141" t="str">
        <f>IF($D357&lt;&gt;"",VLOOKUP($D357,'SINAPI JULHO 2018'!$1:$1048576,3,FALSE),"")</f>
        <v>H</v>
      </c>
      <c r="G357" s="142">
        <v>6</v>
      </c>
      <c r="H357" s="144">
        <f>IF($D357&lt;&gt;"",VLOOKUP($D357,'SINAPI JULHO 2018'!$1:$1048576,4,FALSE),"")</f>
        <v>14.31</v>
      </c>
      <c r="I357" s="148">
        <f t="shared" si="62"/>
        <v>85.86</v>
      </c>
    </row>
    <row r="359" spans="2:9" ht="48">
      <c r="B359" s="418" t="s">
        <v>356</v>
      </c>
      <c r="C359" s="426"/>
      <c r="D359" s="427"/>
      <c r="E359" s="428" t="s">
        <v>13580</v>
      </c>
      <c r="F359" s="429" t="s">
        <v>5</v>
      </c>
      <c r="G359" s="430">
        <v>1</v>
      </c>
      <c r="H359" s="431"/>
      <c r="I359" s="432">
        <f>SUM(I360:I362)</f>
        <v>37.659999999999997</v>
      </c>
    </row>
    <row r="360" spans="2:9" ht="51">
      <c r="B360" s="131" t="s">
        <v>13514</v>
      </c>
      <c r="C360" s="132" t="s">
        <v>8</v>
      </c>
      <c r="D360" s="139">
        <v>38089</v>
      </c>
      <c r="E360" s="140" t="str">
        <f>IF($D360&lt;&gt;"",VLOOKUP($D360,'SINAPI JULHO 2018'!$A$1:G117519,2,FALSE),"")</f>
        <v>VARIADOR DE VELOCIDADE PARA VENTILADOR 127V, 150W + 2 INTERRUPTORES PARALELOS, PARA REVERSAO E LAMPADA, CONJUNTO MONTADO PARA EMBUTIR 4" X 2" (PLACA + SUPORTE + MODULOS)</v>
      </c>
      <c r="F360" s="141" t="str">
        <f>IF($D360&lt;&gt;"",VLOOKUP($D360,'SINAPI JULHO 2018'!$1:$1048576,3,FALSE),"")</f>
        <v xml:space="preserve">UN    </v>
      </c>
      <c r="G360" s="142">
        <v>1</v>
      </c>
      <c r="H360" s="144">
        <f>IF($D360&lt;&gt;"",VLOOKUP($D360,'SINAPI JULHO 2018'!$1:$1048576,4,FALSE),"")</f>
        <v>29.57</v>
      </c>
      <c r="I360" s="148">
        <f t="shared" ref="I360" si="63">TRUNC(G360*H360,2)</f>
        <v>29.57</v>
      </c>
    </row>
    <row r="361" spans="2:9">
      <c r="B361" s="131" t="s">
        <v>13518</v>
      </c>
      <c r="C361" s="132" t="s">
        <v>8</v>
      </c>
      <c r="D361" s="139">
        <v>88247</v>
      </c>
      <c r="E361" s="140" t="str">
        <f>IF($D361&lt;&gt;"",VLOOKUP($D361,'SINAPI JULHO 2018'!$A$1:G11720,2,FALSE),"")</f>
        <v>AUXILIAR DE ELETRICISTA COM ENCARGOS COMPLEMENTARES</v>
      </c>
      <c r="F361" s="141" t="str">
        <f>IF($D361&lt;&gt;"",VLOOKUP($D361,'SINAPI JULHO 2018'!$1:$1048576,3,FALSE),"")</f>
        <v>H</v>
      </c>
      <c r="G361" s="142">
        <v>0.25</v>
      </c>
      <c r="H361" s="144">
        <f>IF($D361&lt;&gt;"",VLOOKUP($D361,'SINAPI JULHO 2018'!$1:$1048576,4,FALSE),"")</f>
        <v>14.19</v>
      </c>
      <c r="I361" s="148">
        <f t="shared" ref="I361:I362" si="64">TRUNC(G361*H361,2)</f>
        <v>3.54</v>
      </c>
    </row>
    <row r="362" spans="2:9">
      <c r="B362" s="131" t="s">
        <v>13518</v>
      </c>
      <c r="C362" s="132" t="s">
        <v>8</v>
      </c>
      <c r="D362" s="139">
        <v>88264</v>
      </c>
      <c r="E362" s="140" t="str">
        <f>IF($D362&lt;&gt;"",VLOOKUP($D362,'SINAPI JULHO 2018'!$A$1:G11721,2,FALSE),"")</f>
        <v>ELETRICISTA COM ENCARGOS COMPLEMENTARES</v>
      </c>
      <c r="F362" s="141" t="str">
        <f>IF($D362&lt;&gt;"",VLOOKUP($D362,'SINAPI JULHO 2018'!$1:$1048576,3,FALSE),"")</f>
        <v>H</v>
      </c>
      <c r="G362" s="142">
        <v>0.25</v>
      </c>
      <c r="H362" s="144">
        <f>IF($D362&lt;&gt;"",VLOOKUP($D362,'SINAPI JULHO 2018'!$1:$1048576,4,FALSE),"")</f>
        <v>18.22</v>
      </c>
      <c r="I362" s="148">
        <f t="shared" si="64"/>
        <v>4.55</v>
      </c>
    </row>
    <row r="364" spans="2:9" ht="24">
      <c r="B364" s="433" t="s">
        <v>359</v>
      </c>
      <c r="C364" s="426"/>
      <c r="D364" s="427"/>
      <c r="E364" s="428" t="s">
        <v>13581</v>
      </c>
      <c r="F364" s="429" t="s">
        <v>5</v>
      </c>
      <c r="G364" s="430">
        <v>1</v>
      </c>
      <c r="H364" s="431"/>
      <c r="I364" s="432">
        <f>SUM(I365:I367)</f>
        <v>44.98</v>
      </c>
    </row>
    <row r="365" spans="2:9" ht="25.5">
      <c r="B365" s="131" t="s">
        <v>13514</v>
      </c>
      <c r="C365" s="132" t="s">
        <v>8</v>
      </c>
      <c r="D365" s="139">
        <v>7525</v>
      </c>
      <c r="E365" s="140" t="str">
        <f>IF($D365&lt;&gt;"",VLOOKUP($D365,'SINAPI JULHO 2018'!$A$1:G117524,2,FALSE),"")</f>
        <v>TOMADA INDUSTRIAL DE EMBUTIR 3P+T 30 A, 440 V, COM TRAVA, COM PLACA</v>
      </c>
      <c r="F365" s="141" t="str">
        <f>IF($D365&lt;&gt;"",VLOOKUP($D365,'SINAPI JULHO 2018'!$1:$1048576,3,FALSE),"")</f>
        <v xml:space="preserve">UN    </v>
      </c>
      <c r="G365" s="142">
        <v>1</v>
      </c>
      <c r="H365" s="144">
        <f>IF($D365&lt;&gt;"",VLOOKUP($D365,'SINAPI JULHO 2018'!$1:$1048576,4,FALSE),"")</f>
        <v>26.09</v>
      </c>
      <c r="I365" s="148">
        <f t="shared" ref="I365" si="65">TRUNC(G365*H365,2)</f>
        <v>26.09</v>
      </c>
    </row>
    <row r="366" spans="2:9">
      <c r="B366" s="131" t="s">
        <v>13518</v>
      </c>
      <c r="C366" s="132" t="s">
        <v>8</v>
      </c>
      <c r="D366" s="139">
        <v>88247</v>
      </c>
      <c r="E366" s="140" t="str">
        <f>IF($D366&lt;&gt;"",VLOOKUP($D366,'SINAPI JULHO 2018'!$A$1:G117525,2,FALSE),"")</f>
        <v>AUXILIAR DE ELETRICISTA COM ENCARGOS COMPLEMENTARES</v>
      </c>
      <c r="F366" s="141" t="str">
        <f>IF($D366&lt;&gt;"",VLOOKUP($D366,'SINAPI JULHO 2018'!$1:$1048576,3,FALSE),"")</f>
        <v>H</v>
      </c>
      <c r="G366" s="142">
        <v>0.58299999999999996</v>
      </c>
      <c r="H366" s="144">
        <f>IF($D366&lt;&gt;"",VLOOKUP($D366,'SINAPI JULHO 2018'!$1:$1048576,4,FALSE),"")</f>
        <v>14.19</v>
      </c>
      <c r="I366" s="148">
        <f t="shared" ref="I366:I367" si="66">TRUNC(G366*H366,2)</f>
        <v>8.27</v>
      </c>
    </row>
    <row r="367" spans="2:9">
      <c r="B367" s="131" t="s">
        <v>13518</v>
      </c>
      <c r="C367" s="132" t="s">
        <v>8</v>
      </c>
      <c r="D367" s="139">
        <v>88264</v>
      </c>
      <c r="E367" s="140" t="str">
        <f>IF($D367&lt;&gt;"",VLOOKUP($D367,'SINAPI JULHO 2018'!$A$1:G117526,2,FALSE),"")</f>
        <v>ELETRICISTA COM ENCARGOS COMPLEMENTARES</v>
      </c>
      <c r="F367" s="141" t="str">
        <f>IF($D367&lt;&gt;"",VLOOKUP($D367,'SINAPI JULHO 2018'!$1:$1048576,3,FALSE),"")</f>
        <v>H</v>
      </c>
      <c r="G367" s="142">
        <v>0.58299999999999996</v>
      </c>
      <c r="H367" s="144">
        <f>IF($D367&lt;&gt;"",VLOOKUP($D367,'SINAPI JULHO 2018'!$1:$1048576,4,FALSE),"")</f>
        <v>18.22</v>
      </c>
      <c r="I367" s="148">
        <f t="shared" si="66"/>
        <v>10.62</v>
      </c>
    </row>
    <row r="369" spans="2:9" ht="24">
      <c r="B369" s="418" t="s">
        <v>361</v>
      </c>
      <c r="C369" s="426"/>
      <c r="D369" s="427"/>
      <c r="E369" s="428" t="s">
        <v>13582</v>
      </c>
      <c r="F369" s="429" t="s">
        <v>5</v>
      </c>
      <c r="G369" s="430">
        <v>1</v>
      </c>
      <c r="H369" s="431"/>
      <c r="I369" s="432">
        <f>SUM(I370:I372)</f>
        <v>182.31</v>
      </c>
    </row>
    <row r="370" spans="2:9">
      <c r="B370" s="131" t="s">
        <v>13514</v>
      </c>
      <c r="C370" s="132" t="s">
        <v>13507</v>
      </c>
      <c r="D370" s="139"/>
      <c r="E370" s="140" t="s">
        <v>13583</v>
      </c>
      <c r="F370" s="141" t="s">
        <v>13584</v>
      </c>
      <c r="G370" s="142">
        <v>1</v>
      </c>
      <c r="H370" s="144">
        <v>149.9</v>
      </c>
      <c r="I370" s="148">
        <v>149.9</v>
      </c>
    </row>
    <row r="371" spans="2:9">
      <c r="B371" s="131" t="s">
        <v>13518</v>
      </c>
      <c r="C371" s="132" t="s">
        <v>8</v>
      </c>
      <c r="D371" s="139">
        <v>88247</v>
      </c>
      <c r="E371" s="140" t="str">
        <f>IF($D371&lt;&gt;"",VLOOKUP($D371,'SINAPI JULHO 2018'!$A$1:G117530,2,FALSE),"")</f>
        <v>AUXILIAR DE ELETRICISTA COM ENCARGOS COMPLEMENTARES</v>
      </c>
      <c r="F371" s="141" t="str">
        <f>IF($D371&lt;&gt;"",VLOOKUP($D371,'SINAPI JULHO 2018'!$1:$1048576,3,FALSE),"")</f>
        <v>H</v>
      </c>
      <c r="G371" s="142">
        <v>1</v>
      </c>
      <c r="H371" s="144">
        <f>IF($D371&lt;&gt;"",VLOOKUP($D371,'SINAPI JULHO 2018'!$1:$1048576,4,FALSE),"")</f>
        <v>14.19</v>
      </c>
      <c r="I371" s="148">
        <f t="shared" ref="I371" si="67">TRUNC(G371*H371,2)</f>
        <v>14.19</v>
      </c>
    </row>
    <row r="372" spans="2:9">
      <c r="B372" s="131" t="s">
        <v>13518</v>
      </c>
      <c r="C372" s="132" t="s">
        <v>8</v>
      </c>
      <c r="D372" s="139">
        <v>88264</v>
      </c>
      <c r="E372" s="140" t="str">
        <f>IF($D372&lt;&gt;"",VLOOKUP($D372,'SINAPI JULHO 2018'!$A$1:G117531,2,FALSE),"")</f>
        <v>ELETRICISTA COM ENCARGOS COMPLEMENTARES</v>
      </c>
      <c r="F372" s="141" t="str">
        <f>IF($D372&lt;&gt;"",VLOOKUP($D372,'SINAPI JULHO 2018'!$1:$1048576,3,FALSE),"")</f>
        <v>H</v>
      </c>
      <c r="G372" s="142">
        <v>1</v>
      </c>
      <c r="H372" s="144">
        <f>IF($D372&lt;&gt;"",VLOOKUP($D372,'SINAPI JULHO 2018'!$1:$1048576,4,FALSE),"")</f>
        <v>18.22</v>
      </c>
      <c r="I372" s="148">
        <f t="shared" ref="I372" si="68">TRUNC(G372*H372,2)</f>
        <v>18.22</v>
      </c>
    </row>
    <row r="374" spans="2:9" ht="24">
      <c r="B374" s="418" t="s">
        <v>367</v>
      </c>
      <c r="C374" s="426"/>
      <c r="D374" s="427"/>
      <c r="E374" s="428" t="s">
        <v>13585</v>
      </c>
      <c r="F374" s="429" t="s">
        <v>5</v>
      </c>
      <c r="G374" s="430">
        <v>1</v>
      </c>
      <c r="H374" s="431"/>
      <c r="I374" s="432">
        <f>SUM(I375:I378)</f>
        <v>92.69</v>
      </c>
    </row>
    <row r="375" spans="2:9" ht="25.5">
      <c r="B375" s="131" t="s">
        <v>13514</v>
      </c>
      <c r="C375" s="132" t="s">
        <v>8</v>
      </c>
      <c r="D375" s="139">
        <v>1577</v>
      </c>
      <c r="E375" s="140" t="str">
        <f>IF($D375&lt;&gt;"",VLOOKUP($D375,'SINAPI JULHO 2018'!$A$1:G117534,2,FALSE),"")</f>
        <v>TERMINAL A COMPRESSAO EM COBRE ESTANHADO PARA CABO 35 MM2, 1 FURO E 1 COMPRESSAO, PARA PARAFUSO DE FIXACAO M8</v>
      </c>
      <c r="F375" s="141" t="str">
        <f>IF($D375&lt;&gt;"",VLOOKUP($D375,'SINAPI JULHO 2018'!$1:$1048576,3,FALSE),"")</f>
        <v xml:space="preserve">UN    </v>
      </c>
      <c r="G375" s="142">
        <v>2</v>
      </c>
      <c r="H375" s="144">
        <f>IF($D375&lt;&gt;"",VLOOKUP($D375,'SINAPI JULHO 2018'!$1:$1048576,4,FALSE),"")</f>
        <v>1.61</v>
      </c>
      <c r="I375" s="148">
        <f t="shared" ref="I375" si="69">TRUNC(G375*H375,2)</f>
        <v>3.22</v>
      </c>
    </row>
    <row r="376" spans="2:9" ht="25.5">
      <c r="B376" s="131" t="s">
        <v>13514</v>
      </c>
      <c r="C376" s="132" t="s">
        <v>8</v>
      </c>
      <c r="D376" s="139">
        <v>39467</v>
      </c>
      <c r="E376" s="140" t="str">
        <f>IF($D376&lt;&gt;"",VLOOKUP($D376,'SINAPI JULHO 2018'!$A$1:G117535,2,FALSE),"")</f>
        <v>DISPOSITIVO DPS CLASSE II, 1 POLO, TENSAO MAXIMA DE 175 V, CORRENTE MAXIMA DE *45* KA (TIPO AC)</v>
      </c>
      <c r="F376" s="141" t="str">
        <f>IF($D376&lt;&gt;"",VLOOKUP($D376,'SINAPI JULHO 2018'!$1:$1048576,3,FALSE),"")</f>
        <v xml:space="preserve">UN    </v>
      </c>
      <c r="G376" s="142">
        <v>1</v>
      </c>
      <c r="H376" s="144">
        <f>IF($D376&lt;&gt;"",VLOOKUP($D376,'SINAPI JULHO 2018'!$1:$1048576,4,FALSE),"")</f>
        <v>71.08</v>
      </c>
      <c r="I376" s="148">
        <f t="shared" ref="I376:I378" si="70">TRUNC(G376*H376,2)</f>
        <v>71.08</v>
      </c>
    </row>
    <row r="377" spans="2:9">
      <c r="B377" s="131" t="s">
        <v>13518</v>
      </c>
      <c r="C377" s="132" t="s">
        <v>8</v>
      </c>
      <c r="D377" s="139">
        <v>88247</v>
      </c>
      <c r="E377" s="140" t="str">
        <f>IF($D377&lt;&gt;"",VLOOKUP($D377,'SINAPI JULHO 2018'!$A$1:G117536,2,FALSE),"")</f>
        <v>AUXILIAR DE ELETRICISTA COM ENCARGOS COMPLEMENTARES</v>
      </c>
      <c r="F377" s="141" t="str">
        <f>IF($D377&lt;&gt;"",VLOOKUP($D377,'SINAPI JULHO 2018'!$1:$1048576,3,FALSE),"")</f>
        <v>H</v>
      </c>
      <c r="G377" s="142">
        <v>0.56799999999999995</v>
      </c>
      <c r="H377" s="144">
        <f>IF($D377&lt;&gt;"",VLOOKUP($D377,'SINAPI JULHO 2018'!$1:$1048576,4,FALSE),"")</f>
        <v>14.19</v>
      </c>
      <c r="I377" s="148">
        <f t="shared" si="70"/>
        <v>8.0500000000000007</v>
      </c>
    </row>
    <row r="378" spans="2:9">
      <c r="B378" s="131" t="s">
        <v>13518</v>
      </c>
      <c r="C378" s="132" t="s">
        <v>8</v>
      </c>
      <c r="D378" s="139">
        <v>88264</v>
      </c>
      <c r="E378" s="140" t="str">
        <f>IF($D378&lt;&gt;"",VLOOKUP($D378,'SINAPI JULHO 2018'!$A$1:G117537,2,FALSE),"")</f>
        <v>ELETRICISTA COM ENCARGOS COMPLEMENTARES</v>
      </c>
      <c r="F378" s="141" t="str">
        <f>IF($D378&lt;&gt;"",VLOOKUP($D378,'SINAPI JULHO 2018'!$1:$1048576,3,FALSE),"")</f>
        <v>H</v>
      </c>
      <c r="G378" s="142">
        <v>0.56799999999999995</v>
      </c>
      <c r="H378" s="144">
        <f>IF($D378&lt;&gt;"",VLOOKUP($D378,'SINAPI JULHO 2018'!$1:$1048576,4,FALSE),"")</f>
        <v>18.22</v>
      </c>
      <c r="I378" s="148">
        <f t="shared" si="70"/>
        <v>10.34</v>
      </c>
    </row>
    <row r="380" spans="2:9" ht="36">
      <c r="B380" s="418" t="s">
        <v>376</v>
      </c>
      <c r="C380" s="426"/>
      <c r="D380" s="427"/>
      <c r="E380" s="428" t="s">
        <v>13586</v>
      </c>
      <c r="F380" s="429" t="s">
        <v>5</v>
      </c>
      <c r="G380" s="430">
        <v>1</v>
      </c>
      <c r="H380" s="431"/>
      <c r="I380" s="432">
        <f>SUM(I381:I383)</f>
        <v>290.39999999999998</v>
      </c>
    </row>
    <row r="381" spans="2:9" ht="38.25">
      <c r="B381" s="131" t="s">
        <v>13514</v>
      </c>
      <c r="C381" s="132" t="s">
        <v>13507</v>
      </c>
      <c r="D381" s="139">
        <v>0</v>
      </c>
      <c r="E381" s="140" t="s">
        <v>13587</v>
      </c>
      <c r="F381" s="141" t="s">
        <v>5</v>
      </c>
      <c r="G381" s="142">
        <v>1</v>
      </c>
      <c r="H381" s="144">
        <v>249.9</v>
      </c>
      <c r="I381" s="148">
        <v>249.9</v>
      </c>
    </row>
    <row r="382" spans="2:9">
      <c r="B382" s="131" t="s">
        <v>13518</v>
      </c>
      <c r="C382" s="132" t="s">
        <v>8</v>
      </c>
      <c r="D382" s="139">
        <v>88247</v>
      </c>
      <c r="E382" s="140" t="str">
        <f>IF($D382&lt;&gt;"",VLOOKUP($D382,'SINAPI JULHO 2018'!$A$1:G117541,2,FALSE),"")</f>
        <v>AUXILIAR DE ELETRICISTA COM ENCARGOS COMPLEMENTARES</v>
      </c>
      <c r="F382" s="141" t="str">
        <f>IF($D382&lt;&gt;"",VLOOKUP($D382,'SINAPI JULHO 2018'!$1:$1048576,3,FALSE),"")</f>
        <v>H</v>
      </c>
      <c r="G382" s="142">
        <v>1.25</v>
      </c>
      <c r="H382" s="144">
        <f>IF($D382&lt;&gt;"",VLOOKUP($D382,'SINAPI JULHO 2018'!$1:$1048576,4,FALSE),"")</f>
        <v>14.19</v>
      </c>
      <c r="I382" s="148">
        <f t="shared" ref="I382" si="71">TRUNC(G382*H382,2)</f>
        <v>17.73</v>
      </c>
    </row>
    <row r="383" spans="2:9">
      <c r="B383" s="131" t="s">
        <v>13518</v>
      </c>
      <c r="C383" s="132" t="s">
        <v>8</v>
      </c>
      <c r="D383" s="139">
        <v>88264</v>
      </c>
      <c r="E383" s="140" t="str">
        <f>IF($D383&lt;&gt;"",VLOOKUP($D383,'SINAPI JULHO 2018'!$A$1:G117542,2,FALSE),"")</f>
        <v>ELETRICISTA COM ENCARGOS COMPLEMENTARES</v>
      </c>
      <c r="F383" s="141" t="str">
        <f>IF($D383&lt;&gt;"",VLOOKUP($D383,'SINAPI JULHO 2018'!$1:$1048576,3,FALSE),"")</f>
        <v>H</v>
      </c>
      <c r="G383" s="142">
        <v>1.25</v>
      </c>
      <c r="H383" s="144">
        <f>IF($D383&lt;&gt;"",VLOOKUP($D383,'SINAPI JULHO 2018'!$1:$1048576,4,FALSE),"")</f>
        <v>18.22</v>
      </c>
      <c r="I383" s="148">
        <f t="shared" ref="I383" si="72">TRUNC(G383*H383,2)</f>
        <v>22.77</v>
      </c>
    </row>
    <row r="385" spans="2:9" ht="36">
      <c r="B385" s="418" t="s">
        <v>374</v>
      </c>
      <c r="C385" s="426"/>
      <c r="D385" s="427"/>
      <c r="E385" s="428" t="s">
        <v>13588</v>
      </c>
      <c r="F385" s="429" t="s">
        <v>5</v>
      </c>
      <c r="G385" s="430">
        <v>1</v>
      </c>
      <c r="H385" s="431"/>
      <c r="I385" s="432">
        <f>SUM(I386:I388)</f>
        <v>378.60999999999996</v>
      </c>
    </row>
    <row r="386" spans="2:9" ht="38.25">
      <c r="B386" s="131" t="s">
        <v>13514</v>
      </c>
      <c r="C386" s="132" t="s">
        <v>13507</v>
      </c>
      <c r="D386" s="139">
        <v>0</v>
      </c>
      <c r="E386" s="140" t="s">
        <v>13589</v>
      </c>
      <c r="F386" s="141" t="s">
        <v>5</v>
      </c>
      <c r="G386" s="142">
        <v>1</v>
      </c>
      <c r="H386" s="144">
        <v>330</v>
      </c>
      <c r="I386" s="148">
        <v>330</v>
      </c>
    </row>
    <row r="387" spans="2:9">
      <c r="B387" s="131" t="s">
        <v>13518</v>
      </c>
      <c r="C387" s="132" t="s">
        <v>8</v>
      </c>
      <c r="D387" s="139">
        <v>88247</v>
      </c>
      <c r="E387" s="140" t="str">
        <f>IF($D387&lt;&gt;"",VLOOKUP($D387,'SINAPI JULHO 2018'!$A$1:G117546,2,FALSE),"")</f>
        <v>AUXILIAR DE ELETRICISTA COM ENCARGOS COMPLEMENTARES</v>
      </c>
      <c r="F387" s="141" t="str">
        <f>IF($D387&lt;&gt;"",VLOOKUP($D387,'SINAPI JULHO 2018'!$1:$1048576,3,FALSE),"")</f>
        <v>H</v>
      </c>
      <c r="G387" s="142">
        <v>1.5</v>
      </c>
      <c r="H387" s="144">
        <f>IF($D387&lt;&gt;"",VLOOKUP($D387,'SINAPI JULHO 2018'!$1:$1048576,4,FALSE),"")</f>
        <v>14.19</v>
      </c>
      <c r="I387" s="148">
        <f t="shared" ref="I387" si="73">TRUNC(G387*H387,2)</f>
        <v>21.28</v>
      </c>
    </row>
    <row r="388" spans="2:9">
      <c r="B388" s="131" t="s">
        <v>13518</v>
      </c>
      <c r="C388" s="132" t="s">
        <v>8</v>
      </c>
      <c r="D388" s="139">
        <v>88264</v>
      </c>
      <c r="E388" s="140" t="str">
        <f>IF($D388&lt;&gt;"",VLOOKUP($D388,'SINAPI JULHO 2018'!$A$1:G117547,2,FALSE),"")</f>
        <v>ELETRICISTA COM ENCARGOS COMPLEMENTARES</v>
      </c>
      <c r="F388" s="141" t="str">
        <f>IF($D388&lt;&gt;"",VLOOKUP($D388,'SINAPI JULHO 2018'!$1:$1048576,3,FALSE),"")</f>
        <v>H</v>
      </c>
      <c r="G388" s="142">
        <v>1.5</v>
      </c>
      <c r="H388" s="144">
        <f>IF($D388&lt;&gt;"",VLOOKUP($D388,'SINAPI JULHO 2018'!$1:$1048576,4,FALSE),"")</f>
        <v>18.22</v>
      </c>
      <c r="I388" s="148">
        <f t="shared" ref="I388" si="74">TRUNC(G388*H388,2)</f>
        <v>27.33</v>
      </c>
    </row>
    <row r="391" spans="2:9" ht="24">
      <c r="B391" s="418" t="s">
        <v>389</v>
      </c>
      <c r="C391" s="426"/>
      <c r="D391" s="427"/>
      <c r="E391" s="428" t="s">
        <v>13590</v>
      </c>
      <c r="F391" s="429" t="s">
        <v>5</v>
      </c>
      <c r="G391" s="430">
        <v>1</v>
      </c>
      <c r="H391" s="431"/>
      <c r="I391" s="432">
        <f>SUM(I392:I395)</f>
        <v>174.62000000000003</v>
      </c>
    </row>
    <row r="392" spans="2:9">
      <c r="B392" s="131" t="s">
        <v>13514</v>
      </c>
      <c r="C392" s="132" t="s">
        <v>8</v>
      </c>
      <c r="D392" s="139">
        <v>34519</v>
      </c>
      <c r="E392" s="140" t="str">
        <f>IF($D392&lt;&gt;"",VLOOKUP($D392,'SINAPI JULHO 2018'!$A$1:G117551,2,FALSE),"")</f>
        <v>CRUZETA DE CONCRETO LEVE, COMP. 2000 MM SECAO, 90 X 90 MM</v>
      </c>
      <c r="F392" s="141" t="str">
        <f>IF($D392&lt;&gt;"",VLOOKUP($D392,'SINAPI JULHO 2018'!$1:$1048576,3,FALSE),"")</f>
        <v xml:space="preserve">UN    </v>
      </c>
      <c r="G392" s="142">
        <v>1</v>
      </c>
      <c r="H392" s="144">
        <f>IF($D392&lt;&gt;"",VLOOKUP($D392,'SINAPI JULHO 2018'!$1:$1048576,4,FALSE),"")</f>
        <v>71.819999999999993</v>
      </c>
      <c r="I392" s="148">
        <f t="shared" ref="I392" si="75">TRUNC(G392*H392,2)</f>
        <v>71.819999999999993</v>
      </c>
    </row>
    <row r="393" spans="2:9" ht="25.5">
      <c r="B393" s="131" t="s">
        <v>13518</v>
      </c>
      <c r="C393" s="132" t="s">
        <v>8</v>
      </c>
      <c r="D393" s="139">
        <v>86957</v>
      </c>
      <c r="E393" s="140" t="str">
        <f>IF($D393&lt;&gt;"",VLOOKUP($D393,'SINAPI JULHO 2018'!$A$1:G117552,2,FALSE),"")</f>
        <v>MÃO FRANCESA EM BARRA DE FERRO CHATO RETANGULAR 2" X 1/4", REFORÇADA, 40 X 30 CM</v>
      </c>
      <c r="F393" s="141" t="str">
        <f>IF($D393&lt;&gt;"",VLOOKUP($D393,'SINAPI JULHO 2018'!$1:$1048576,3,FALSE),"")</f>
        <v>UN</v>
      </c>
      <c r="G393" s="142">
        <v>2</v>
      </c>
      <c r="H393" s="144">
        <f>IF($D393&lt;&gt;"",VLOOKUP($D393,'SINAPI JULHO 2018'!$1:$1048576,4,FALSE),"")</f>
        <v>31.96</v>
      </c>
      <c r="I393" s="148">
        <f t="shared" ref="I393:I395" si="76">TRUNC(G393*H393,2)</f>
        <v>63.92</v>
      </c>
    </row>
    <row r="394" spans="2:9">
      <c r="B394" s="131" t="s">
        <v>13518</v>
      </c>
      <c r="C394" s="132" t="s">
        <v>8</v>
      </c>
      <c r="D394" s="139">
        <v>88264</v>
      </c>
      <c r="E394" s="140" t="str">
        <f>IF($D394&lt;&gt;"",VLOOKUP($D394,'SINAPI JULHO 2018'!$A$1:G117553,2,FALSE),"")</f>
        <v>ELETRICISTA COM ENCARGOS COMPLEMENTARES</v>
      </c>
      <c r="F394" s="141" t="str">
        <f>IF($D394&lt;&gt;"",VLOOKUP($D394,'SINAPI JULHO 2018'!$1:$1048576,3,FALSE),"")</f>
        <v>H</v>
      </c>
      <c r="G394" s="142">
        <v>1.2</v>
      </c>
      <c r="H394" s="144">
        <f>IF($D394&lt;&gt;"",VLOOKUP($D394,'SINAPI JULHO 2018'!$1:$1048576,4,FALSE),"")</f>
        <v>18.22</v>
      </c>
      <c r="I394" s="148">
        <f t="shared" si="76"/>
        <v>21.86</v>
      </c>
    </row>
    <row r="395" spans="2:9">
      <c r="B395" s="131" t="s">
        <v>13518</v>
      </c>
      <c r="C395" s="132" t="s">
        <v>8</v>
      </c>
      <c r="D395" s="139">
        <v>88247</v>
      </c>
      <c r="E395" s="140" t="str">
        <f>IF($D395&lt;&gt;"",VLOOKUP($D395,'SINAPI JULHO 2018'!$A$1:G117554,2,FALSE),"")</f>
        <v>AUXILIAR DE ELETRICISTA COM ENCARGOS COMPLEMENTARES</v>
      </c>
      <c r="F395" s="141" t="str">
        <f>IF($D395&lt;&gt;"",VLOOKUP($D395,'SINAPI JULHO 2018'!$1:$1048576,3,FALSE),"")</f>
        <v>H</v>
      </c>
      <c r="G395" s="142">
        <v>1.2</v>
      </c>
      <c r="H395" s="144">
        <f>IF($D395&lt;&gt;"",VLOOKUP($D395,'SINAPI JULHO 2018'!$1:$1048576,4,FALSE),"")</f>
        <v>14.19</v>
      </c>
      <c r="I395" s="148">
        <f t="shared" si="76"/>
        <v>17.02</v>
      </c>
    </row>
    <row r="397" spans="2:9" ht="15">
      <c r="C397" s="32" t="s">
        <v>12635</v>
      </c>
    </row>
    <row r="398" spans="2:9" ht="15.75" thickBot="1">
      <c r="C398" s="33" t="s">
        <v>12636</v>
      </c>
    </row>
  </sheetData>
  <mergeCells count="12">
    <mergeCell ref="B2:I2"/>
    <mergeCell ref="B3:I3"/>
    <mergeCell ref="B4:I4"/>
    <mergeCell ref="B5:I5"/>
    <mergeCell ref="B6:I6"/>
    <mergeCell ref="B7:I7"/>
    <mergeCell ref="E8:E9"/>
    <mergeCell ref="F8:F9"/>
    <mergeCell ref="G8:G9"/>
    <mergeCell ref="H8:H9"/>
    <mergeCell ref="I8:I9"/>
    <mergeCell ref="B8:D8"/>
  </mergeCells>
  <pageMargins left="0.51181102362204722" right="0.51181102362204722" top="0.78740157480314965" bottom="0.78740157480314965" header="0.31496062992125984" footer="0.31496062992125984"/>
  <pageSetup paperSize="9" scale="53" orientation="portrait" r:id="rId1"/>
  <rowBreaks count="5" manualBreakCount="5">
    <brk id="69" min="1" max="11" man="1"/>
    <brk id="151" min="1" max="11" man="1"/>
    <brk id="195" min="1" max="11" man="1"/>
    <brk id="267" min="1" max="11" man="1"/>
    <brk id="331"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JULHO 2018</vt:lpstr>
      <vt:lpstr>1-RESUMO</vt:lpstr>
      <vt:lpstr>2-ORÇAMENTO</vt:lpstr>
      <vt:lpstr>3-CRONOGRAMA</vt:lpstr>
      <vt:lpstr>4-BDI</vt:lpstr>
      <vt:lpstr>5-COMP. PROPRIA</vt:lpstr>
      <vt:lpstr>'1-RESUMO'!Area_de_impressao</vt:lpstr>
      <vt:lpstr>'2-ORÇAMENTO'!Area_de_impressao</vt:lpstr>
      <vt:lpstr>'3-CRONOGRAMA'!Area_de_impressao</vt:lpstr>
      <vt:lpstr>'4-BDI'!Area_de_impressao</vt:lpstr>
      <vt:lpstr>'5-COMP. PROPRIA'!Area_de_impressao</vt:lpstr>
      <vt:lpstr>QUANT!Area_de_impressao</vt:lpstr>
      <vt:lpstr>'2-ORÇAMENTO'!Titulos_de_impressao</vt:lpstr>
    </vt:vector>
  </TitlesOfParts>
  <Company>Home</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revision/>
  <cp:lastPrinted>2018-09-24T17:56:19Z</cp:lastPrinted>
  <dcterms:created xsi:type="dcterms:W3CDTF">2009-03-07T19:28:34Z</dcterms:created>
  <dcterms:modified xsi:type="dcterms:W3CDTF">2018-09-24T17:56:30Z</dcterms:modified>
</cp:coreProperties>
</file>