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9990" windowHeight="5880" tabRatio="741" activeTab="7"/>
  </bookViews>
  <sheets>
    <sheet name="CONSOLIDADA" sheetId="7" r:id="rId1"/>
    <sheet name="CABO MICHEL" sheetId="2" r:id="rId2"/>
    <sheet name="COMPOSIÇÃO" sheetId="4" r:id="rId3"/>
    <sheet name="MED_1" sheetId="13" r:id="rId4"/>
    <sheet name="MEMORIAL DE CALCULO" sheetId="6" r:id="rId5"/>
    <sheet name="CALCULO_ESTRUTURA" sheetId="8" state="hidden" r:id="rId6"/>
    <sheet name="ALVENARIA" sheetId="9" state="hidden" r:id="rId7"/>
    <sheet name="BDI" sheetId="5" r:id="rId8"/>
    <sheet name="CRONOGRAMA" sheetId="14" r:id="rId9"/>
  </sheets>
  <definedNames>
    <definedName name="_xlnm.Print_Area" localSheetId="1">'CABO MICHEL'!$A$1:$I$221</definedName>
    <definedName name="_xlnm.Print_Area" localSheetId="2">COMPOSIÇÃO!$A$1:$H$442</definedName>
    <definedName name="_xlnm.Print_Area" localSheetId="4">'MEMORIAL DE CALCULO'!$A$1:$E$84</definedName>
  </definedNames>
  <calcPr calcId="125725"/>
</workbook>
</file>

<file path=xl/calcChain.xml><?xml version="1.0" encoding="utf-8"?>
<calcChain xmlns="http://schemas.openxmlformats.org/spreadsheetml/2006/main">
  <c r="H356" i="4"/>
  <c r="H355"/>
  <c r="H354"/>
  <c r="H357" s="1"/>
  <c r="G145" i="2" s="1"/>
  <c r="H145" s="1"/>
  <c r="I145" s="1"/>
  <c r="F219" l="1"/>
  <c r="G128" l="1"/>
  <c r="H39" l="1"/>
  <c r="I39" s="1"/>
  <c r="F24"/>
  <c r="H433" i="4"/>
  <c r="H432"/>
  <c r="H431"/>
  <c r="H430"/>
  <c r="H429"/>
  <c r="H424"/>
  <c r="H423"/>
  <c r="H422"/>
  <c r="H421"/>
  <c r="H420"/>
  <c r="H419"/>
  <c r="H414"/>
  <c r="H413"/>
  <c r="H412"/>
  <c r="H411"/>
  <c r="H410"/>
  <c r="H409"/>
  <c r="H404"/>
  <c r="H403"/>
  <c r="H402"/>
  <c r="H401"/>
  <c r="H400"/>
  <c r="H399"/>
  <c r="H394"/>
  <c r="H393"/>
  <c r="H392"/>
  <c r="H391"/>
  <c r="H390"/>
  <c r="H389"/>
  <c r="H384"/>
  <c r="H383"/>
  <c r="H382"/>
  <c r="H381"/>
  <c r="H380"/>
  <c r="H379"/>
  <c r="H378"/>
  <c r="H377"/>
  <c r="H376"/>
  <c r="H371"/>
  <c r="H370"/>
  <c r="H369"/>
  <c r="H364"/>
  <c r="H363"/>
  <c r="H362"/>
  <c r="H361"/>
  <c r="H349"/>
  <c r="H348"/>
  <c r="H347"/>
  <c r="H346"/>
  <c r="H345"/>
  <c r="H344"/>
  <c r="H343"/>
  <c r="H338"/>
  <c r="H337"/>
  <c r="H336"/>
  <c r="H335"/>
  <c r="H334"/>
  <c r="H333"/>
  <c r="H332"/>
  <c r="H327"/>
  <c r="H328" s="1"/>
  <c r="G140" i="2" s="1"/>
  <c r="H326" i="4"/>
  <c r="H321"/>
  <c r="H320"/>
  <c r="H315"/>
  <c r="H314"/>
  <c r="H313"/>
  <c r="H312"/>
  <c r="H311"/>
  <c r="H310"/>
  <c r="H309"/>
  <c r="H304"/>
  <c r="H303"/>
  <c r="H298"/>
  <c r="H297"/>
  <c r="H296"/>
  <c r="H295"/>
  <c r="H294"/>
  <c r="H289"/>
  <c r="H288"/>
  <c r="H287"/>
  <c r="H282"/>
  <c r="H281"/>
  <c r="H280"/>
  <c r="H279"/>
  <c r="H278"/>
  <c r="H277"/>
  <c r="H276"/>
  <c r="H275"/>
  <c r="H269"/>
  <c r="H268"/>
  <c r="H267"/>
  <c r="H266"/>
  <c r="H261"/>
  <c r="H260"/>
  <c r="H259"/>
  <c r="H258"/>
  <c r="H257"/>
  <c r="H256"/>
  <c r="H255"/>
  <c r="H250"/>
  <c r="H249"/>
  <c r="H248"/>
  <c r="H247"/>
  <c r="H246"/>
  <c r="H241"/>
  <c r="H240"/>
  <c r="H235"/>
  <c r="H234"/>
  <c r="H233"/>
  <c r="H232"/>
  <c r="H227"/>
  <c r="H226"/>
  <c r="H225"/>
  <c r="H224"/>
  <c r="H223"/>
  <c r="H222"/>
  <c r="H221"/>
  <c r="H220"/>
  <c r="H219"/>
  <c r="H218"/>
  <c r="H217"/>
  <c r="H212"/>
  <c r="H211"/>
  <c r="H210"/>
  <c r="H209"/>
  <c r="H208"/>
  <c r="H203"/>
  <c r="H202"/>
  <c r="H201"/>
  <c r="H200"/>
  <c r="H199"/>
  <c r="H194"/>
  <c r="H193"/>
  <c r="H192"/>
  <c r="H191"/>
  <c r="H190"/>
  <c r="H189"/>
  <c r="H188"/>
  <c r="H187"/>
  <c r="H186"/>
  <c r="H185"/>
  <c r="H184"/>
  <c r="H183"/>
  <c r="H177"/>
  <c r="H176"/>
  <c r="H175"/>
  <c r="H174"/>
  <c r="H173"/>
  <c r="H172"/>
  <c r="H171"/>
  <c r="H170"/>
  <c r="H169"/>
  <c r="H168"/>
  <c r="H163"/>
  <c r="H162"/>
  <c r="H161"/>
  <c r="H160"/>
  <c r="H155"/>
  <c r="H154"/>
  <c r="H153"/>
  <c r="H152"/>
  <c r="H151"/>
  <c r="H146"/>
  <c r="H145"/>
  <c r="H144"/>
  <c r="H143"/>
  <c r="H142"/>
  <c r="H137"/>
  <c r="H136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5"/>
  <c r="H104"/>
  <c r="H103"/>
  <c r="H102"/>
  <c r="H101"/>
  <c r="H100"/>
  <c r="H95"/>
  <c r="H94"/>
  <c r="H93"/>
  <c r="H92"/>
  <c r="H91"/>
  <c r="H90"/>
  <c r="H85"/>
  <c r="H84"/>
  <c r="H83"/>
  <c r="H78"/>
  <c r="H77"/>
  <c r="H76"/>
  <c r="H75"/>
  <c r="H74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29"/>
  <c r="H28"/>
  <c r="H27"/>
  <c r="H26"/>
  <c r="H25"/>
  <c r="H24"/>
  <c r="H23"/>
  <c r="H22"/>
  <c r="H21"/>
  <c r="H20"/>
  <c r="H19"/>
  <c r="H18"/>
  <c r="H13"/>
  <c r="H12"/>
  <c r="H11"/>
  <c r="H10"/>
  <c r="H9"/>
  <c r="H195" l="1"/>
  <c r="G83" i="2" s="1"/>
  <c r="H86" i="4"/>
  <c r="H138"/>
  <c r="G49" i="2" s="1"/>
  <c r="H147" i="4"/>
  <c r="H156"/>
  <c r="G65" i="2" s="1"/>
  <c r="H204" i="4"/>
  <c r="G86" i="2" s="1"/>
  <c r="H213" i="4"/>
  <c r="G90" i="2" s="1"/>
  <c r="H236" i="4"/>
  <c r="G96" i="2" s="1"/>
  <c r="H242" i="4"/>
  <c r="G97" i="2" s="1"/>
  <c r="H316" i="4"/>
  <c r="G138" i="2" s="1"/>
  <c r="H350" i="4"/>
  <c r="G144" i="2" s="1"/>
  <c r="H144" s="1"/>
  <c r="I144" s="1"/>
  <c r="H106" i="4"/>
  <c r="H251"/>
  <c r="G98" i="2" s="1"/>
  <c r="H322" i="4"/>
  <c r="H405"/>
  <c r="G161" i="2" s="1"/>
  <c r="H14" i="4"/>
  <c r="G12" i="2" s="1"/>
  <c r="H96" i="4"/>
  <c r="H164"/>
  <c r="H228"/>
  <c r="G92" i="2" s="1"/>
  <c r="H339" i="4"/>
  <c r="G143" i="2" s="1"/>
  <c r="H143" s="1"/>
  <c r="I143" s="1"/>
  <c r="H365" i="4"/>
  <c r="G146" i="2" s="1"/>
  <c r="H372" i="4"/>
  <c r="G147" i="2" s="1"/>
  <c r="G149" s="1"/>
  <c r="H385" i="4"/>
  <c r="G155" i="2" s="1"/>
  <c r="H395" i="4"/>
  <c r="G160" i="2" s="1"/>
  <c r="H425" i="4"/>
  <c r="G163" i="2" s="1"/>
  <c r="H434" i="4"/>
  <c r="G211" i="2" s="1"/>
  <c r="H30" i="4"/>
  <c r="G14" i="2" s="1"/>
  <c r="H70" i="4"/>
  <c r="G15" i="2" s="1"/>
  <c r="H79" i="4"/>
  <c r="G22" i="2" s="1"/>
  <c r="H131" i="4"/>
  <c r="G44" i="2" s="1"/>
  <c r="H178" i="4"/>
  <c r="G81" i="2" s="1"/>
  <c r="H262" i="4"/>
  <c r="G100" i="2" s="1"/>
  <c r="H270" i="4"/>
  <c r="G104" i="2" s="1"/>
  <c r="H283" i="4"/>
  <c r="G111" i="2" s="1"/>
  <c r="H290" i="4"/>
  <c r="G119" i="2" s="1"/>
  <c r="H299" i="4"/>
  <c r="G126" i="2" s="1"/>
  <c r="H305" i="4"/>
  <c r="G136" i="2" s="1"/>
  <c r="H415" i="4"/>
  <c r="G162" i="2" s="1"/>
  <c r="G14" i="13"/>
  <c r="G15"/>
  <c r="G16"/>
  <c r="G17"/>
  <c r="G18"/>
  <c r="G19"/>
  <c r="G20"/>
  <c r="G21"/>
  <c r="G22"/>
  <c r="G23"/>
  <c r="G13"/>
  <c r="C27"/>
  <c r="B18"/>
  <c r="B14"/>
  <c r="B15"/>
  <c r="B16"/>
  <c r="B17"/>
  <c r="B19"/>
  <c r="B20"/>
  <c r="B21"/>
  <c r="B22"/>
  <c r="B23"/>
  <c r="B13"/>
  <c r="A14"/>
  <c r="A15"/>
  <c r="A16"/>
  <c r="A17"/>
  <c r="A18"/>
  <c r="A19"/>
  <c r="A20"/>
  <c r="A21"/>
  <c r="A22"/>
  <c r="A23"/>
  <c r="A13"/>
  <c r="A7"/>
  <c r="A6"/>
  <c r="A5"/>
  <c r="I52" i="2"/>
  <c r="I51"/>
  <c r="I50" s="1"/>
  <c r="F48"/>
  <c r="F49" s="1"/>
  <c r="F45"/>
  <c r="F44"/>
  <c r="H17"/>
  <c r="I17" s="1"/>
  <c r="H18"/>
  <c r="I18" s="1"/>
  <c r="E313" i="8"/>
  <c r="F288"/>
  <c r="E288"/>
  <c r="F278"/>
  <c r="E278"/>
  <c r="F268"/>
  <c r="E268"/>
  <c r="F258"/>
  <c r="E258"/>
  <c r="E240"/>
  <c r="E229"/>
  <c r="E215"/>
  <c r="F229"/>
  <c r="F215"/>
  <c r="F190"/>
  <c r="E5"/>
  <c r="F200"/>
  <c r="E200"/>
  <c r="F240"/>
  <c r="E190"/>
  <c r="F303"/>
  <c r="H38" i="2"/>
  <c r="H34"/>
  <c r="H35"/>
  <c r="H36"/>
  <c r="H37"/>
  <c r="H40"/>
  <c r="G66" l="1"/>
  <c r="G74"/>
  <c r="C16" i="7"/>
  <c r="F16" i="13"/>
  <c r="F20"/>
  <c r="F14"/>
  <c r="F18"/>
  <c r="F22"/>
  <c r="G24"/>
  <c r="E24"/>
  <c r="F13"/>
  <c r="F15"/>
  <c r="F17"/>
  <c r="F19"/>
  <c r="F21"/>
  <c r="F23"/>
  <c r="H10" i="2"/>
  <c r="H11"/>
  <c r="H13"/>
  <c r="H16"/>
  <c r="H19"/>
  <c r="H20"/>
  <c r="H25"/>
  <c r="H26"/>
  <c r="H27"/>
  <c r="H28"/>
  <c r="I28" s="1"/>
  <c r="H29"/>
  <c r="I29" s="1"/>
  <c r="H30"/>
  <c r="I30" s="1"/>
  <c r="H31"/>
  <c r="I31" s="1"/>
  <c r="H33"/>
  <c r="H42"/>
  <c r="H45"/>
  <c r="I45" s="1"/>
  <c r="H46"/>
  <c r="I46" s="1"/>
  <c r="H47"/>
  <c r="I47" s="1"/>
  <c r="H48"/>
  <c r="I48" s="1"/>
  <c r="H55"/>
  <c r="H56"/>
  <c r="H57"/>
  <c r="H58"/>
  <c r="H59"/>
  <c r="H60"/>
  <c r="H61"/>
  <c r="H63"/>
  <c r="H64"/>
  <c r="H67"/>
  <c r="H68"/>
  <c r="H69"/>
  <c r="H70"/>
  <c r="H72"/>
  <c r="H73"/>
  <c r="H75"/>
  <c r="H76"/>
  <c r="H79"/>
  <c r="H80"/>
  <c r="H82"/>
  <c r="H84"/>
  <c r="H87"/>
  <c r="H88"/>
  <c r="H89"/>
  <c r="H94"/>
  <c r="H95"/>
  <c r="H99"/>
  <c r="H101"/>
  <c r="H102"/>
  <c r="H103"/>
  <c r="H105"/>
  <c r="H106"/>
  <c r="H107"/>
  <c r="H108"/>
  <c r="H109"/>
  <c r="H110"/>
  <c r="H113"/>
  <c r="H114"/>
  <c r="H115"/>
  <c r="H116"/>
  <c r="H118"/>
  <c r="H120"/>
  <c r="H121"/>
  <c r="H122"/>
  <c r="H123"/>
  <c r="H124"/>
  <c r="H127"/>
  <c r="H129"/>
  <c r="H130"/>
  <c r="H133"/>
  <c r="H134"/>
  <c r="H135"/>
  <c r="H137"/>
  <c r="H141"/>
  <c r="H142"/>
  <c r="H148"/>
  <c r="H150"/>
  <c r="H152"/>
  <c r="H153"/>
  <c r="H154"/>
  <c r="H156"/>
  <c r="H157"/>
  <c r="H158"/>
  <c r="H165"/>
  <c r="H166"/>
  <c r="H167"/>
  <c r="H169"/>
  <c r="H170"/>
  <c r="H171"/>
  <c r="H172"/>
  <c r="H173"/>
  <c r="H174"/>
  <c r="H175"/>
  <c r="H176"/>
  <c r="H177"/>
  <c r="H178"/>
  <c r="H179"/>
  <c r="H180"/>
  <c r="H181"/>
  <c r="H182"/>
  <c r="H183"/>
  <c r="H185"/>
  <c r="H186"/>
  <c r="H187"/>
  <c r="H188"/>
  <c r="H189"/>
  <c r="H190"/>
  <c r="H191"/>
  <c r="H192"/>
  <c r="H193"/>
  <c r="H194"/>
  <c r="H195"/>
  <c r="H196"/>
  <c r="H197"/>
  <c r="H199"/>
  <c r="H200"/>
  <c r="H201"/>
  <c r="H202"/>
  <c r="H203"/>
  <c r="H204"/>
  <c r="H205"/>
  <c r="H207"/>
  <c r="H208"/>
  <c r="H209"/>
  <c r="H212"/>
  <c r="H213"/>
  <c r="H214"/>
  <c r="H215"/>
  <c r="H216"/>
  <c r="H218"/>
  <c r="H219"/>
  <c r="C17" i="13" l="1"/>
  <c r="I17" s="1"/>
  <c r="C15" i="14"/>
  <c r="F24" i="13"/>
  <c r="D17" i="6"/>
  <c r="F16" i="2"/>
  <c r="F11"/>
  <c r="F10"/>
  <c r="K76" i="9"/>
  <c r="D56" i="6" s="1"/>
  <c r="F76" i="2" s="1"/>
  <c r="L63" i="9"/>
  <c r="D52" i="6"/>
  <c r="F72" i="2" s="1"/>
  <c r="F73" s="1"/>
  <c r="K75" i="9"/>
  <c r="F22"/>
  <c r="D8"/>
  <c r="D7"/>
  <c r="D6"/>
  <c r="D5"/>
  <c r="D4"/>
  <c r="D20"/>
  <c r="F20" s="1"/>
  <c r="D19"/>
  <c r="F19" s="1"/>
  <c r="D18"/>
  <c r="D17"/>
  <c r="F17" s="1"/>
  <c r="D16"/>
  <c r="F16" s="1"/>
  <c r="D43" i="6"/>
  <c r="F59" i="2" s="1"/>
  <c r="F58"/>
  <c r="L33" i="9"/>
  <c r="L34"/>
  <c r="F56" i="2"/>
  <c r="L64" i="9"/>
  <c r="M62"/>
  <c r="L62"/>
  <c r="K62"/>
  <c r="L61"/>
  <c r="K61"/>
  <c r="M61"/>
  <c r="K55"/>
  <c r="L55"/>
  <c r="M55"/>
  <c r="L28"/>
  <c r="L29"/>
  <c r="L30"/>
  <c r="L35"/>
  <c r="L36"/>
  <c r="L37"/>
  <c r="L38"/>
  <c r="L39"/>
  <c r="L40"/>
  <c r="L41"/>
  <c r="L42"/>
  <c r="L43"/>
  <c r="L44"/>
  <c r="L45"/>
  <c r="L46"/>
  <c r="L47"/>
  <c r="L48"/>
  <c r="L49"/>
  <c r="L50"/>
  <c r="L51"/>
  <c r="L53"/>
  <c r="L54"/>
  <c r="L56"/>
  <c r="L57"/>
  <c r="L58"/>
  <c r="L59"/>
  <c r="L60"/>
  <c r="M33"/>
  <c r="M35"/>
  <c r="M36"/>
  <c r="M37"/>
  <c r="M38"/>
  <c r="M39"/>
  <c r="M40"/>
  <c r="M41"/>
  <c r="M42"/>
  <c r="M43"/>
  <c r="M44"/>
  <c r="M45"/>
  <c r="M46"/>
  <c r="M47"/>
  <c r="M48"/>
  <c r="M49"/>
  <c r="M50"/>
  <c r="M51"/>
  <c r="M53"/>
  <c r="M54"/>
  <c r="M56"/>
  <c r="M57"/>
  <c r="M58"/>
  <c r="M59"/>
  <c r="M60"/>
  <c r="K33"/>
  <c r="K67" s="1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3"/>
  <c r="K54"/>
  <c r="K56"/>
  <c r="K57"/>
  <c r="K58"/>
  <c r="K59"/>
  <c r="K60"/>
  <c r="M29"/>
  <c r="M30"/>
  <c r="K29"/>
  <c r="K30"/>
  <c r="M28"/>
  <c r="K72" s="1"/>
  <c r="K28"/>
  <c r="D54" i="6" l="1"/>
  <c r="F74" i="2" s="1"/>
  <c r="F75" s="1"/>
  <c r="D38" i="6"/>
  <c r="D55"/>
  <c r="K68" i="9"/>
  <c r="D47" i="6" s="1"/>
  <c r="F65" i="2" s="1"/>
  <c r="K70" i="9"/>
  <c r="K71"/>
  <c r="D49" i="6" s="1"/>
  <c r="F69" i="2" s="1"/>
  <c r="K15" i="14"/>
  <c r="F15"/>
  <c r="G15" s="1"/>
  <c r="I15"/>
  <c r="E15"/>
  <c r="M15"/>
  <c r="K69" i="9"/>
  <c r="F19" i="2"/>
  <c r="I19" s="1"/>
  <c r="D18" i="6"/>
  <c r="F20" i="2" s="1"/>
  <c r="I20" s="1"/>
  <c r="F55"/>
  <c r="D40" i="6"/>
  <c r="D53"/>
  <c r="F60" i="2"/>
  <c r="D12" i="9"/>
  <c r="F18"/>
  <c r="D11"/>
  <c r="D10"/>
  <c r="D9"/>
  <c r="F40" i="2"/>
  <c r="I40" s="1"/>
  <c r="D348" i="8"/>
  <c r="F348" s="1"/>
  <c r="D347"/>
  <c r="F347" s="1"/>
  <c r="F344"/>
  <c r="E344"/>
  <c r="E351" s="1"/>
  <c r="F341"/>
  <c r="D341"/>
  <c r="D338"/>
  <c r="F338" s="1"/>
  <c r="D337"/>
  <c r="F337" s="1"/>
  <c r="H334" s="1"/>
  <c r="F334"/>
  <c r="E334"/>
  <c r="D331"/>
  <c r="F331" s="1"/>
  <c r="F328"/>
  <c r="D328"/>
  <c r="D327"/>
  <c r="F327" s="1"/>
  <c r="H324" s="1"/>
  <c r="F324"/>
  <c r="E324"/>
  <c r="D321"/>
  <c r="F321" s="1"/>
  <c r="F313"/>
  <c r="C354" s="1"/>
  <c r="D30" i="6" s="1"/>
  <c r="F38" i="2" s="1"/>
  <c r="D320" i="8"/>
  <c r="F320" s="1"/>
  <c r="D317"/>
  <c r="F317" s="1"/>
  <c r="D316"/>
  <c r="F316" s="1"/>
  <c r="D307"/>
  <c r="F307" s="1"/>
  <c r="D310"/>
  <c r="F310" s="1"/>
  <c r="D306"/>
  <c r="F306" s="1"/>
  <c r="H303" s="1"/>
  <c r="E303"/>
  <c r="A354" s="1"/>
  <c r="D25" i="6" s="1"/>
  <c r="D300" i="8"/>
  <c r="F300" s="1"/>
  <c r="D297"/>
  <c r="F297" s="1"/>
  <c r="D294"/>
  <c r="F294" s="1"/>
  <c r="D291"/>
  <c r="F291" s="1"/>
  <c r="D284"/>
  <c r="F284" s="1"/>
  <c r="H278" s="1"/>
  <c r="D281"/>
  <c r="F281" s="1"/>
  <c r="G278" s="1"/>
  <c r="D274"/>
  <c r="F274" s="1"/>
  <c r="D271"/>
  <c r="F271" s="1"/>
  <c r="G268" s="1"/>
  <c r="D264"/>
  <c r="F264" s="1"/>
  <c r="H258" s="1"/>
  <c r="D261"/>
  <c r="F261" s="1"/>
  <c r="G258" s="1"/>
  <c r="D196"/>
  <c r="F196" s="1"/>
  <c r="H190" s="1"/>
  <c r="D193"/>
  <c r="F193" s="1"/>
  <c r="G190" s="1"/>
  <c r="D185"/>
  <c r="F185" s="1"/>
  <c r="D184"/>
  <c r="F184" s="1"/>
  <c r="D183"/>
  <c r="F183" s="1"/>
  <c r="D180"/>
  <c r="F180" s="1"/>
  <c r="G177" s="1"/>
  <c r="F177"/>
  <c r="F351" s="1"/>
  <c r="E177"/>
  <c r="D139"/>
  <c r="F139" s="1"/>
  <c r="D138"/>
  <c r="F138" s="1"/>
  <c r="D137"/>
  <c r="F137" s="1"/>
  <c r="D134"/>
  <c r="F134" s="1"/>
  <c r="G131" s="1"/>
  <c r="F131"/>
  <c r="E131"/>
  <c r="D127"/>
  <c r="F127" s="1"/>
  <c r="D126"/>
  <c r="F126" s="1"/>
  <c r="D125"/>
  <c r="F125" s="1"/>
  <c r="D122"/>
  <c r="F122" s="1"/>
  <c r="G119" s="1"/>
  <c r="F119"/>
  <c r="E119"/>
  <c r="D115"/>
  <c r="F115" s="1"/>
  <c r="D114"/>
  <c r="F114" s="1"/>
  <c r="D113"/>
  <c r="F113" s="1"/>
  <c r="D110"/>
  <c r="F110" s="1"/>
  <c r="G107" s="1"/>
  <c r="F107"/>
  <c r="E107"/>
  <c r="D103"/>
  <c r="D102"/>
  <c r="F102" s="1"/>
  <c r="D101"/>
  <c r="F101" s="1"/>
  <c r="D100"/>
  <c r="F100" s="1"/>
  <c r="D96"/>
  <c r="F96" s="1"/>
  <c r="D95"/>
  <c r="F95" s="1"/>
  <c r="F92"/>
  <c r="E92"/>
  <c r="D81"/>
  <c r="F81" s="1"/>
  <c r="D88"/>
  <c r="D87"/>
  <c r="F87" s="1"/>
  <c r="D86"/>
  <c r="F86" s="1"/>
  <c r="D85"/>
  <c r="F85" s="1"/>
  <c r="D80"/>
  <c r="F80" s="1"/>
  <c r="G77" s="1"/>
  <c r="F77"/>
  <c r="E77"/>
  <c r="D73"/>
  <c r="F73" s="1"/>
  <c r="D72"/>
  <c r="F72" s="1"/>
  <c r="D71"/>
  <c r="F71" s="1"/>
  <c r="D68"/>
  <c r="F68" s="1"/>
  <c r="G65" s="1"/>
  <c r="F65"/>
  <c r="E65"/>
  <c r="D61"/>
  <c r="F61" s="1"/>
  <c r="D60"/>
  <c r="F60" s="1"/>
  <c r="D59"/>
  <c r="F59" s="1"/>
  <c r="D56"/>
  <c r="F56" s="1"/>
  <c r="G53" s="1"/>
  <c r="F53"/>
  <c r="E53"/>
  <c r="D37"/>
  <c r="F37" s="1"/>
  <c r="D36"/>
  <c r="F36" s="1"/>
  <c r="D35"/>
  <c r="F35" s="1"/>
  <c r="D32"/>
  <c r="F32" s="1"/>
  <c r="G29" s="1"/>
  <c r="F29"/>
  <c r="E29"/>
  <c r="E41"/>
  <c r="F41"/>
  <c r="D25"/>
  <c r="F25" s="1"/>
  <c r="D24"/>
  <c r="F24" s="1"/>
  <c r="D23"/>
  <c r="F23" s="1"/>
  <c r="D20"/>
  <c r="F20" s="1"/>
  <c r="G17" s="1"/>
  <c r="F17"/>
  <c r="E17"/>
  <c r="D13"/>
  <c r="F13" s="1"/>
  <c r="D12"/>
  <c r="F12" s="1"/>
  <c r="D11"/>
  <c r="F11" s="1"/>
  <c r="D8"/>
  <c r="F8" s="1"/>
  <c r="G5" s="1"/>
  <c r="F5"/>
  <c r="D253"/>
  <c r="F253" s="1"/>
  <c r="D252"/>
  <c r="F252" s="1"/>
  <c r="D249"/>
  <c r="F249" s="1"/>
  <c r="D246"/>
  <c r="F246" s="1"/>
  <c r="D243"/>
  <c r="F243" s="1"/>
  <c r="G240" s="1"/>
  <c r="D236"/>
  <c r="F236" s="1"/>
  <c r="D235"/>
  <c r="F235" s="1"/>
  <c r="F237" s="1"/>
  <c r="H229" s="1"/>
  <c r="D232"/>
  <c r="F232" s="1"/>
  <c r="G229" s="1"/>
  <c r="D225"/>
  <c r="F225" s="1"/>
  <c r="D224"/>
  <c r="F224" s="1"/>
  <c r="D221"/>
  <c r="F221" s="1"/>
  <c r="D218"/>
  <c r="F218" s="1"/>
  <c r="G215" s="1"/>
  <c r="D211"/>
  <c r="F211" s="1"/>
  <c r="D210"/>
  <c r="F210" s="1"/>
  <c r="D207"/>
  <c r="F207" s="1"/>
  <c r="D206"/>
  <c r="F206" s="1"/>
  <c r="D203"/>
  <c r="F203" s="1"/>
  <c r="G200" s="1"/>
  <c r="D173"/>
  <c r="F173" s="1"/>
  <c r="D172"/>
  <c r="F172" s="1"/>
  <c r="D171"/>
  <c r="F171" s="1"/>
  <c r="D170"/>
  <c r="F170" s="1"/>
  <c r="D169"/>
  <c r="F169" s="1"/>
  <c r="D168"/>
  <c r="F168" s="1"/>
  <c r="D167"/>
  <c r="F167" s="1"/>
  <c r="D166"/>
  <c r="F166" s="1"/>
  <c r="C163"/>
  <c r="D163" s="1"/>
  <c r="F163" s="1"/>
  <c r="C162"/>
  <c r="D162" s="1"/>
  <c r="F162" s="1"/>
  <c r="F159"/>
  <c r="E159"/>
  <c r="D153"/>
  <c r="F153" s="1"/>
  <c r="D154"/>
  <c r="F154" s="1"/>
  <c r="D155"/>
  <c r="F155" s="1"/>
  <c r="C147"/>
  <c r="D147" s="1"/>
  <c r="F147" s="1"/>
  <c r="C146"/>
  <c r="D146" s="1"/>
  <c r="F146" s="1"/>
  <c r="D152"/>
  <c r="F152" s="1"/>
  <c r="D151"/>
  <c r="F151" s="1"/>
  <c r="D150"/>
  <c r="F150" s="1"/>
  <c r="F143"/>
  <c r="E143"/>
  <c r="D48"/>
  <c r="F48" s="1"/>
  <c r="D49"/>
  <c r="F49" s="1"/>
  <c r="D47"/>
  <c r="F47" s="1"/>
  <c r="C44"/>
  <c r="D44" s="1"/>
  <c r="F44" s="1"/>
  <c r="G41" s="1"/>
  <c r="I16" i="2"/>
  <c r="F33" l="1"/>
  <c r="D50" i="6"/>
  <c r="F70" i="2" s="1"/>
  <c r="K73" i="9"/>
  <c r="D48" i="6" s="1"/>
  <c r="F66" i="2" s="1"/>
  <c r="F67" s="1"/>
  <c r="B354" i="8"/>
  <c r="D26" i="6" s="1"/>
  <c r="F34" i="2" s="1"/>
  <c r="I34" s="1"/>
  <c r="H268" i="8"/>
  <c r="D354"/>
  <c r="D29" i="6" s="1"/>
  <c r="F37" i="2" s="1"/>
  <c r="I37" s="1"/>
  <c r="H288" i="8"/>
  <c r="H313"/>
  <c r="H344"/>
  <c r="I38" i="2"/>
  <c r="D13" i="9"/>
  <c r="D21" s="1"/>
  <c r="F21" s="1"/>
  <c r="F24" s="1"/>
  <c r="F74" i="8"/>
  <c r="H65" s="1"/>
  <c r="F186"/>
  <c r="H177" s="1"/>
  <c r="F140"/>
  <c r="H131" s="1"/>
  <c r="F97"/>
  <c r="F128"/>
  <c r="H119" s="1"/>
  <c r="F116"/>
  <c r="H107" s="1"/>
  <c r="F82"/>
  <c r="F103"/>
  <c r="F104" s="1"/>
  <c r="H92" s="1"/>
  <c r="G92"/>
  <c r="F88"/>
  <c r="F89" s="1"/>
  <c r="H77" s="1"/>
  <c r="F62"/>
  <c r="H53" s="1"/>
  <c r="F38"/>
  <c r="H29" s="1"/>
  <c r="F208"/>
  <c r="F254"/>
  <c r="H240" s="1"/>
  <c r="F26"/>
  <c r="H17" s="1"/>
  <c r="F14"/>
  <c r="H5" s="1"/>
  <c r="F50"/>
  <c r="H41" s="1"/>
  <c r="F226"/>
  <c r="H215" s="1"/>
  <c r="F156"/>
  <c r="H143" s="1"/>
  <c r="F148"/>
  <c r="G143" s="1"/>
  <c r="F174"/>
  <c r="H159" s="1"/>
  <c r="F164"/>
  <c r="G159" s="1"/>
  <c r="G351" s="1"/>
  <c r="D28" i="6" s="1"/>
  <c r="F36" i="2" s="1"/>
  <c r="I36" s="1"/>
  <c r="H140" l="1"/>
  <c r="I140" s="1"/>
  <c r="D45" i="6"/>
  <c r="D46" s="1"/>
  <c r="F64" i="2" s="1"/>
  <c r="D33" i="6"/>
  <c r="F42" i="2" s="1"/>
  <c r="F212" i="8"/>
  <c r="H200" s="1"/>
  <c r="H351" s="1"/>
  <c r="D27" i="6" s="1"/>
  <c r="F35" i="2" s="1"/>
  <c r="I35" s="1"/>
  <c r="I70"/>
  <c r="F63" l="1"/>
  <c r="I10"/>
  <c r="H9"/>
  <c r="H128" l="1"/>
  <c r="H161" l="1"/>
  <c r="G139"/>
  <c r="H139" s="1"/>
  <c r="H138" l="1"/>
  <c r="H96"/>
  <c r="H49"/>
  <c r="I49" s="1"/>
  <c r="H81"/>
  <c r="H136"/>
  <c r="H83" l="1"/>
  <c r="H90" l="1"/>
  <c r="H211"/>
  <c r="D76" i="6" l="1"/>
  <c r="D75" l="1"/>
  <c r="D72"/>
  <c r="D10"/>
  <c r="C37" i="5"/>
  <c r="C26"/>
  <c r="C17"/>
  <c r="C41" s="1"/>
  <c r="I216" i="2" l="1"/>
  <c r="I215"/>
  <c r="I209"/>
  <c r="I208"/>
  <c r="I203"/>
  <c r="I199"/>
  <c r="I205"/>
  <c r="I200"/>
  <c r="I204"/>
  <c r="I202"/>
  <c r="I201"/>
  <c r="I194"/>
  <c r="I188"/>
  <c r="I192"/>
  <c r="I197"/>
  <c r="I187"/>
  <c r="I191"/>
  <c r="I185"/>
  <c r="I207"/>
  <c r="I196"/>
  <c r="I186"/>
  <c r="I190"/>
  <c r="I195"/>
  <c r="I189"/>
  <c r="I193"/>
  <c r="I183"/>
  <c r="I180"/>
  <c r="I177"/>
  <c r="I174"/>
  <c r="I171"/>
  <c r="I181"/>
  <c r="I178"/>
  <c r="I172"/>
  <c r="I169"/>
  <c r="I182"/>
  <c r="I175"/>
  <c r="I173"/>
  <c r="I179"/>
  <c r="I176"/>
  <c r="I170"/>
  <c r="I128"/>
  <c r="I13"/>
  <c r="I9"/>
  <c r="I90"/>
  <c r="I165"/>
  <c r="I139" l="1"/>
  <c r="I138"/>
  <c r="I79"/>
  <c r="I75"/>
  <c r="I76"/>
  <c r="I73"/>
  <c r="I72"/>
  <c r="I63"/>
  <c r="I55"/>
  <c r="I42"/>
  <c r="I33"/>
  <c r="I32" s="1"/>
  <c r="I25"/>
  <c r="I26"/>
  <c r="I27"/>
  <c r="I11"/>
  <c r="H119"/>
  <c r="C14" i="7" l="1"/>
  <c r="H163" i="2"/>
  <c r="H162"/>
  <c r="H155"/>
  <c r="H146"/>
  <c r="H126"/>
  <c r="H111"/>
  <c r="H104"/>
  <c r="H97"/>
  <c r="H100"/>
  <c r="H98"/>
  <c r="H92"/>
  <c r="C15" i="13" l="1"/>
  <c r="I15" s="1"/>
  <c r="C13" i="14"/>
  <c r="H160" i="2"/>
  <c r="H149"/>
  <c r="H147"/>
  <c r="I147" s="1"/>
  <c r="E13" i="14" l="1"/>
  <c r="J13"/>
  <c r="K13" s="1"/>
  <c r="H13"/>
  <c r="I13" s="1"/>
  <c r="F13"/>
  <c r="M13"/>
  <c r="G24" i="2"/>
  <c r="H24" s="1"/>
  <c r="H86"/>
  <c r="H22"/>
  <c r="I61"/>
  <c r="G13" i="14" l="1"/>
  <c r="I22" i="2"/>
  <c r="I21" s="1"/>
  <c r="I24"/>
  <c r="H74"/>
  <c r="H65"/>
  <c r="H66"/>
  <c r="C13" i="7" l="1"/>
  <c r="H44" i="2"/>
  <c r="I44" s="1"/>
  <c r="I41" s="1"/>
  <c r="I74"/>
  <c r="C14" i="13" l="1"/>
  <c r="I14" s="1"/>
  <c r="C12" i="14"/>
  <c r="C15" i="7"/>
  <c r="C16" i="13" l="1"/>
  <c r="I16" s="1"/>
  <c r="C14" i="14"/>
  <c r="G12"/>
  <c r="E12"/>
  <c r="L12"/>
  <c r="J12"/>
  <c r="H12"/>
  <c r="H15" i="2"/>
  <c r="H12"/>
  <c r="H14"/>
  <c r="M12" i="14" l="1"/>
  <c r="I12"/>
  <c r="K12"/>
  <c r="J14"/>
  <c r="K14" s="1"/>
  <c r="M14"/>
  <c r="H14"/>
  <c r="I14" s="1"/>
  <c r="F14"/>
  <c r="D14"/>
  <c r="E14" s="1"/>
  <c r="I12" i="2"/>
  <c r="I15"/>
  <c r="I14"/>
  <c r="I57"/>
  <c r="I142"/>
  <c r="I148"/>
  <c r="I149"/>
  <c r="G14" i="14" l="1"/>
  <c r="I8" i="2"/>
  <c r="I88"/>
  <c r="I86"/>
  <c r="I87"/>
  <c r="C12" i="7" l="1"/>
  <c r="I89" i="2"/>
  <c r="I92"/>
  <c r="C13" i="13" l="1"/>
  <c r="C11" i="14"/>
  <c r="I13" i="13"/>
  <c r="I213" i="2"/>
  <c r="I211"/>
  <c r="I166"/>
  <c r="I163"/>
  <c r="I161"/>
  <c r="I158"/>
  <c r="I155"/>
  <c r="I153"/>
  <c r="I146"/>
  <c r="I141"/>
  <c r="I137"/>
  <c r="I135"/>
  <c r="I133"/>
  <c r="I129"/>
  <c r="I127"/>
  <c r="I126"/>
  <c r="I124"/>
  <c r="I122"/>
  <c r="I120"/>
  <c r="I118"/>
  <c r="I115"/>
  <c r="I113"/>
  <c r="I110"/>
  <c r="I108"/>
  <c r="I106"/>
  <c r="I104"/>
  <c r="I102"/>
  <c r="I100"/>
  <c r="I98"/>
  <c r="I96"/>
  <c r="I94"/>
  <c r="I81"/>
  <c r="I69"/>
  <c r="I67"/>
  <c r="I65"/>
  <c r="I60"/>
  <c r="I59"/>
  <c r="I56"/>
  <c r="I218"/>
  <c r="I219"/>
  <c r="I217" s="1"/>
  <c r="I214"/>
  <c r="I212"/>
  <c r="I167"/>
  <c r="I162"/>
  <c r="I160"/>
  <c r="I157"/>
  <c r="I156"/>
  <c r="I154"/>
  <c r="I152"/>
  <c r="I150"/>
  <c r="I136"/>
  <c r="I134"/>
  <c r="I130"/>
  <c r="I123"/>
  <c r="I121"/>
  <c r="I119"/>
  <c r="I116"/>
  <c r="I114"/>
  <c r="I111"/>
  <c r="I109"/>
  <c r="I107"/>
  <c r="I105"/>
  <c r="I103"/>
  <c r="I101"/>
  <c r="I99"/>
  <c r="I97"/>
  <c r="I95"/>
  <c r="I84"/>
  <c r="I83"/>
  <c r="I82"/>
  <c r="I80"/>
  <c r="I68"/>
  <c r="I66"/>
  <c r="I64"/>
  <c r="I58"/>
  <c r="I210" l="1"/>
  <c r="G11" i="14"/>
  <c r="M11"/>
  <c r="K11"/>
  <c r="D11"/>
  <c r="I11"/>
  <c r="I91" i="2"/>
  <c r="C19" i="7" s="1"/>
  <c r="I131" i="2"/>
  <c r="C20" i="7" s="1"/>
  <c r="I77" i="2"/>
  <c r="I53"/>
  <c r="C22" i="7"/>
  <c r="C18"/>
  <c r="C21"/>
  <c r="C21" i="13" l="1"/>
  <c r="C19" i="14"/>
  <c r="D22"/>
  <c r="E11"/>
  <c r="C19" i="13"/>
  <c r="C17" i="14"/>
  <c r="C22" i="13"/>
  <c r="I22" s="1"/>
  <c r="C20" i="14"/>
  <c r="C23" i="13"/>
  <c r="I23" s="1"/>
  <c r="C21" i="14"/>
  <c r="C20" i="13"/>
  <c r="I20" s="1"/>
  <c r="C18" i="14"/>
  <c r="I220" i="2"/>
  <c r="I21" i="13"/>
  <c r="I19"/>
  <c r="C17" i="7"/>
  <c r="C16" i="14" s="1"/>
  <c r="E16" l="1"/>
  <c r="J16"/>
  <c r="H16"/>
  <c r="M16"/>
  <c r="F16"/>
  <c r="C22"/>
  <c r="D23"/>
  <c r="E22"/>
  <c r="J18"/>
  <c r="K18" s="1"/>
  <c r="L18"/>
  <c r="M18" s="1"/>
  <c r="G18"/>
  <c r="H18"/>
  <c r="I18" s="1"/>
  <c r="E18"/>
  <c r="E21"/>
  <c r="K21"/>
  <c r="I21"/>
  <c r="G21"/>
  <c r="L21"/>
  <c r="M21" s="1"/>
  <c r="L20"/>
  <c r="M20" s="1"/>
  <c r="G20"/>
  <c r="I20"/>
  <c r="E20"/>
  <c r="K20"/>
  <c r="J17"/>
  <c r="K17" s="1"/>
  <c r="H17"/>
  <c r="I17" s="1"/>
  <c r="G17"/>
  <c r="L17"/>
  <c r="E17"/>
  <c r="E19"/>
  <c r="G19"/>
  <c r="J19"/>
  <c r="K19" s="1"/>
  <c r="H19"/>
  <c r="I19" s="1"/>
  <c r="L19"/>
  <c r="M19" s="1"/>
  <c r="C23" i="7"/>
  <c r="C18" i="13"/>
  <c r="E23" i="14" l="1"/>
  <c r="G16"/>
  <c r="F22"/>
  <c r="F23" s="1"/>
  <c r="I16"/>
  <c r="H22"/>
  <c r="M17"/>
  <c r="L22"/>
  <c r="M22" s="1"/>
  <c r="K16"/>
  <c r="J22"/>
  <c r="K22" s="1"/>
  <c r="I18" i="13"/>
  <c r="C24"/>
  <c r="D18" s="1"/>
  <c r="I22" i="14" l="1"/>
  <c r="H23"/>
  <c r="J23" s="1"/>
  <c r="L23" s="1"/>
  <c r="G22"/>
  <c r="M24" s="1"/>
  <c r="L24"/>
  <c r="G23"/>
  <c r="I23" s="1"/>
  <c r="K23" s="1"/>
  <c r="M23" s="1"/>
  <c r="D22" i="13"/>
  <c r="H15"/>
  <c r="H16"/>
  <c r="H18"/>
  <c r="H21"/>
  <c r="D17"/>
  <c r="H22"/>
  <c r="H13"/>
  <c r="H23"/>
  <c r="H14"/>
  <c r="J17"/>
  <c r="H17"/>
  <c r="H19"/>
  <c r="H20"/>
  <c r="D15"/>
  <c r="J15"/>
  <c r="D14"/>
  <c r="J14"/>
  <c r="D16"/>
  <c r="J16"/>
  <c r="D13"/>
  <c r="J13"/>
  <c r="D23"/>
  <c r="J22"/>
  <c r="J23"/>
  <c r="D19"/>
  <c r="D20"/>
  <c r="D21"/>
  <c r="J19"/>
  <c r="J20"/>
  <c r="J21"/>
  <c r="J18"/>
  <c r="I24"/>
  <c r="D27" s="1"/>
  <c r="J24" l="1"/>
  <c r="D24"/>
  <c r="H24"/>
</calcChain>
</file>

<file path=xl/sharedStrings.xml><?xml version="1.0" encoding="utf-8"?>
<sst xmlns="http://schemas.openxmlformats.org/spreadsheetml/2006/main" count="3199" uniqueCount="1293">
  <si>
    <t>sinapi</t>
  </si>
  <si>
    <t>comp</t>
  </si>
  <si>
    <t>N°</t>
  </si>
  <si>
    <t>74209/001</t>
  </si>
  <si>
    <t>74220/001</t>
  </si>
  <si>
    <t>ITEM</t>
  </si>
  <si>
    <t>1.1</t>
  </si>
  <si>
    <t>1.3</t>
  </si>
  <si>
    <t>1.4</t>
  </si>
  <si>
    <t>1.5</t>
  </si>
  <si>
    <t>1.6</t>
  </si>
  <si>
    <t>1.7</t>
  </si>
  <si>
    <t>1.9</t>
  </si>
  <si>
    <t>2.4</t>
  </si>
  <si>
    <t>3.1</t>
  </si>
  <si>
    <t>3.2</t>
  </si>
  <si>
    <t>3.4</t>
  </si>
  <si>
    <t>3.5</t>
  </si>
  <si>
    <t>MOBILIZAÇÃO - CANTEIRO DE OBRAS - DEMOLIÇÕES</t>
  </si>
  <si>
    <t>PLACA DE OBRA EM CHAPA DE ACO GALVANIZADO - PADRÃO MINISTÉRIO DA SAÚDE - 1,50X3,00M</t>
  </si>
  <si>
    <t>LIGAÇÃO PROVISÓRIA DE ÁGUA PARA OBRA</t>
  </si>
  <si>
    <t>COBERTURA</t>
  </si>
  <si>
    <t>ESTRUTURA EM MADEIRA APARELHADA, PARA TELHA CERÂMICA, APOIADA EM PAREDE</t>
  </si>
  <si>
    <t>ESTRUTURA</t>
  </si>
  <si>
    <t>MUROS</t>
  </si>
  <si>
    <t>IMPERMEABILIZAÇÃO</t>
  </si>
  <si>
    <t>REVESTIMENTOS - PISOS, PAREDES E TETOS</t>
  </si>
  <si>
    <t>PISO</t>
  </si>
  <si>
    <t>M2</t>
  </si>
  <si>
    <t>UN</t>
  </si>
  <si>
    <t>M3</t>
  </si>
  <si>
    <t>M</t>
  </si>
  <si>
    <t>KG</t>
  </si>
  <si>
    <t>1,00</t>
  </si>
  <si>
    <t>10,00</t>
  </si>
  <si>
    <t>72116</t>
  </si>
  <si>
    <t>DISCRIMINAÇÃO</t>
  </si>
  <si>
    <t>PAREDE</t>
  </si>
  <si>
    <t>TETO</t>
  </si>
  <si>
    <t>EMASSAMENTO COM MASSA LÁTEX PVA PARA AMBIENTES INTERNOS</t>
  </si>
  <si>
    <t>ESQUARIAS</t>
  </si>
  <si>
    <t>MADEIRA</t>
  </si>
  <si>
    <t>ALUMÍNIO</t>
  </si>
  <si>
    <t>JANELA DE ALUMÍNIO PROJETANTE</t>
  </si>
  <si>
    <t>VIDRO LISO COMUM TRANSPARENTE, ESPESSURA 3MM</t>
  </si>
  <si>
    <t>INSTALAÇÕES ELETRICAS</t>
  </si>
  <si>
    <t>PADRÃO DE ENTRADA TRIFÁSICO 125A AÉREO - COMPLETO CFE PROJETO</t>
  </si>
  <si>
    <t>PONTOS ELETRICOS</t>
  </si>
  <si>
    <t>ARANDELA TIPO TARTARUGA COM LÂMPADA ELETRÔNICA 16W - COMPLETA</t>
  </si>
  <si>
    <t>PROJETOR COM LÂMPADA E REATOR VAPOR METÁLICO 150W COMPLETO</t>
  </si>
  <si>
    <t>PONTO DE ENERGIA PARA ILUMINAÇÃO</t>
  </si>
  <si>
    <t>UNID</t>
  </si>
  <si>
    <t>CJ</t>
  </si>
  <si>
    <t>PT</t>
  </si>
  <si>
    <t>QDE</t>
  </si>
  <si>
    <t>23,00</t>
  </si>
  <si>
    <t>2,00</t>
  </si>
  <si>
    <t>11,00</t>
  </si>
  <si>
    <t>3,00</t>
  </si>
  <si>
    <t>74131/004</t>
  </si>
  <si>
    <t>74130/006</t>
  </si>
  <si>
    <t>74130/005</t>
  </si>
  <si>
    <t>74130/001</t>
  </si>
  <si>
    <t>74130/002</t>
  </si>
  <si>
    <t>9535</t>
  </si>
  <si>
    <t>TOMADA DUPLA 20A/127V PADRÃO BRASILEIRO EM CX. 4"X4"</t>
  </si>
  <si>
    <t>PONTO DE ENERGIA PARA INTERRUPTOR</t>
  </si>
  <si>
    <t>QPDG</t>
  </si>
  <si>
    <t>QUADROS</t>
  </si>
  <si>
    <t>EQUIPAMENTOS LÓGICA E TELEFONIA</t>
  </si>
  <si>
    <t>PONTO PARA INSTALAÇÃO DE LÓGICA</t>
  </si>
  <si>
    <t>LOUÇAS E APARELHOS SANITÁRIOS</t>
  </si>
  <si>
    <t>BARRA APOIO PARA DEFICIENTE EM AÇO INOX</t>
  </si>
  <si>
    <t>TORNEIRA AUTOMÁTICA CROMADA 1/2" OU 3/4" PARA LAVATÓRIO, COM ENGATE FLEXÍVEL METÁLICO 1/2"X30CM</t>
  </si>
  <si>
    <t>TORNEIRA AUTOMÁTICA CROMADA TUBO MÓVEL PARA BANCADA 1/2" OU 3/4" PARA PIAS</t>
  </si>
  <si>
    <t>4,00</t>
  </si>
  <si>
    <t>5,00</t>
  </si>
  <si>
    <t>12,00</t>
  </si>
  <si>
    <t>9,00</t>
  </si>
  <si>
    <t>17,00</t>
  </si>
  <si>
    <t>18,00</t>
  </si>
  <si>
    <t>40729</t>
  </si>
  <si>
    <t>74104/001</t>
  </si>
  <si>
    <t>METAIS, ACESSÓRIOS E EQUIPAMENTOS</t>
  </si>
  <si>
    <t>PONTO DE AGUA FRIA 3/4"</t>
  </si>
  <si>
    <t>PONTO DE AGUA FRIA 1 1/2"</t>
  </si>
  <si>
    <t>PONTO DE ESGOTO DN 50</t>
  </si>
  <si>
    <t>PONTO DE ESGOTO DN 100</t>
  </si>
  <si>
    <t>REDE EXTERNA</t>
  </si>
  <si>
    <t>REDE AR COMPRIMIDO</t>
  </si>
  <si>
    <t>DIVERSOS E LIMPEZA DA OBRA</t>
  </si>
  <si>
    <t>LIMPEZA FINAL DA OBRA</t>
  </si>
  <si>
    <t>20,00</t>
  </si>
  <si>
    <t>38,00</t>
  </si>
  <si>
    <t>14,00</t>
  </si>
  <si>
    <t>21,00</t>
  </si>
  <si>
    <t>VALOR</t>
  </si>
  <si>
    <t>VALOR TOTAL</t>
  </si>
  <si>
    <t>INSTAL/LIGACAOPROVISORIAELETRICABAIXA TENSÃO P/CANT OBRA OBRA.M3- CHAVE 100A CARGA 3KWH,20CV EXCL FORN MEDIDOR</t>
  </si>
  <si>
    <t>BARRACÃO DE OBRA EM CHAPA DE MADEIRA COMPENSADA COM BANHEIRO COBERTURA EM   FIBROCIMENTO 4   MM,   INCLUSO INSTALAÇÕES HIDRO-SANITARIAS E ELETRICAS</t>
  </si>
  <si>
    <t>485,50</t>
  </si>
  <si>
    <t>43,75</t>
  </si>
  <si>
    <t>20,98</t>
  </si>
  <si>
    <t>EMASSAMENTO C/MASSA ACRÍLICA PARA AMBIENTES INTERNOS, DUAS DEMÃOS</t>
  </si>
  <si>
    <t>26,00</t>
  </si>
  <si>
    <t>44,00</t>
  </si>
  <si>
    <t>61,00</t>
  </si>
  <si>
    <t>103,00</t>
  </si>
  <si>
    <t>73,00</t>
  </si>
  <si>
    <t>13,00</t>
  </si>
  <si>
    <t>INTERRUPTOR DIFERENCIAL 4X63A SENS. 30MA (TETRAPOLAR)</t>
  </si>
  <si>
    <t>CAIXA DE INSPEÇÃO EM ALVENARIA DE TIJOLO MACIÇO 60X60X60CM, REVESTIDA INTERNAMENTO COM BARRA LISA (CIMENTO E AREIA, TRAÇO 1:4) E=2,0CM, COM TAMPA PRÉ-MOLDADA DE CONCRETO E FUNDO DE CONCRETO 15MPA TIPO C - ESCAVAÇÃO E CONFECÇÃO - ÁGUAS PLUVIAIS E ESGOTO</t>
  </si>
  <si>
    <t>200,00</t>
  </si>
  <si>
    <t>16,00</t>
  </si>
  <si>
    <t>573,78</t>
  </si>
  <si>
    <t>TOTAL GERAL</t>
  </si>
  <si>
    <t>SINAPI</t>
  </si>
  <si>
    <t>VALOR COM BDI %</t>
  </si>
  <si>
    <t>COMP 02</t>
  </si>
  <si>
    <t>COD TCPO</t>
  </si>
  <si>
    <t>DESCRIÇÃO</t>
  </si>
  <si>
    <t>UND</t>
  </si>
  <si>
    <t>QTD</t>
  </si>
  <si>
    <t>Custo unitário (R$)</t>
  </si>
  <si>
    <t>CUSTO TOTAL</t>
  </si>
  <si>
    <t>m²</t>
  </si>
  <si>
    <t>und</t>
  </si>
  <si>
    <t>m³</t>
  </si>
  <si>
    <t>m</t>
  </si>
  <si>
    <t>kg</t>
  </si>
  <si>
    <t>h</t>
  </si>
  <si>
    <t>valor total do item</t>
  </si>
  <si>
    <t xml:space="preserve"> Prefeitura Municipal de Várzea Grande</t>
  </si>
  <si>
    <t xml:space="preserve">Contrato: 038.2014              </t>
  </si>
  <si>
    <t>BDI</t>
  </si>
  <si>
    <t>Obra: Unidade Básica de Saúde- Padrão 1 lote 1</t>
  </si>
  <si>
    <t>Localização: BAIRRO CONSTRUMAT -  Várzea Grande/MT</t>
  </si>
  <si>
    <t>COMPOSIÇÃO DE CUSTOS DE SERVIÇOS ADICIONAIS</t>
  </si>
  <si>
    <t>COMP 01</t>
  </si>
  <si>
    <t>Quant</t>
  </si>
  <si>
    <t>custo unitário (R$)</t>
  </si>
  <si>
    <t>custo total</t>
  </si>
  <si>
    <t>COMP 03</t>
  </si>
  <si>
    <t>16136.3.3.1</t>
  </si>
  <si>
    <t>16588.3.7.1</t>
  </si>
  <si>
    <t>16120.3.7.4</t>
  </si>
  <si>
    <t>01270.0.221</t>
  </si>
  <si>
    <t>01270.01.13</t>
  </si>
  <si>
    <t>Valor Total do item</t>
  </si>
  <si>
    <t>cj</t>
  </si>
  <si>
    <t>COMP 04</t>
  </si>
  <si>
    <t>COMP 05</t>
  </si>
  <si>
    <t>RUFO EM CHAPA DE AÇO GALVANIZADO NÚMERO 24, CORTE DE 25 CM, INCLUSO TRANSPORTE VERTICAL. AF_06/2016</t>
  </si>
  <si>
    <t>PEITORIL EM MARMORE BRANCO, LARGURA DE 15CM, ASSENTADO COM ARGAMASSA TRACO 1:4 (CIMENTO E AREIA MEDIA), PREPARO MANUAL DA ARGAMASSA</t>
  </si>
  <si>
    <t xml:space="preserve">74065/003 </t>
  </si>
  <si>
    <t xml:space="preserve">COD TCPO- </t>
  </si>
  <si>
    <t>01270.0.40.1</t>
  </si>
  <si>
    <t>01270.0.45.1</t>
  </si>
  <si>
    <t>Kg</t>
  </si>
  <si>
    <t>M²</t>
  </si>
  <si>
    <t>01270.0.1.13</t>
  </si>
  <si>
    <t>01270.0.22.1</t>
  </si>
  <si>
    <t>13105.3.6.1</t>
  </si>
  <si>
    <t>13105.3.8.1</t>
  </si>
  <si>
    <t>16142.3.4.2</t>
  </si>
  <si>
    <t>16120.3.4.4</t>
  </si>
  <si>
    <t>16132.3.3.1</t>
  </si>
  <si>
    <t>16120.3.2.1</t>
  </si>
  <si>
    <t>161313.2.I</t>
  </si>
  <si>
    <t>16131.3.1.6</t>
  </si>
  <si>
    <t>73953/004</t>
  </si>
  <si>
    <t xml:space="preserve">73953/006 </t>
  </si>
  <si>
    <t>TCPO</t>
  </si>
  <si>
    <t xml:space="preserve"> h </t>
  </si>
  <si>
    <t>16520.3.2.1</t>
  </si>
  <si>
    <t>16580.3.11.2</t>
  </si>
  <si>
    <t>165803.4.2</t>
  </si>
  <si>
    <t>16120.3.7.1</t>
  </si>
  <si>
    <t>16132.3.1.2</t>
  </si>
  <si>
    <t>16132.3.3.2</t>
  </si>
  <si>
    <t>16132.3.42</t>
  </si>
  <si>
    <t xml:space="preserve">161363.22 </t>
  </si>
  <si>
    <t>16143.8.12.1 - PONTO de interruptor com eletroduto de PVC rígido rosqueável, 0 3/4"</t>
  </si>
  <si>
    <t>161203.7.1</t>
  </si>
  <si>
    <t>16132.3.4.2</t>
  </si>
  <si>
    <t>1613.6.3.2.2</t>
  </si>
  <si>
    <t>16143.3.218</t>
  </si>
  <si>
    <t>QUADRO DE DISTRIBUICAO DE ENERGIA DE EMBUTIR, EM CHAPA METALICA, PARA 18 ISJUNTORES TERMOMAGNETICOS MONOPOLARES, COM BARRAMENTO TRIFASICO E
NEUTRO, FORNECIMENTO E INSTALACAO</t>
  </si>
  <si>
    <t xml:space="preserve"> PARA-RAIO TP VALVULA 15KV/5KA - FORNECIMENTO E INSTALACAO </t>
  </si>
  <si>
    <t xml:space="preserve">PARA-RAIO TP VALVULA 15KV/5KA - FORNECIMENTO E INSTALACAO </t>
  </si>
  <si>
    <t>01270.0.1.14</t>
  </si>
  <si>
    <t>16132.8.10.2</t>
  </si>
  <si>
    <t>161433.13</t>
  </si>
  <si>
    <t xml:space="preserve"> PAPELEIRA PLASTICA TIPO DISPENSER PARA PAPEL HIGIENICO ROLAO  </t>
  </si>
  <si>
    <t xml:space="preserve"> SABONETEIRA PLASTICA TIPO DISPENSER PARA SABONETE LIQUIDO COM RESERVATORIO  
800 A 1500 ML</t>
  </si>
  <si>
    <t>15007.8.1.2 BARRA DE APOIO para portadores de necessidades especiais,
largura 8 0 cm - unidade: und</t>
  </si>
  <si>
    <t>050603.6.1</t>
  </si>
  <si>
    <t>150073.13</t>
  </si>
  <si>
    <t>15480.8.7.1 TORNEIRA elétrica automática, 220 V - 5.400 W - unidade: um</t>
  </si>
  <si>
    <t>01270.0.24.1</t>
  </si>
  <si>
    <t xml:space="preserve">ENCANADOR OU BOMBEIRO HIDRAULICO </t>
  </si>
  <si>
    <t>15480.3.9.1</t>
  </si>
  <si>
    <t>06062.3.6.3</t>
  </si>
  <si>
    <t>087703.13.1</t>
  </si>
  <si>
    <t xml:space="preserve">15141316.2 </t>
  </si>
  <si>
    <t>15141316.3</t>
  </si>
  <si>
    <t>15141316.6</t>
  </si>
  <si>
    <t>151433.5.1</t>
  </si>
  <si>
    <t>154503.1</t>
  </si>
  <si>
    <t>15450.8.1 RESERVATÓRIO d'água de fibra de vidro cilíndrico - 5000L unidade: um</t>
  </si>
  <si>
    <t>REGISTRO DE GAVETA BRUTO, LATÃO, ROSCÁVEL, 3/4", COM ACABAMENTO E CANOPLA CROMADOS. FORNECIDO E INSTALADO EM RAMAL DE ÁGUA.</t>
  </si>
  <si>
    <t>RESERVATÓRIO D'AGUA DE FIBRA CILÍNDRICO, CAPACIDADE 5.000L</t>
  </si>
  <si>
    <t>TORNEIRA DE BÓIA REAL, ROSCÁVEL, 3/4", FORNECIDA E INSTALADA EM RESERVAÇÃO DE ÁGUA.</t>
  </si>
  <si>
    <t xml:space="preserve"> REGISTRO DE GAVETA BRUTO, LATÃO, ROSCÁVEL, 3/4", FORNECIDO E INSTALADO EM RAMAL DE ÁGUA.</t>
  </si>
  <si>
    <t>CAIXA SIFONADA, PVC, DN 100 X 100 X 50 MM, FORNECIDA E INSTALADA EM RAMAIS DE ENCAMINHAMENTO DE ÁGUA PLUVIAL</t>
  </si>
  <si>
    <t>15142.8.27.1 PONTO de água fria 3/4" - Ø 25 mm - unidade: und</t>
  </si>
  <si>
    <t xml:space="preserve">15142.311.4 </t>
  </si>
  <si>
    <t>15142.3.13.3</t>
  </si>
  <si>
    <t xml:space="preserve">151423.20.2 </t>
  </si>
  <si>
    <t>5147.3.23.2</t>
  </si>
  <si>
    <t>15152.8.29.1 PONTO de esgoto primário, com tubo de PVC branco e conexões, Ø50 mm - unidade: um</t>
  </si>
  <si>
    <t xml:space="preserve">151573.15.6 </t>
  </si>
  <si>
    <t xml:space="preserve">151523.29.2 </t>
  </si>
  <si>
    <t>15152.8.29.1 PONTO de esgoto primário, com tubo de PVC branco e conexões, Ø100 mm - unidade: um</t>
  </si>
  <si>
    <t>COMP 07</t>
  </si>
  <si>
    <t>COMP 08</t>
  </si>
  <si>
    <t>01270.01.19</t>
  </si>
  <si>
    <t>01270.0.41.1</t>
  </si>
  <si>
    <t>L</t>
  </si>
  <si>
    <t>09910330.1</t>
  </si>
  <si>
    <t>VALOR MEDIANO</t>
  </si>
  <si>
    <t>CODIGO</t>
  </si>
  <si>
    <t>07185.8.1.1 - PROTEÇÃO MECÂNICA de superfície sujeita a trânsito com argamassa de cimento e areia traço 1:7, e = 3 cm - unidade: m2</t>
  </si>
  <si>
    <t>020603.22</t>
  </si>
  <si>
    <t>071203.11.1</t>
  </si>
  <si>
    <t>01270.0.25.1</t>
  </si>
  <si>
    <t>050603.20.6</t>
  </si>
  <si>
    <t>060623.43</t>
  </si>
  <si>
    <t>01270.0.1.20</t>
  </si>
  <si>
    <t>01270.0.48.1</t>
  </si>
  <si>
    <t>COMP 11</t>
  </si>
  <si>
    <t>COMP 12</t>
  </si>
  <si>
    <t>COMP 13</t>
  </si>
  <si>
    <t>099053.4.1</t>
  </si>
  <si>
    <t>COMP 14</t>
  </si>
  <si>
    <t>COMP 15</t>
  </si>
  <si>
    <t>02060.3.2.2</t>
  </si>
  <si>
    <t>02065.3.5.1</t>
  </si>
  <si>
    <t>081203.2.1</t>
  </si>
  <si>
    <t>01270.0.1.11</t>
  </si>
  <si>
    <t>01270.0.19.1</t>
  </si>
  <si>
    <t>05060.3.20.6</t>
  </si>
  <si>
    <t>05060.3.9.1</t>
  </si>
  <si>
    <t>COMP 16</t>
  </si>
  <si>
    <t>COMP 17</t>
  </si>
  <si>
    <t>COMP 18</t>
  </si>
  <si>
    <t>COMPOSIÇÃO DA TAXA DE BENEFÍCIOS E DESPESAS INDIRETAS</t>
  </si>
  <si>
    <t>Grupo A</t>
  </si>
  <si>
    <t xml:space="preserve">Despesas indiretas </t>
  </si>
  <si>
    <t>AC</t>
  </si>
  <si>
    <t>Administração central</t>
  </si>
  <si>
    <t>SG</t>
  </si>
  <si>
    <t>Seguro e Garantia</t>
  </si>
  <si>
    <t>R</t>
  </si>
  <si>
    <t>Risco</t>
  </si>
  <si>
    <t>Total do grupo A</t>
  </si>
  <si>
    <t>Grupo B</t>
  </si>
  <si>
    <t>Bonificação</t>
  </si>
  <si>
    <t>DF</t>
  </si>
  <si>
    <t>Despesas Financeiras</t>
  </si>
  <si>
    <t>Total do grupo B</t>
  </si>
  <si>
    <t>Grupo C</t>
  </si>
  <si>
    <t>Lucro</t>
  </si>
  <si>
    <t>Total do grupo C</t>
  </si>
  <si>
    <t>Grupo D</t>
  </si>
  <si>
    <t>Impostos</t>
  </si>
  <si>
    <t>C.1</t>
  </si>
  <si>
    <t>PIS</t>
  </si>
  <si>
    <t>C.2</t>
  </si>
  <si>
    <t>COFINS</t>
  </si>
  <si>
    <t>C.3</t>
  </si>
  <si>
    <t>ISSQN</t>
  </si>
  <si>
    <t>C.4</t>
  </si>
  <si>
    <t>CPRB</t>
  </si>
  <si>
    <t>Total do grupo D</t>
  </si>
  <si>
    <t>Fórmula para o cálculo do B.D.I. ( benefícios e despesas indiretas )</t>
  </si>
  <si>
    <t>BDI  = ((1+AC+S+R+G)(1+DF)(1+L)/(1-I))-1</t>
  </si>
  <si>
    <t>ÍTEM</t>
  </si>
  <si>
    <t>SERVIÇO</t>
  </si>
  <si>
    <t>CÁLCULO</t>
  </si>
  <si>
    <t>TOTAL</t>
  </si>
  <si>
    <t>UNIDADE</t>
  </si>
  <si>
    <t>SERVIÇOS PRELIMINARES</t>
  </si>
  <si>
    <t>LIMPEZA DO TERRENO</t>
  </si>
  <si>
    <t>TAPUME</t>
  </si>
  <si>
    <t>BARRACÃO DE OBRA</t>
  </si>
  <si>
    <t>4*3.50</t>
  </si>
  <si>
    <t>LOCAÇÃO DE OBRA</t>
  </si>
  <si>
    <t>ÁREA DA EDIFICAÇÃO</t>
  </si>
  <si>
    <t>PLACA</t>
  </si>
  <si>
    <t>2.1</t>
  </si>
  <si>
    <t>CONFORME PROJETO ESTRUTURAL</t>
  </si>
  <si>
    <t>AÇO CA-50</t>
  </si>
  <si>
    <t>AÇO CA-60</t>
  </si>
  <si>
    <t>4.1</t>
  </si>
  <si>
    <t>5.0</t>
  </si>
  <si>
    <t>ALVENARIA</t>
  </si>
  <si>
    <t>TIJOLO CERÂMICO</t>
  </si>
  <si>
    <t>ÁREA DAS PAREDES</t>
  </si>
  <si>
    <t>VERGA</t>
  </si>
  <si>
    <t>LARGURA DA PORTA + 5CM DE CADA LADO</t>
  </si>
  <si>
    <t>ESTRUTURA DE MADEIRA P/ COBERTURA FIBROCIMENTO</t>
  </si>
  <si>
    <t>AREA COBERTA</t>
  </si>
  <si>
    <t>TELHA DE FIBROCIMENTO</t>
  </si>
  <si>
    <t xml:space="preserve">TELHA CERÂMICA </t>
  </si>
  <si>
    <t>ESQUADRIA</t>
  </si>
  <si>
    <t>CONFORME PROJETO ARQUITETÔNICO</t>
  </si>
  <si>
    <t>PORTA MADEIRA 0,80 X 2,10</t>
  </si>
  <si>
    <t>PORTA MADEIRA 1,00 X 2,10</t>
  </si>
  <si>
    <t>REVESTIMENTO</t>
  </si>
  <si>
    <t>CHAPISCO</t>
  </si>
  <si>
    <t>EMBOÇO</t>
  </si>
  <si>
    <t>AZULEJO</t>
  </si>
  <si>
    <t>PASSEIO (CALÇADA)</t>
  </si>
  <si>
    <t>PISO GRANILITE</t>
  </si>
  <si>
    <t>RODAPÉ GRANILITE</t>
  </si>
  <si>
    <t>PERIMETRO DOS AMBIENTES INTERNOS</t>
  </si>
  <si>
    <t>VIDRO</t>
  </si>
  <si>
    <t>VIDRO COMUM 4,0 mm</t>
  </si>
  <si>
    <t>SERVIÇOS COMPLEMENTARES</t>
  </si>
  <si>
    <t>BARRA DE APOIO</t>
  </si>
  <si>
    <t>DIVISÓRIA DE GRANILITE</t>
  </si>
  <si>
    <t>BANCADA GRANITO - SALA UTILIDADES, ESTERILIZAÇÃO E CURATIVO.</t>
  </si>
  <si>
    <t>INSTALAÇÃO HIDRO SANITÁRIA</t>
  </si>
  <si>
    <t>CONFORME PROJETO HIDRAULICO</t>
  </si>
  <si>
    <t>INSTALAÇÃO ELETRICA</t>
  </si>
  <si>
    <t>CONFORME PROJETO ELÉTRICO</t>
  </si>
  <si>
    <t>LIMPEZA FINAL DE OBRA</t>
  </si>
  <si>
    <t>LIMPEZA FINAL</t>
  </si>
  <si>
    <t>ÁREA TOTAL</t>
  </si>
  <si>
    <t>73822/2</t>
  </si>
  <si>
    <t>LIMPEZA MECANIZADA DE TERRENO COM REMOCAO DE CAMADA VEGETAL, UTILIZANDO MOTONIVELADORA</t>
  </si>
  <si>
    <t>TAPUME DE CHAPA DE MADEIRA COMPENSADA, E= 6MM, COM PINTURA A CAL E REAPROVEITAMENTO DE 2X</t>
  </si>
  <si>
    <t>LIGAÇÃO DOMICILIAR DE ESGOTO DN 100MM, DA CASA ATÉ A CAIXA, COMPOSTO POR 10,0M TUBO DE PVC ESGOTO PREDIAL DN 100MM E CAIXA DE ALVENARIA COM TAMPA DE CONCRETO - FORNECIMENTO E INSTALAÇÃ</t>
  </si>
  <si>
    <t>AREIA MEDIA - POSTO JAZIDA/FORNECEDOR (RETIRADO NA JAZIDA, SEM TRANSPORTE)</t>
  </si>
  <si>
    <t>CIMENTO PORTLAND COMPOSTO CP II-32</t>
  </si>
  <si>
    <t>PEDREIRO</t>
  </si>
  <si>
    <t>TRANSPORTE DE ENTULHO COM CAMINHAO BASCULANTE 6 M3, RODOVIA PAVIMENTADA, DMT 0,5 A 1,0 KM</t>
  </si>
  <si>
    <t>AUXILIAR DE CARPINTEIRO</t>
  </si>
  <si>
    <t>PREGO DE ACO POLIDO COM CABECA 18 X 27 (2 1/2 X 10)</t>
  </si>
  <si>
    <t>TELHADISTA</t>
  </si>
  <si>
    <t>05060.3.1.1</t>
  </si>
  <si>
    <t>MADEIRA PINHO SERRADA 3A QUALIDADE NAO APARELHADA</t>
  </si>
  <si>
    <t>CALHA EM CHAPA DE AÇO GALVANIZADO NÚMERO 24, DESENVOLVIMENTO DE 50 CM, INCLUSO TRANSPORTE VERTICAL. AF_06/2016</t>
  </si>
  <si>
    <t>CUMEEIRA E ESPIGÃO PARA TELHA CERÂMICA EMBOÇADA COM ARGAMASSA TRAÇO 1:2:9 (CIMENTO, CAL E AREIA), PARA TELHADOS COM MAIS DE 2 ÁGUAS, INCLUSO TRANSPORTE VERTICAL. AF_06/2016</t>
  </si>
  <si>
    <t>ARMAÇÃO DE ESTRUTURAS DE CONCRETO ARMADO, EXCETO VIGAS, PILARES, LAJES E FUNDAÇÕES, UTILIZANDO AÇO CA-50 DE 6,3 MM - MONTAGEM. AF_12/2015</t>
  </si>
  <si>
    <t>ARMAÇÃO DE PILAR OU VIGA DE UMA ESTRUTURA CONVENCIONAL DE CONCRETO ARMADO EM UMA EDIFICAÇÃO TÉRREA OU SOBRADO UTILIZANDO AÇO CA-60 DE 5,0 MM - MONTAGEM. AF_12/2015</t>
  </si>
  <si>
    <t>Ajudante de armador</t>
  </si>
  <si>
    <t>01270.0.1.10</t>
  </si>
  <si>
    <t>l</t>
  </si>
  <si>
    <t>PEDRA BRITADA N. 0, OU PEDRISCO (4,8 A 9,5 MM) POSTO PEDREIRA/FORNECEDOR, SEM FRETE
FRETE (estacionamento - h= 10cm)</t>
  </si>
  <si>
    <t>GUIA (MEIO-FIO) CONCRETO, MOLDADA IN LOCO EM TRECHO RETO COM EXTRUSORA, 11,5 CM BASE X 22 CM ALTURA. AF_06/2016</t>
  </si>
  <si>
    <t>EXECUÇÃO DE SARJETA DE CONCRETO USINADO, MOLDADA IN LOCO EM TRECHO RETO, 45 CM BASE X 10 CM ALTURA. AF_06/2016</t>
  </si>
  <si>
    <t>PISO EM GRANILITE, MARMORITE OU GRANITINA ESPESSURA 8 MM, INCLUSO JUNTAS DE DILATACAO PLASTICAS</t>
  </si>
  <si>
    <t>APLICAÇÃO MANUAL DE PINTURA COM TINTA LÁTEX ACRÍLICA EM PAREDES, DUAS DEMÃOS. AF_06/2014</t>
  </si>
  <si>
    <t xml:space="preserve"> APLICAÇÃO MANUAL DE PINTURA COM TINTA TEXTURIZADA ACRÍLICA EM PAREDES EXTERNAS DE CASAS, UMA COR. AF_06/2014</t>
  </si>
  <si>
    <t>CHAPISCO APLICADO NO TETO, COM ROLO PARA TEXTURA ACRÍLICA. ARGAMASSA INDUSTRIALIZADA COM PREPARO EM MISTURADOR 300 KG. AF_06/2014</t>
  </si>
  <si>
    <t>APLICAÇÃO MANUAL DE PINTURA COM TINTA LÁTEX ACRÍLICA EM TETO, DUAS DEMÃOS. AF_06/2014</t>
  </si>
  <si>
    <t>APLICAÇÃO MANUAL DE PINTURA COM TINTA TEXTURIZADA ACRÍLICA EM PAREDES EXTERNAS DE CASAS, UMA COR. AF_06/2014</t>
  </si>
  <si>
    <t>PORTA DE MADEIRA PARA PINTURA, SEMI-OCA (LEVE OU MÉDIA), 80X210CM, ESPESSURA DE 3,5CM, INCLUSO DOBRADIÇAS - FORNECIMENTO E INSTALAÇÃO. AF_08/2015</t>
  </si>
  <si>
    <t>PORTA DE MADEIRA PARA PINTURA, SEMI-OCA (LEVE OU MÉDIA), 90X210CM, ESPESSURA DE 3,5CM, INCLUSO DOBRADIÇAS - FORNECIMENTO E INSTALAÇÃO. AF_08/2015</t>
  </si>
  <si>
    <t>FECHADURA DE EMBUTIR PARA PORTAS INTERNAS, COMPLETA, ACABAMENTO PADRÃO POPULAR, COM EXECUÇÃO DE FURO - FORNECIMENTO E INSTALAÇÃO. AF_08/2015</t>
  </si>
  <si>
    <t>PINTURA ESMALTE BRILHANTE PARA MADEIRA, DUAS DEMAOS, SOBRE FUNDO NIVELADOR BRANCO</t>
  </si>
  <si>
    <t>PORTA DE ALUMÍNIO DE ABRIR COM LAMBRI, COMM GUARNIÇÃO, FIXAÇÃO COM PARAFUSOS - FORNECIMENTO E INSTALAÇÃO. AF_08/2015</t>
  </si>
  <si>
    <t>LUMINÁRIAS TIPO CALHA, DE SOBREPOR, COM REATORES DE PARTIDA RÁPIDA E LÂMPADAS FLUORESCENTES 2X2X18W, COMPLETAS, FORNECIMENTO E INSTALAÇÃO</t>
  </si>
  <si>
    <t>RELE FOTOELETRICO P/ COMANDO DE ILUMINACAO EXTERNA 220V/1000W - FORNECIMENTO E INSTALACAO</t>
  </si>
  <si>
    <t>SUPORTE PARAFUSADO COM PLACA DE ENCAIXE 4" X 2" ALTO (2,00 M DO PISO) PARA PONTO ELÉTRICO - FORNECIMENTO E INSTALAÇÃO. AF_12/2015</t>
  </si>
  <si>
    <t>TOMADA MÉDIA DE EMBUTIR (1 MÓDULO), 2P+T 20 A, SEM SUPORTE E SEM PLACA - FORNECIMENTO E INSTALAÇÃO. AF_12/2015</t>
  </si>
  <si>
    <t>TOMADA ALTA DE EMBUTIR (1 MÓDULO), 2P+T 20 A, INCLUINDO SUPORTE E PLACA - FORNECIMENTO E INSTALAÇÃO. AF_12/2015</t>
  </si>
  <si>
    <t xml:space="preserve">INTERRUPTOR SIMPLES (1 MÓDULO), 10A/250V, INCLUINDO SUPORTE E PLACA - FORNECIMENTO E INSTALAÇÃO. AF_12/2015
FORNECIMENTO E INSTALAÇÃO. </t>
  </si>
  <si>
    <t>DISJUNTOR TERMOMAGNETICO TRIPOLAR
PADRAO NEMA (AMERICANO) 125 A 150A 240V,
FORNECIMENTO E INSTALACAO</t>
  </si>
  <si>
    <t>DISJUNTOR TERMOMAGNETICO TRIPOLAR PADRAO NEMA (AMERICANO) 60 A 100A 240V, FORNECIMENTO E INSTALACAO</t>
  </si>
  <si>
    <t>DISJUNTOR TERMOMAGNETICO MONOPOLAR PADRAO NEMA (AMERICANO) 10 A 30A 240V, FORNECIMENTO E INSTALACAO</t>
  </si>
  <si>
    <t>DISJUNTOR TERMOMAGNETICO MONOPOLAR PADRAO NEMA (AMERICANO) 35 A 50A 240V, FORNECIMENTO E INSTALACAO</t>
  </si>
  <si>
    <t>74130/003</t>
  </si>
  <si>
    <t>DISJUNTOR TERMOMAGNETICO BIPOLAR PADRAO NEMA (AMERICANO) 10 A 50A 240V, FORNECIMENTO E INSTALACAO</t>
  </si>
  <si>
    <t>TOMADA PARA TELEFONE DE 4 POLOS PADRAO TELEBRAS - FORNECIMENTO E INSTALACAO</t>
  </si>
  <si>
    <t>QUADRO DE DISTRIBUICAO PARA TELEFONE N.3, 40X40X12CM EM CHAPA METALICA, DE EMBUTIR, SEM ACESSORIOS, PADRAO TELEBRAS, FORNECIMENTO E INSTALACAO</t>
  </si>
  <si>
    <t>CAIXA DE PASSAGEM PARA TELEFONE 20X20X12CM (SOBREPOR) FORNECIMENTO E INSTALACAO</t>
  </si>
  <si>
    <t>VASO SANITARIO SIFONADO CONVENCIONAL COM LOUÇA BRANCA - FORNECIMENTO E INSTALAÇÃO. AF_10/2016</t>
  </si>
  <si>
    <t>ASSENTO SANITARIO DE PLASTICO, TIPO CONVENCIONAL</t>
  </si>
  <si>
    <t>VASO SANITARIO SIFONADO CONVENCIONAL PARA PCD SEM FURO FRONTAL COM LOUÇA BRANCA SEM ASSENTO - FORNECIMENTO E INSTALAÇÃO. AF_10/2016
BRANCA, COM ASSENTO</t>
  </si>
  <si>
    <t>LAVATÓRIO LOUÇA BRANCA SUSPENSO, 29,5 X 39CM OU EQUIVALENTE, PADRÃO POPULAR - FORNECIMENTO E INSTALAÇÃO. AF_12/2013</t>
  </si>
  <si>
    <t>TANQUE DE LOUÇA BRANCA COM COLUNA, 30L OU EQUIVALENTE, INCLUSO SIFÃO FLEXÍVEL EM PVC, VÁLVULA PLÁSTICA E TORNEIRA DE PLÁSTICO - FORNECIMENTO E INSTALAÇÃO. AF_12/2013</t>
  </si>
  <si>
    <t>CHUVEIRO ELETRICO COMUM CORPO PLASTICO TIPO DUCHA, FORNECIMENTO E INSTALACAO</t>
  </si>
  <si>
    <t>VALVULA DESCARGA 1.1/2" COM REGISTRO, ACABAMENTO EM METAL CROMADO - FORNECIMENTO E INSTALACAO</t>
  </si>
  <si>
    <t>TUBO PVC DN 75 MM PARA DRENAGEM - FORNECIMENTO E INSTALACAO</t>
  </si>
  <si>
    <t>TUBO PVC, SERIE NORMAL, ESGOTO PREDIAL, DN 100 MM, FORNECIDO E INSTALADO EM RAMAL DE DESCARGA OU RAMAL DE ESGOTO SANITÁRIO. AF_12/2014</t>
  </si>
  <si>
    <t>AJUDANTE DE PEDREIRO</t>
  </si>
  <si>
    <t>COMP 09</t>
  </si>
  <si>
    <t>COMP 10</t>
  </si>
  <si>
    <t xml:space="preserve">PAPEL KRAFT BETUMADO
</t>
  </si>
  <si>
    <t>JUNCAO SIMPLES, PVC, DN 75 X 50 MM, SERIE NORMAL PARA ESGOTO PREDIAL</t>
  </si>
  <si>
    <t>TE SANITARIO, PVC, DN 50 X 50 MM, SERIE NORMAL, PARA ESGOTO PREDIAL</t>
  </si>
  <si>
    <t>COBERTURA EM TELHA CERÂMICA TIPO ROMANA, EXCLUINDO MADEIRAMENTO</t>
  </si>
  <si>
    <t>COMP</t>
  </si>
  <si>
    <t>JOGO DE FERRAGENS CROMADAS P/ PORTA DE VIDRO TEMPERADO, UMA FOLHA COMPOSTA: DOBRADICA SUPERIOR (101) E INFERIOR (103),TRINCO (502), FECHADURA (520),CONTRA FECHADURA (531),COM CAPUCHINHO</t>
  </si>
  <si>
    <t>VIDRACEIRO</t>
  </si>
  <si>
    <t>PORTA DE VIDRO TEMPERADO INCOLOR, 2 FOLHAS DE ABRIR, E=10MM (1,60x2,10M) CV02</t>
  </si>
  <si>
    <t>VERGA PRÉ-MOLDADA PARA JANELAS COM ATÉ 1,5 M DE VÃO. AF_03/2016</t>
  </si>
  <si>
    <t>RODAPE EM MARMORITE, ALTURA 10CM</t>
  </si>
  <si>
    <t>ALVENARIA DE VEDAÇÃO DE BLOCOS CERÂMICOS FURADOS NA HORIZONTAL DE 9X19X19CM (ESPESSURA 9CM) DE PAREDES COM ÁREA LÍQUIDA MAIOR OU IGUAL A 6M² SEM VÃOS E ARGAMASSA DE ASSENTAMENTO COM PREPARO MANUAL. AF_06/2014</t>
  </si>
  <si>
    <t>042213.2.4</t>
  </si>
  <si>
    <t>85172</t>
  </si>
  <si>
    <t>ALAMBRADO EM MOUROES DE CONCRETO "T", ALTURA LIVRE 2M, ESPACADOS A CADA 2M, COM TELA DE ARAME GALVANIZADO, FIO 14 BWG E MALHA QUADRADA 5X5CM</t>
  </si>
  <si>
    <t>PORTAO DE FERRO COM VARA 1/2", COM REQUADRO</t>
  </si>
  <si>
    <t>74100/001</t>
  </si>
  <si>
    <t>87893</t>
  </si>
  <si>
    <t>CHAPISCO APLICADO EM ALVENARIA (SEM PRESENÇA DE VÃOS) E ESTRUTURAS DE CONCRETO DE FACHADA, COM COLHER DE PEDREIRO. ARGAMASSA TRAÇO 1:3 COM PREPARO MANUAL. AF_06/2014</t>
  </si>
  <si>
    <t>PINTURA A CAL VIRGEM, SOBRE MURO DE CONCRETO</t>
  </si>
  <si>
    <t>ALVENARIA - VEDAÇÃO</t>
  </si>
  <si>
    <t>LUMINARIA TIPO CALHA, DE SOBREPOR, COM REATOR DE PARTIDA RAPIDA E LAMPADA FLUORESCENTE 2X40W, COMPLETA, FORNECIMENTO E INSTALACAO</t>
  </si>
  <si>
    <t>LUMINARIA TIPO TARTARUGA PARA AREA EXTERNA EM ALUMINIO, COM GRADE, PARA 1 LAMPADA, BASE E27, POTENCIA MAXIMA 40/60 W (NAO INCLUI LAMPADA)</t>
  </si>
  <si>
    <t>un</t>
  </si>
  <si>
    <t>LAVATÓRIO EM INOX PARA ESCOVAÇÃO, INCL VÁLVULAS E SIFÕES, COFORME PROJETO</t>
  </si>
  <si>
    <t>FITA VEDA ROSCA EM ROLOS DE 18 MM X 10 M (L X C)</t>
  </si>
  <si>
    <t xml:space="preserve">INTERRUPTOR 3 TECLAS, 10A/250V, SEM SUPORTE E SEM PLACA - 
FORNECIMENTO E INSTALAÇÃO. </t>
  </si>
  <si>
    <t>PARAFUSO DE LATAO COM ROSCA SOBERBA, CABECA CHATA E FENDA SIMPLES, DIAMETRO 4,8 MM, COMPRIMENTO 65 MM</t>
  </si>
  <si>
    <t>1 Placa = 1,5*3,0</t>
  </si>
  <si>
    <t>MURO / ALAMBRADO</t>
  </si>
  <si>
    <t>REVESTIMENTO CERÂMICO 20X25CM, ASSENTADA COM ARGAMASSA COLANTE, COM REJUNTAMENTO EM EPOXI</t>
  </si>
  <si>
    <t>PINTURA EPOXI, DUAS DEMAOS</t>
  </si>
  <si>
    <t>REGISTRO DE PRESSÃO BRUTO, LATÃO, ROSCÁVEL, 3/4", COM ACABAMENTO E CANOPLA CROMADOS. FORNECIDO E INSTALADO EM RAMAL DE ÁGUA. AF_12/2014</t>
  </si>
  <si>
    <t>TORNEIRA CROMADA DE MESA, 1/2" OU 3/4", PARA LAVATÓRIO, PADRÃO POPULAR - FORNECIMENTO E INSTALAÇÃO. AF_12/2013</t>
  </si>
  <si>
    <t>COMP 06</t>
  </si>
  <si>
    <t>INTERRUPTOR SIMPLES (4 MÓDULOS), 10A/250V, INCLUINDO SUPORTE E PLACA - FORNECIMENTO E INSTALAÇÃO. AF_12/2015</t>
  </si>
  <si>
    <t>INTERRUPTOR SIMPLES (2 MÓDULOS) COM INTERRUPTOR PARALELO (1 MÓDULO), 1 0A/250V, INCLUINDO SUPORTE E PLACA - FORNECIMENTO E INSTALAÇÃO.</t>
  </si>
  <si>
    <t>PONTO DE TOMADA RESIDENCIAL INCLUINDO TOMADA 10A/250V, CAIXA ELÉTRICA, ELETRODUTO, CABO, RASGO, QUEBRA E CHUMBAMENTO.</t>
  </si>
  <si>
    <t>CAIXILHO FIXO, DE ALUMINIO, PARA VIDRO</t>
  </si>
  <si>
    <t>H</t>
  </si>
  <si>
    <t>ESTRUTURA DE MADEIRA P/ COBERTURA CERÂMICA</t>
  </si>
  <si>
    <t>JANELA PROJETANTE ALUMINIO 0,80 X 2,00</t>
  </si>
  <si>
    <t>JANELA PROJETANTE ALUMINIO 2,20 X 2,00</t>
  </si>
  <si>
    <t>JANELA PROJETANTE ALUMÍNIO 0,80 X 1,00</t>
  </si>
  <si>
    <t>JANELA PROJETANTE ALUMÍNIO 0,80 X 1,50</t>
  </si>
  <si>
    <t>JANELA PROJETANTE ALUMÍNIO 0,40 X 1,00</t>
  </si>
  <si>
    <t>PORTA DE VIDRO 1,80 x 2,10</t>
  </si>
  <si>
    <t>PORTA DE VIDRO 1,60 X 2,10</t>
  </si>
  <si>
    <t>PORTA MADEIRA 0,90 X 2,10</t>
  </si>
  <si>
    <t>PORTA MADEIRA CORRER 0,90 X 2,10</t>
  </si>
  <si>
    <t xml:space="preserve">PORTA DE ALUMÍNIO </t>
  </si>
  <si>
    <t>CAIXILHO DE ALUMÍNIO PARA VIDRO FIXO</t>
  </si>
  <si>
    <t>ALVENARIA INTERNA + EXTERNA + TETO</t>
  </si>
  <si>
    <t>EM TORNO DA EDIFICAÇÃO + RUA FRENTE</t>
  </si>
  <si>
    <t>PINTURA EPOXI</t>
  </si>
  <si>
    <t>LUMINÁRIA DE EMERGÊNCIA 30 LEDS, POTÊNCIA 2W, BATERIA DE LÍTIO, AUTONOMIA DE 6 HORAS</t>
  </si>
  <si>
    <t>RACK 12U'S TIPO AUTOPORTANTE COM PORTA EM ACRÍLICO E CHAVE FRONTAL E LATERAL, COM 2 OU 4 VENT. DE TETO</t>
  </si>
  <si>
    <t>DATA</t>
  </si>
  <si>
    <t>PLUGMAIS DISTRIBUIDORA</t>
  </si>
  <si>
    <t>REDE DISTRIBUIDORA</t>
  </si>
  <si>
    <t>VALOR COTADO</t>
  </si>
  <si>
    <t>NOME DA EMPRESA</t>
  </si>
  <si>
    <t>CNPJ</t>
  </si>
  <si>
    <t>TELEFONE</t>
  </si>
  <si>
    <t>CONTATO</t>
  </si>
  <si>
    <t>GABRIEL</t>
  </si>
  <si>
    <t>RODRIGO</t>
  </si>
  <si>
    <t>(65)3648-5757</t>
  </si>
  <si>
    <t>(65)2123-0990</t>
  </si>
  <si>
    <t>(65)3634-6949</t>
  </si>
  <si>
    <t>07.388.781/0001-82</t>
  </si>
  <si>
    <t>36.902.971/0001-74</t>
  </si>
  <si>
    <t>11.138.453/0001-03</t>
  </si>
  <si>
    <t xml:space="preserve">BANCADA DE GRANITO CINZA POLIDO 150 X 60 CM, COM CUBA DE EMBUTIR DE AÇO INOXIDÁVEL MÉDIA, VÁLVULA AMERICANA EM METAL CROMADO, SIFÃO FLEXÍVEL EM PVC, ENGATE FLEXÍVEL 30 CM, TORNEIRA CROMADA LONGA DE PAREDE, 1/2 OU 3/4, PARA PIA DE COZINHA, PADRÃO POPULAR- FORNEC. E INSTAL. </t>
  </si>
  <si>
    <t>SISTEMA DE TRATAMENTO DE ESGOTO - TANQUE SÉPTICO</t>
  </si>
  <si>
    <t>ESCAVAÇÃO MANUAL DE VALAS. AF_03/2016</t>
  </si>
  <si>
    <t>PREPARO DE FUNDO DE VALA COM LARGURA MAIOR OU IGUAL A 1,5 M E MENOR QUE 2,5 M, EM LOCAL COM NÍVEL BAIXO DE INTERFERÊNCIA. AF_06/2016</t>
  </si>
  <si>
    <t>73964/006</t>
  </si>
  <si>
    <t>REATERRO DE VALA COM COMPACTAÇÃO MANUAL</t>
  </si>
  <si>
    <t>ALVENARIA EM TIJOLO CERAMICO MACICO 5X10X20CM 1 VEZ (ESPESSURA 20CM), ASSENTADO COM ARGAMASSA TRACO 1:2:8 (CIMENTO, CAL E AREIA)</t>
  </si>
  <si>
    <t>ALVENARIA EM TIJOLO CERAMICO MACICO 5X10X20CM 1/2 VEZ (ESPESSURA 10CM), ASSENTADO COM ARGAMASSA TRACO 1:2:8 (CIMENTO, CAL E AREIA)</t>
  </si>
  <si>
    <t>CONCRETO FCK = 25MPA, TRAÇO 1:2,3:2,7 (CIMENTO/ AREIA MÉDIA/ BRITA 1) - PREPARO MECÂNICO COM BETONEIRA 400 L. AF_07/2016</t>
  </si>
  <si>
    <t>TAMPA EM CONCRETO ARMADO 60X60X5CM P/CX INSPECAO/FOSSA SEPTICA</t>
  </si>
  <si>
    <t>ARMACAO EM TELA DE ACO SOLDADA NERVURADA Q-92, ACO CA-60, 4,2MM, MALHA 15X15CM</t>
  </si>
  <si>
    <t>CHAPISCO APLICADO EM ALVENARIAS E ESTRUTURAS DE CONCRETO INTERNAS, COM COLHER DE PEDREIRO. ARGAMASSA TRAÇO 1:3 COM PREPARO MANUAL.</t>
  </si>
  <si>
    <t>EMBOÇO, PARA RECEBIMENTO DE CERÂMICA, EM ARGAMASSA TRAÇO 1:2:8, PREPARMECÂNICO COM BETONEIRA 400L, APLICADO MANUALMENTE EM FACES INTERNAS DE PAREDES, PARA AMBIENTE COM ÁREA MENOR QUE 5M2, ESPESSURA DE 20MM, COM EXECUÇÃO DE TALISCAS.</t>
  </si>
  <si>
    <t>IMPERMEABILIZACAO DE ESTRUTURAS ENTERRADAS COM CIMENTO CRISTALIZANTE E ADESIVO LIQUIDO, ATE 7M DE PROFUNDIDADE.</t>
  </si>
  <si>
    <t>73929/004</t>
  </si>
  <si>
    <t>TUBO PVC, SERIE NORMAL, ESGOTO PREDIAL, DN 100 MM, FORNECIDO E INSTALADO EM RAMAL DE DESCARGA OU RAMAL DE ESGOTO SANITÁRIO.</t>
  </si>
  <si>
    <t>TE, PVC, SERIE NORMAL, ESGOTO PREDIAL, DN 100 X 100 MM, JUNTA ELÁSTICA, FORNECIDO E INSTALADO EM RAMAL DE DESCARGA OU RAMAL DE ESGOTO SANITÁ</t>
  </si>
  <si>
    <t>FORMA TABUA P/ CONCRETO EM FUNDACAO RADIER C/ REAPROVEITAMENTO 3X.</t>
  </si>
  <si>
    <t>74076/001</t>
  </si>
  <si>
    <t>ARMAÇÃO DE LAJE DE UMA ESTRUTURA CONVENCIONAL DE CONCRETO ARMADO EM UM A EDIFICAÇÃO TÉRREA OU SOBRADO UTILIZANDO AÇO CA-50 DE 10,0 MM - MONTAGEM</t>
  </si>
  <si>
    <t>SISTEMA DE TRATAMENTO DE ESGOTO - FILTRO ANAERÓBIO</t>
  </si>
  <si>
    <t>JOELHO 90 GRAUS, PVC, SERIE NORMAL, ESGOTO PREDIAL, DN 100 MM, JUNTA E LÁSTICA, FORNECIDO E INSTALADO EM RAMAL DE DESCARGA OU RAMAL DE ESGOTO SANITÁRIO. AF_12/2014</t>
  </si>
  <si>
    <t>LEITO FILTRANTE - FORN.E ENCHIMENTO C/ BRITA NO. 4</t>
  </si>
  <si>
    <t>73873/002</t>
  </si>
  <si>
    <t>SISTEMA DE TRATAMENTO DE ESGOTO - CAIXA DE DESINFECÇÃO</t>
  </si>
  <si>
    <t>SISTEMA DE TRATAMENTO DE ESGOTO - SUMIDOURO</t>
  </si>
  <si>
    <t>74198/002</t>
  </si>
  <si>
    <t>SUMIDOURO EM ALVENARIA DE TIJOLO CERAMICO MACIÇO DIAMETRO 1,40M E ALTURA 5,00M, COM TAMPA EM CONCRETO ARMADO DIAMETRO 1,60M E ESPESSURA 10CM</t>
  </si>
  <si>
    <t>TAMPA EM CONCRETO ARMADO  D=60X5CM P/CX INSPECAO/FOSSA SEPTICA</t>
  </si>
  <si>
    <t>COT 01</t>
  </si>
  <si>
    <t>FORNECIMENTO E INSTALAÇÃO DE TUBO DE COBRE CLASSE "A", DN = 1/2 " (15 MM), PARA INSTALACOES DE MEDIA PRESSAO PARA GASES COMBUSTIVEIS E MEDICINAIS INCLUSO CONEXÕES</t>
  </si>
  <si>
    <t>FORNECIMENTO E INSTALAÇÃO DE POSTO DE CONSUMO COMPLETO DUPLA RETENÇÃO</t>
  </si>
  <si>
    <t>FORNECIMENTO E INSTALAÇÃO DE FILTRO REGULADOR DE PRESSÃO 1/4"X1/2" BELL-AIR</t>
  </si>
  <si>
    <t>FORNECIMENTO E INSTALAÇÃO DE CENTRAL MANIFOLD COMPLETO PARA AR 4x4 COM 08 CHICOTES FLEXIVEIS OU SERPENTINA</t>
  </si>
  <si>
    <t>FORNECIMENTO E INSTALAÇÃO DE PAINEL DE ALARME PARA AR COMPRIMIDO</t>
  </si>
  <si>
    <t>VÁLVULA DE ESFERA BRUTA, BRONZE, ROSCÁVEL, 1/2 , INSTALADO EM RESERVA ÇÃO DE ÁGUA DE EDIFICAÇÃO QUE POSSUA RESERVATÓRIO DE FIBRA/FIBROCIMENTO - FORNECIMENTO E INSTALAÇÃO. AF_06/2016</t>
  </si>
  <si>
    <t>PREFEITURA MUNICIPAL DE VARZEA GRANDE</t>
  </si>
  <si>
    <t>SECRETARIA MUNICIPAL DE SAÚDE</t>
  </si>
  <si>
    <t xml:space="preserve">COORDENADORIA DE PROJETOS </t>
  </si>
  <si>
    <t>Referência:</t>
  </si>
  <si>
    <t>MUNICÍPIO:  VARZEA GRANDE- MT</t>
  </si>
  <si>
    <t>PLANILHA CONSOLIDADA</t>
  </si>
  <si>
    <t>SUB-TOTAL (R$)</t>
  </si>
  <si>
    <t>AMPLIAÇÃO</t>
  </si>
  <si>
    <t>1.0</t>
  </si>
  <si>
    <t>2.0</t>
  </si>
  <si>
    <t>3.0</t>
  </si>
  <si>
    <t>4.0</t>
  </si>
  <si>
    <t>6.0</t>
  </si>
  <si>
    <t>7.0</t>
  </si>
  <si>
    <t>8.0</t>
  </si>
  <si>
    <t>9.0</t>
  </si>
  <si>
    <t>10.0</t>
  </si>
  <si>
    <t>11.0</t>
  </si>
  <si>
    <t>INSTALAÇÕES HIDROSANITARIAS</t>
  </si>
  <si>
    <t>TOTAL DA OBRA =</t>
  </si>
  <si>
    <t>Importa o Presente Orçamento em:</t>
  </si>
  <si>
    <t>PONTOS DE HIDRAULICA</t>
  </si>
  <si>
    <t>INSTALAÇÕES HIDROSANITÁRIAS</t>
  </si>
  <si>
    <t>Sinapi 10/2017 s/ desoneração - Sinfra 00/0000</t>
  </si>
  <si>
    <t>COMP 19</t>
  </si>
  <si>
    <t>TAMPO GRANITO - COZINHA, ODOTOLOGICO E IMUNIZAÇÃO: 1,20 x 0,60 m</t>
  </si>
  <si>
    <t>PORTA DE MADEIRA, FOLHA MEDIA (NBR 15930) DE 100 X 210 CM, E = 35 MM, INCLUSO DOBRADIÇAS - FORNECIMENTO E INSTALAÇÃO.</t>
  </si>
  <si>
    <t>PORTA DE MADEIRA DE CORRER COMPLETA, FORNECIMENTO E INSTALAÇÃO (1,00X2,10) 3x</t>
  </si>
  <si>
    <t>PORTA PAPEL TOALHA</t>
  </si>
  <si>
    <t>TOALHEIRO PLASTICO TIPO DISPENSER PARA PAPEL TOALHA INTERFOLHADO</t>
  </si>
  <si>
    <t xml:space="preserve"> </t>
  </si>
  <si>
    <t>REMOÇÃO DE ENTULHO</t>
  </si>
  <si>
    <t>DEMOLIÇÃO DE PISO</t>
  </si>
  <si>
    <t>1.10</t>
  </si>
  <si>
    <t>DEMOLICAO MANUAL DE PISO / CONTRAPISO</t>
  </si>
  <si>
    <t>73801/001</t>
  </si>
  <si>
    <t>1.11</t>
  </si>
  <si>
    <t>72224</t>
  </si>
  <si>
    <t>72089</t>
  </si>
  <si>
    <t>MURO DE ARRIMO</t>
  </si>
  <si>
    <t>73846/1</t>
  </si>
  <si>
    <t>MURO DE ARRIMO CELULAR PECAS PRE-MOLDADAS CONCRETO EXCL FORMAS INCL CONFECCAO DAS PECAS MONTAGEM E COMPACTACAO DO SOLO DE ENCHIMENTO.</t>
  </si>
  <si>
    <t>2.2</t>
  </si>
  <si>
    <t>2.3</t>
  </si>
  <si>
    <t>1.2</t>
  </si>
  <si>
    <t>falta executar a laje e vigas da recepção</t>
  </si>
  <si>
    <t>ESTRUTURA E FUNDAÇÃO</t>
  </si>
  <si>
    <t>PILARES</t>
  </si>
  <si>
    <t>P54</t>
  </si>
  <si>
    <t>B</t>
  </si>
  <si>
    <t>Àrea de Forma</t>
  </si>
  <si>
    <t>Volume Concreto</t>
  </si>
  <si>
    <t>N2</t>
  </si>
  <si>
    <t>Nº</t>
  </si>
  <si>
    <t>Total kg</t>
  </si>
  <si>
    <t>L (cm)</t>
  </si>
  <si>
    <t>Total (cm)</t>
  </si>
  <si>
    <t>kg/m</t>
  </si>
  <si>
    <t>N12</t>
  </si>
  <si>
    <t>N13</t>
  </si>
  <si>
    <t>N14</t>
  </si>
  <si>
    <t>N18</t>
  </si>
  <si>
    <t>P75</t>
  </si>
  <si>
    <t>N1</t>
  </si>
  <si>
    <t>N3</t>
  </si>
  <si>
    <t>N15</t>
  </si>
  <si>
    <t>N16</t>
  </si>
  <si>
    <t>N17</t>
  </si>
  <si>
    <t>P76</t>
  </si>
  <si>
    <t>N20</t>
  </si>
  <si>
    <t>N21</t>
  </si>
  <si>
    <t>N22</t>
  </si>
  <si>
    <t>VIGAS</t>
  </si>
  <si>
    <t>VD7</t>
  </si>
  <si>
    <t>N39</t>
  </si>
  <si>
    <t>N112</t>
  </si>
  <si>
    <t>N143</t>
  </si>
  <si>
    <t>N144</t>
  </si>
  <si>
    <t>Ø 5,0 MM</t>
  </si>
  <si>
    <t>Ø 12,5 MM</t>
  </si>
  <si>
    <t>Ø 8,0 MM</t>
  </si>
  <si>
    <t>Ø 10,0 MM</t>
  </si>
  <si>
    <t>VD9</t>
  </si>
  <si>
    <t>N114</t>
  </si>
  <si>
    <t>N145</t>
  </si>
  <si>
    <t>N146</t>
  </si>
  <si>
    <t>VD12</t>
  </si>
  <si>
    <t>N4</t>
  </si>
  <si>
    <t>N116</t>
  </si>
  <si>
    <t>N117</t>
  </si>
  <si>
    <t>VD20</t>
  </si>
  <si>
    <t>N127</t>
  </si>
  <si>
    <t>N147</t>
  </si>
  <si>
    <t>N150</t>
  </si>
  <si>
    <t>N151</t>
  </si>
  <si>
    <t>P46</t>
  </si>
  <si>
    <t>P47</t>
  </si>
  <si>
    <t>CA60</t>
  </si>
  <si>
    <t>CA50</t>
  </si>
  <si>
    <t>N9</t>
  </si>
  <si>
    <t>N10</t>
  </si>
  <si>
    <t>N11</t>
  </si>
  <si>
    <t>P48</t>
  </si>
  <si>
    <t>TERMINAR</t>
  </si>
  <si>
    <t>EXECUTAR</t>
  </si>
  <si>
    <t>P59</t>
  </si>
  <si>
    <t>P60</t>
  </si>
  <si>
    <t>P67</t>
  </si>
  <si>
    <t>P68</t>
  </si>
  <si>
    <t>P70</t>
  </si>
  <si>
    <t>P71</t>
  </si>
  <si>
    <t>P74</t>
  </si>
  <si>
    <t>DIFERENTE DO DETALHAMENTO POIS É NECESSÁRIO QUE O PILAR CONTINUE ATÉ A PLATIBANDA</t>
  </si>
  <si>
    <t>P77</t>
  </si>
  <si>
    <t>P1; P2; P3; P4; P15; P27; P28; P29; P39; P40; P41; P42; P52; P53; P55; P65</t>
  </si>
  <si>
    <t>N7</t>
  </si>
  <si>
    <t>VD1 VD2 VD3 VD4 VD6 VD15 VD16 VD17 VD24 VD25 VD26</t>
  </si>
  <si>
    <t>VALORES ESTIMADOS</t>
  </si>
  <si>
    <t>NX</t>
  </si>
  <si>
    <t>VE1 VE2 VE3 VE4</t>
  </si>
  <si>
    <t>LAJE</t>
  </si>
  <si>
    <t>L1</t>
  </si>
  <si>
    <t>Ø 6,3 MM</t>
  </si>
  <si>
    <t>N40</t>
  </si>
  <si>
    <t>N76</t>
  </si>
  <si>
    <t>N87</t>
  </si>
  <si>
    <t>N85</t>
  </si>
  <si>
    <t>L2</t>
  </si>
  <si>
    <t>N44</t>
  </si>
  <si>
    <t>L3</t>
  </si>
  <si>
    <t>N78</t>
  </si>
  <si>
    <t>N75</t>
  </si>
  <si>
    <t>L4</t>
  </si>
  <si>
    <t>N77</t>
  </si>
  <si>
    <t>L5</t>
  </si>
  <si>
    <t>N79</t>
  </si>
  <si>
    <t>L6</t>
  </si>
  <si>
    <t>(45+10)X0,3X2,50</t>
  </si>
  <si>
    <t>BEIRAL</t>
  </si>
  <si>
    <t>A</t>
  </si>
  <si>
    <t>RECEPÇÃO</t>
  </si>
  <si>
    <t>FUNDO DIREITA</t>
  </si>
  <si>
    <t>SANITÁRIOS PCD</t>
  </si>
  <si>
    <t>FUNDOS</t>
  </si>
  <si>
    <t>ESQUERDA FUNDO</t>
  </si>
  <si>
    <t>DIREITA FRENTE</t>
  </si>
  <si>
    <t>DIREITA FUNDO</t>
  </si>
  <si>
    <t>CORREDOR</t>
  </si>
  <si>
    <t>DIREITA</t>
  </si>
  <si>
    <t>ESQUERDA</t>
  </si>
  <si>
    <t>EXECUÇÃO DE PASSEIO (CALÇADA) COM CONCRETO MOLDADO IN LOCO, USINADO, ACABAMENTO CONVENCIONAL, ESPESSURA 6 CM, ARMADO.</t>
  </si>
  <si>
    <t>EXECUÇÃO DE PISO DE CONCRETO COM CONCRETO MOLDADO IN LOCO, USINADO, ACABAMENTO CONVENCIONAL, ESPESSURA 6 CM, ARMADO.</t>
  </si>
  <si>
    <t>CHAPISCO (EXTERNO) APLICADO EM ALVENARIAS COM COLHER DE PEDREIRO. ARGAMASSA TRAÇO 1:3 COM PREPARO EM BETONEIRA 400L. AF_06/2014</t>
  </si>
  <si>
    <t>CHAPISCO / REBOCO EXTERNO</t>
  </si>
  <si>
    <t>3.3</t>
  </si>
  <si>
    <t>EXECUÇÃO DE MURETA</t>
  </si>
  <si>
    <t>2.5</t>
  </si>
  <si>
    <t>CERCAMENTO</t>
  </si>
  <si>
    <t>EMASSAMENTO E PINTURA</t>
  </si>
  <si>
    <t>SANITÁRIO 1</t>
  </si>
  <si>
    <t>SANITÁRIO 2</t>
  </si>
  <si>
    <t>SANITÁRIO 3</t>
  </si>
  <si>
    <t>CIRCULAÇÃO</t>
  </si>
  <si>
    <t>CONSULTÓRIO ODONTO</t>
  </si>
  <si>
    <t>ESTOCAGEM</t>
  </si>
  <si>
    <t>COLETA</t>
  </si>
  <si>
    <t>INALAÇÃO</t>
  </si>
  <si>
    <t>CONSULTÓRIO 1</t>
  </si>
  <si>
    <t>CONSULTÓRIO 2</t>
  </si>
  <si>
    <t>OBSERVAÇÃO</t>
  </si>
  <si>
    <t>BANHEIRO PCD</t>
  </si>
  <si>
    <t>DML</t>
  </si>
  <si>
    <t>CONSULTÓRIO ODONTO 2</t>
  </si>
  <si>
    <t>ATIVIDADES COLETIVAS</t>
  </si>
  <si>
    <t>VACINAS</t>
  </si>
  <si>
    <t>ACOLHIMENTO 1</t>
  </si>
  <si>
    <t>ACOLHIMENTO 2</t>
  </si>
  <si>
    <t>ACOLHIMENTO 3</t>
  </si>
  <si>
    <t>ACOLHIMENTO 4</t>
  </si>
  <si>
    <t>CURATIVOS</t>
  </si>
  <si>
    <t>CIRCULAÇÃO 2</t>
  </si>
  <si>
    <t>GERENCIA</t>
  </si>
  <si>
    <t>COPA</t>
  </si>
  <si>
    <t>BANHEIRO FUNC FEM</t>
  </si>
  <si>
    <t>ESTERILIZAÇÃO</t>
  </si>
  <si>
    <t>EXPURGO</t>
  </si>
  <si>
    <t>BANHEIRO FUNC MASC</t>
  </si>
  <si>
    <t>ALMOXARIFADO</t>
  </si>
  <si>
    <t>l (porta)</t>
  </si>
  <si>
    <t>l (janela)</t>
  </si>
  <si>
    <t>N° (janelas)</t>
  </si>
  <si>
    <t>Área Teto</t>
  </si>
  <si>
    <t>h (porta)</t>
  </si>
  <si>
    <t>h (janela)</t>
  </si>
  <si>
    <t>Rodapé</t>
  </si>
  <si>
    <t>Pintura Parede</t>
  </si>
  <si>
    <t>N° (portas)</t>
  </si>
  <si>
    <t>RESÍDUOS COMUNS</t>
  </si>
  <si>
    <t>RESÍDUOS CONTAMINADOS</t>
  </si>
  <si>
    <t>RESÍDUOS RECICLÁVEIS</t>
  </si>
  <si>
    <t>TOTAL AZULEJO</t>
  </si>
  <si>
    <t>TOTAL RODAPÉ GRANILITE</t>
  </si>
  <si>
    <t>TOTAL PINTURA TETO</t>
  </si>
  <si>
    <t>TOTAL PINTURA PAREDE EPÓXI</t>
  </si>
  <si>
    <t>TOTAL PINTURA PAREDE ACRILICO</t>
  </si>
  <si>
    <t>EXTERNO</t>
  </si>
  <si>
    <t>PLATIBANDA</t>
  </si>
  <si>
    <t>TOTAL PINTURA PAREDE EXTERNO</t>
  </si>
  <si>
    <t>PISO CONCRETO</t>
  </si>
  <si>
    <t>CONFORME PROJETO</t>
  </si>
  <si>
    <t>MEIO FIO</t>
  </si>
  <si>
    <t>SARJETA</t>
  </si>
  <si>
    <t>MEIO FIO X 0,45</t>
  </si>
  <si>
    <t>LAJE RECEPÇÃO</t>
  </si>
  <si>
    <t xml:space="preserve">(EM TORNO DA EDIFICAÇÃO + RUA FRENTE) </t>
  </si>
  <si>
    <t>AREA DE PINTURA (ACRILICO + EPOXI)</t>
  </si>
  <si>
    <t>PINTURA ACRILICA</t>
  </si>
  <si>
    <t>PINTURA TEXTURA</t>
  </si>
  <si>
    <t>ÁREA EXTERNA</t>
  </si>
  <si>
    <t>CONFORME CALCULO</t>
  </si>
  <si>
    <t>EMASSAMENTO PAREDES</t>
  </si>
  <si>
    <t>EMASSAMENTO TETO</t>
  </si>
  <si>
    <t>CHAPISCO TETO</t>
  </si>
  <si>
    <t>EMBOCO TETO</t>
  </si>
  <si>
    <t>LAJE A EXECUTAR</t>
  </si>
  <si>
    <t>ÁREA DE PINTURA</t>
  </si>
  <si>
    <t>TEXTURA TETO</t>
  </si>
  <si>
    <t>BALANÇO BEIRAL</t>
  </si>
  <si>
    <t>ÁREA DO TERRENO MINIMA=45x33,2-485,5</t>
  </si>
  <si>
    <t>VISTORIA IN LOCO</t>
  </si>
  <si>
    <t>RETIRADA DE TELHA CERAMICA</t>
  </si>
  <si>
    <t>RECOLOCAÇÃO DE TELHAS CERAMICAS TIPO CONSIDERANDO REAPROVEITAMENTO DE MATERIAL</t>
  </si>
  <si>
    <t>DEMOLIÇÃO DE ESTRUTURA DE MADEIRA</t>
  </si>
  <si>
    <t>1.8</t>
  </si>
  <si>
    <t>72895</t>
  </si>
  <si>
    <t>CARGA, MANOBRA E DESCARGA DE MATERIAIS DIVERSOS, COM CAMINHÃO BASCULANTE 6 M3, CARGA E DESCARGA MANUAIS</t>
  </si>
  <si>
    <t>72887</t>
  </si>
  <si>
    <t>TRANSPORTE COMERCIAL COM CAMINHÃO BASCULANTE 6 M3 , RODOVIA PAVIMENTADA</t>
  </si>
  <si>
    <t>M3XKM</t>
  </si>
  <si>
    <t>TRANSPORTE DE ENTULHO</t>
  </si>
  <si>
    <t>DEMOLIÇÃO DE PISO X 6 CM + DEMOLIÇÃO DE ESTRUTURA X 0,05</t>
  </si>
  <si>
    <t>ESTRUTURA METALICA EM TESOURAS OU TRELICAS, VAO LIVRE DE 12M, FORNECIMENTO E MONTAGEM, NAO SENDO CONSIDERADOS OS FECHAMENTOS METALICOS, AS COLUNAS, OS SERVICOS GERAIS EM ALVENARIA E CONCRETO, AS TELHAS DE COBERTURA E A PINTURA DE ACABAMENTO</t>
  </si>
  <si>
    <t>TELHAMENTO COM TELHA METÁLICA TRAPEZOIDAL A = 40MM E = 0,5 MM, COM ATÉ 2 ÁGUAS, INCLUSO IÇAMENTO.</t>
  </si>
  <si>
    <t>FECHAMENTO COM PLACA CIMENTÍCIA LISA E = 6MM, DE 1,20 X 3,00M (SEM AMIANTO)</t>
  </si>
  <si>
    <t>FORRO EM RÉGUAS DE PVC, FRISADO, PARA AMBIENTES RESIDENCIAIS, INCLUSIVE ESTRUTURA DE FIXAÇÃO. AF_05/2017_P</t>
  </si>
  <si>
    <t>2.6</t>
  </si>
  <si>
    <t>2.7</t>
  </si>
  <si>
    <t>2.8</t>
  </si>
  <si>
    <t>2.9</t>
  </si>
  <si>
    <t>92726</t>
  </si>
  <si>
    <t>CONCRETAGEM DE VIGAS E LAJES, FCK=20 MPA, PARA LAJES MACIÇAS OU NERVURADAS COM USO DE BOMBA EM EDIFICAÇÃO COM ÁREA MÉDIA DE LAJES MAIOR QUE 20 M² - LANÇAMENTO, ADENSAMENTO E ACABAMENTO. AF_12/2015</t>
  </si>
  <si>
    <t>MONTAGEM E DESMONTAGEM DE FÔRMA DE LAJE MACIÇA COM ÁREA MÉDIA MAIOR QUE 20 M², PÉ-DIREITO SIMPLES, EM CHAPA DE MADEIRA COMPENSADA RESINADA, 2 UTILIZAÇÕES. AF_12/2015</t>
  </si>
  <si>
    <t>Área de Forma Laje</t>
  </si>
  <si>
    <t>Volume Concreto Vigas e Laje</t>
  </si>
  <si>
    <t>Volume Concreto Pilar</t>
  </si>
  <si>
    <t>FORMA PILAR VIGA</t>
  </si>
  <si>
    <t>FORMA LAJE</t>
  </si>
  <si>
    <t>Área de Forma Vigas e Pilar</t>
  </si>
  <si>
    <t>CONCRETAGEM PILAR</t>
  </si>
  <si>
    <t>CONCRETAGEM VIGA E LAJE</t>
  </si>
  <si>
    <t>3.6</t>
  </si>
  <si>
    <t>3.7</t>
  </si>
  <si>
    <t>CHAPA DE MADEIRA COMPENSADA PLASTIFICADA PARA FORMA DE CONCRETO, DE 2,20 X 1,10 M, E = 12 MM(FABRICAÇÃO, MONTAGEM E DESMONTAGEM) VIGAS E PILARES</t>
  </si>
  <si>
    <t>CONCRETO USINADO BOMBEAVEL, CLASSE DE RESISTENCIA C45, COM BRITA 0 E 1, SLUMP = 100 +/- 20 MM, INCLUI SERVICO DE BOMBEAMENTO (NBR 8953) PILARES</t>
  </si>
  <si>
    <t>6.1</t>
  </si>
  <si>
    <t>6.2</t>
  </si>
  <si>
    <t>IMPERMEABILIZACAO DE SUPERFICIE COM MANTA ASFALTICA (COM POLIMEROS TIPO APP), E=3 MM</t>
  </si>
  <si>
    <t>1,60</t>
  </si>
  <si>
    <t>PROTEÇÃO MECÂNICA COM ARGAMASSA TRAÇO 1:3 (CIMENTO E AREIA), ESPESSURA 2 CM - Lajes</t>
  </si>
  <si>
    <t>72226</t>
  </si>
  <si>
    <t>RETIRADA DE ESTRUTURA DE MADEIRA PONTALETADA PARA TELHAS CERAMICAS OU DE VIDRO</t>
  </si>
  <si>
    <t>REMOÇÃO DE TELHA CERâMICA COM APROVEITAMENTO</t>
  </si>
  <si>
    <t>CONSIDERANDO 30 KM</t>
  </si>
  <si>
    <t>93,03-3-1,2</t>
  </si>
  <si>
    <t>CHAPISCO E PINTURA</t>
  </si>
  <si>
    <t>88,3x0,8x2 (lados)</t>
  </si>
  <si>
    <t>113,68 - 1,2 + 3,0 (portão)</t>
  </si>
  <si>
    <t>(93,03) x 2,2</t>
  </si>
  <si>
    <t>4.3</t>
  </si>
  <si>
    <t>4.4</t>
  </si>
  <si>
    <t>4.5</t>
  </si>
  <si>
    <t>4.6</t>
  </si>
  <si>
    <t>4.7</t>
  </si>
  <si>
    <t>5.1</t>
  </si>
  <si>
    <t>5.2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</si>
  <si>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</si>
  <si>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</si>
  <si>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</si>
  <si>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</si>
  <si>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</si>
  <si>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</si>
  <si>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</si>
  <si>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</si>
  <si>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</si>
  <si>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6.12</t>
  </si>
  <si>
    <t>6.13</t>
  </si>
  <si>
    <t>6.14</t>
  </si>
  <si>
    <t>6.15</t>
  </si>
  <si>
    <t>6.16</t>
  </si>
  <si>
    <t>6.17</t>
  </si>
  <si>
    <t>6.18</t>
  </si>
  <si>
    <t>6.19</t>
  </si>
  <si>
    <t>6.20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</si>
  <si>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</si>
  <si>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</si>
  <si>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</si>
  <si>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</si>
  <si>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</si>
  <si>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</si>
  <si>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</si>
  <si>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</si>
  <si>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</si>
  <si>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</si>
  <si>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7.11</t>
  </si>
  <si>
    <t>8.1</t>
  </si>
  <si>
    <t>8.2</t>
  </si>
  <si>
    <t>8.3</t>
  </si>
  <si>
    <t>8.4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</si>
  <si>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</si>
  <si>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</si>
  <si>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</si>
  <si>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</si>
  <si>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</si>
  <si>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</si>
  <si>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</si>
  <si>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</si>
  <si>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</si>
  <si>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8.14</t>
  </si>
  <si>
    <t>8.15</t>
  </si>
  <si>
    <t>8.16</t>
  </si>
  <si>
    <t>8.17</t>
  </si>
  <si>
    <t>8.18</t>
  </si>
  <si>
    <t>8.19</t>
  </si>
  <si>
    <t>8.20</t>
  </si>
  <si>
    <t>8.21</t>
  </si>
  <si>
    <t>8.22</t>
  </si>
  <si>
    <t>8.23</t>
  </si>
  <si>
    <t>8.24</t>
  </si>
  <si>
    <t>8.25</t>
  </si>
  <si>
    <t>8.26</t>
  </si>
  <si>
    <t>8.27</t>
  </si>
  <si>
    <t>8.28</t>
  </si>
  <si>
    <t>8.29</t>
  </si>
  <si>
    <t>8.30</t>
  </si>
  <si>
    <t>9.1</t>
  </si>
  <si>
    <t>9.2</t>
  </si>
  <si>
    <t>9.3</t>
  </si>
  <si>
    <t>9.4</t>
  </si>
  <si>
    <t>9.5</t>
  </si>
  <si>
    <t>9.6</t>
  </si>
  <si>
    <t>10.1</t>
  </si>
  <si>
    <t>10.2</t>
  </si>
  <si>
    <t>10.3</t>
  </si>
  <si>
    <t>10.4</t>
  </si>
  <si>
    <t>10.5</t>
  </si>
  <si>
    <t>10.6</t>
  </si>
  <si>
    <t>11.1</t>
  </si>
  <si>
    <t>11.2</t>
  </si>
  <si>
    <t xml:space="preserve">ENDEREÇO: RUA NOVA OLIMPIA S/N - COHAB CABO MICHEL </t>
  </si>
  <si>
    <t>OBRA: UNIDADE BÁSICA DE SAÚDE - PADRÃO 3</t>
  </si>
  <si>
    <t>8.32</t>
  </si>
  <si>
    <t>8.33</t>
  </si>
  <si>
    <t>8.34</t>
  </si>
  <si>
    <t>8.35</t>
  </si>
  <si>
    <t>9.7</t>
  </si>
  <si>
    <t>9.8</t>
  </si>
  <si>
    <t>9.9</t>
  </si>
  <si>
    <t>9.10</t>
  </si>
  <si>
    <t>9.11</t>
  </si>
  <si>
    <t>9.12</t>
  </si>
  <si>
    <t>9.13</t>
  </si>
  <si>
    <t>9.14</t>
  </si>
  <si>
    <t>9.15</t>
  </si>
  <si>
    <t>9.16</t>
  </si>
  <si>
    <t>9.17</t>
  </si>
  <si>
    <t>9.18</t>
  </si>
  <si>
    <t>9.19</t>
  </si>
  <si>
    <t>9.20</t>
  </si>
  <si>
    <t>9.21</t>
  </si>
  <si>
    <t>9.22</t>
  </si>
  <si>
    <t>9.23</t>
  </si>
  <si>
    <t>9.24</t>
  </si>
  <si>
    <t>9.25</t>
  </si>
  <si>
    <t>9.26</t>
  </si>
  <si>
    <t>9.27</t>
  </si>
  <si>
    <t>9.28</t>
  </si>
  <si>
    <t>9.29</t>
  </si>
  <si>
    <t>9.30</t>
  </si>
  <si>
    <t>9.31</t>
  </si>
  <si>
    <t>9.32</t>
  </si>
  <si>
    <t>9.33</t>
  </si>
  <si>
    <t>9.34</t>
  </si>
  <si>
    <t>9.35</t>
  </si>
  <si>
    <t>9.36</t>
  </si>
  <si>
    <t>9.37</t>
  </si>
  <si>
    <t>9.38</t>
  </si>
  <si>
    <t>9.39</t>
  </si>
  <si>
    <t>9.40</t>
  </si>
  <si>
    <t>9.41</t>
  </si>
  <si>
    <t>9.42</t>
  </si>
  <si>
    <t>9.43</t>
  </si>
  <si>
    <t>9.44</t>
  </si>
  <si>
    <t>9.45</t>
  </si>
  <si>
    <t>9.46</t>
  </si>
  <si>
    <t>9.47</t>
  </si>
  <si>
    <t>9.48</t>
  </si>
  <si>
    <t>9.49</t>
  </si>
  <si>
    <t>9.50</t>
  </si>
  <si>
    <t>9.51</t>
  </si>
  <si>
    <t>9.52</t>
  </si>
  <si>
    <t>9.53</t>
  </si>
  <si>
    <t>9.54</t>
  </si>
  <si>
    <t>9.55</t>
  </si>
  <si>
    <t>9.56</t>
  </si>
  <si>
    <t>9.57</t>
  </si>
  <si>
    <t>9.58</t>
  </si>
  <si>
    <t>9.59</t>
  </si>
  <si>
    <t>9.60</t>
  </si>
  <si>
    <t>9.61</t>
  </si>
  <si>
    <t>9.62</t>
  </si>
  <si>
    <t>9.63</t>
  </si>
  <si>
    <t>9.64</t>
  </si>
  <si>
    <t>9.65</t>
  </si>
  <si>
    <t>9.66</t>
  </si>
  <si>
    <t>9.67</t>
  </si>
  <si>
    <t>9.68</t>
  </si>
  <si>
    <t>9.69</t>
  </si>
  <si>
    <t xml:space="preserve">PREFEITURA MUNICIPAL DE VARZEA GRANDE </t>
  </si>
  <si>
    <t>Assunto:</t>
  </si>
  <si>
    <t>Data da Medição:</t>
  </si>
  <si>
    <t>BOLETIM DE MEDIÇÃO CONTRATO</t>
  </si>
  <si>
    <t>Data Ordem Serviço:</t>
  </si>
  <si>
    <t>Prazo Execução:</t>
  </si>
  <si>
    <t>Valor do Contrato:</t>
  </si>
  <si>
    <t>%</t>
  </si>
  <si>
    <t>MEDIÇÃO DO CONTRATO (R$)</t>
  </si>
  <si>
    <t>ACUMULADO GERAL (R$)</t>
  </si>
  <si>
    <t>SALDO GERAL (R$)</t>
  </si>
  <si>
    <t>MEDIÇÃO DO CONTRATO:</t>
  </si>
  <si>
    <t>TOTAL A PAGAR:</t>
  </si>
  <si>
    <t>IMPORTA O VALOR TOTAL DE SALDO:</t>
  </si>
  <si>
    <t>CENTO E DEZENOVE MIL DUZENTOS E DOZE REAIS E TRINSTA E OITO CENTAVOS</t>
  </si>
  <si>
    <t>______________________________</t>
  </si>
  <si>
    <t>______________________</t>
  </si>
  <si>
    <t>_____________________________________________</t>
  </si>
  <si>
    <t>FISCAL</t>
  </si>
  <si>
    <t>EMPRESA</t>
  </si>
  <si>
    <t>SECRETARIO MUNICIPAL DE SAÚDE DE VÁRZEA GRANDE</t>
  </si>
  <si>
    <t>JADERSON DIEGO FIGUEIREDO</t>
  </si>
  <si>
    <t>DIÓGENES MARCONDES</t>
  </si>
  <si>
    <t>1ª Med Contrato</t>
  </si>
  <si>
    <t>COORDENADORIA DE PROJETOS E OBRAS</t>
  </si>
  <si>
    <t>Data da retomada do inicio:</t>
  </si>
  <si>
    <t>VALOR CONTRATO (R$)</t>
  </si>
  <si>
    <t>XXX</t>
  </si>
  <si>
    <t>BDI.:</t>
  </si>
  <si>
    <t>REF.:</t>
  </si>
  <si>
    <r>
      <rPr>
        <b/>
        <sz val="10"/>
        <rFont val="Arial"/>
        <family val="2"/>
      </rPr>
      <t>Objeto:</t>
    </r>
    <r>
      <rPr>
        <sz val="10"/>
        <rFont val="Arial"/>
        <family val="2"/>
      </rPr>
      <t xml:space="preserve"> CONTRATAÇÃO DA EMPRESA DE ENGENHARIA, COM FORNECIMENTO DE MATERIAL, MÃO DE OBRA NESCESSARIA PARA EXECUTAR A CONSTRUÇÃO DAS UNIDADES BASICAS DE SAUDE ESPECIFICADAS</t>
    </r>
  </si>
  <si>
    <r>
      <rPr>
        <b/>
        <sz val="10"/>
        <color theme="1"/>
        <rFont val="Arial"/>
        <family val="2"/>
      </rPr>
      <t>Obra:</t>
    </r>
    <r>
      <rPr>
        <sz val="10"/>
        <color theme="1"/>
        <rFont val="Arial"/>
        <family val="2"/>
      </rPr>
      <t xml:space="preserve"> UNIDADE BÁSICA DE SAÚDE - PADRÃO 3</t>
    </r>
  </si>
  <si>
    <r>
      <rPr>
        <b/>
        <sz val="10"/>
        <rFont val="Arial"/>
        <family val="2"/>
      </rPr>
      <t>Endereço:</t>
    </r>
    <r>
      <rPr>
        <sz val="10"/>
        <rFont val="Arial"/>
        <family val="2"/>
      </rPr>
      <t xml:space="preserve"> RUA NOVA OLIMPIA S/N - COHAB CABO MICHEL</t>
    </r>
  </si>
  <si>
    <t>comp = composição de preços(itens que não constam SINAPI)</t>
  </si>
  <si>
    <t>EMBOÇO, PARA RECEBIMENTO DE CERÂMICA, EM ARGAMASSA TRAÇO 1:2:8, PREPARO MECÂNICO COM BETONEIRA 400L, APLICADO MANUALMENTE EM FACES INTERNAS DE PAREDES, PARA AMBIENTE COM ÁREA MAIOR QUE 10M2, ESPESSURA DE 20MM, COM EXECUÇÃO DE TALISCAS. AF_06/2014</t>
  </si>
  <si>
    <t>VARZEA GRANDE - MATO GROSSO</t>
  </si>
  <si>
    <t>02515.8.1.1- INSTAL/LIGACAO PROVISORIA ELETRICA BAIXA TENSÃO P/CANTEIRO DE OBRA- CHAVE 100A CARGA 3KWH,20CV EXCL FORN MEDIDOR - instalação mínima - unidade: und</t>
  </si>
  <si>
    <t>Caixa em chapa de aço de entrada de energia para dois
medidores externa tipo K (largura: 600 mm / altura:
500 mm / profundidade: 270 mm / padrão: Eletropaulo)</t>
  </si>
  <si>
    <t xml:space="preserve">Poste de aço para entrada de energia (espessura: 5,00 mm /comprimento: 6,00 m / diâmetro da seção: 4" / referência de mercado: Eietropaulo/Bandeirantes/EJektro/CPFL / tipo de acabamento: galvanizado a fogo)
</t>
  </si>
  <si>
    <t>CABO FLEXIVEL PVC 750 V, 2 CONDUTORES DE 6,0 MM2</t>
  </si>
  <si>
    <t xml:space="preserve"> Eletricista ou oficial eletricista</t>
  </si>
  <si>
    <t xml:space="preserve">Ajudante de eletricista </t>
  </si>
  <si>
    <t>INST/LIGACAO PROVISORIA DE AGUA PARA OBRA E INSTALACAO SANITARIA PROVISORIA , PEQUENAS OBRAS -INSTALACAO MINIMA - UNIDADE: UND</t>
  </si>
  <si>
    <t xml:space="preserve"> Tabua de madeira aparelhada *2,5 X 15*cm, macaranduba, angelim ou equivalente da região</t>
  </si>
  <si>
    <t xml:space="preserve"> Tijolo cerâmico furado 6 furos 9 X 9 X 19cm </t>
  </si>
  <si>
    <t xml:space="preserve"> Areia média</t>
  </si>
  <si>
    <t>Tubo coletor de esgoto PVC JEI, DN 100 MM (NBR 7362)</t>
  </si>
  <si>
    <t xml:space="preserve">Vaso sifonado louça branca - padrão popular
</t>
  </si>
  <si>
    <t>Caixa d' agua fibra de vidro 1000L</t>
  </si>
  <si>
    <t xml:space="preserve">Tubo aço galv. c/ costura NBR 5580 classe leve DN 20mm (3/4") E = 2,25mm - 1,43KG/M
</t>
  </si>
  <si>
    <t xml:space="preserve"> Prego de aço 15 X 15 C/ cabeça </t>
  </si>
  <si>
    <t xml:space="preserve"> Carpinteiro de formas </t>
  </si>
  <si>
    <t xml:space="preserve"> Servente</t>
  </si>
  <si>
    <t xml:space="preserve"> Encanador ou bombeiro hidraulico </t>
  </si>
  <si>
    <t xml:space="preserve"> Ajudante armador</t>
  </si>
  <si>
    <t>BARRACÃO DE OBRA EM CHAPA DE MADEIRA COMPENSADA COM BANHEIRO COBERTURA EM   FIBROCIMENTO 4   MM,   INCLUSO INSTALAÇÕES HIDRO-SANITARIAS E ELETRICAS *Refeitorio, vestuário, banheiro, deposito) - UNIDADE: M²</t>
  </si>
  <si>
    <t>AREIA GROSSA</t>
  </si>
  <si>
    <t>Bocal/ soquete/receptaculo de porcelana</t>
  </si>
  <si>
    <t xml:space="preserve"> Caixa d'agua em polietileno 500 L, com tampa </t>
  </si>
  <si>
    <t>Lavatório louça branca suspenso 29,5 X 39,0cm ou eqiv. Padrão popular</t>
  </si>
  <si>
    <t>Tubo de PVC soldavel EB-892 p/ agua fria predial DN 25mm</t>
  </si>
  <si>
    <t>Tubo de descida (descarga) externa PVC p/ cx descarga externa - 40mm X 1,60m</t>
  </si>
  <si>
    <t>Caixa descarga plastica, externa completa com tubo de descarga, engate Flexivel, boia e suporte para fixação-capacidade 9 litros</t>
  </si>
  <si>
    <t>Fio rigido, isolação em PVC 450/750V 1,5mm²</t>
  </si>
  <si>
    <t xml:space="preserve">Carpinteiro de formas </t>
  </si>
  <si>
    <t>Cimento portland comum CP I - 32</t>
  </si>
  <si>
    <t>Dobradiça em aço/ ferro 3 X 2 1/2"  E= 1,9 A 2mm, sem anel, cromado ou zincado.</t>
  </si>
  <si>
    <t>Prego de aço 17 X 27</t>
  </si>
  <si>
    <t>Porta cadeado zincado oxidado preto</t>
  </si>
  <si>
    <t xml:space="preserve"> Lampada fluorescente compacta 3U branca 20 W, base E27 (127/220 V) </t>
  </si>
  <si>
    <t>Peça de madeira de lei 1A qualidade 6 X 12cm não aparelhada</t>
  </si>
  <si>
    <t>Peça de madeira de lei 1A qualidade 5 X 6cm não aparelhada</t>
  </si>
  <si>
    <t xml:space="preserve">Peça de madeira 3A qualidade 2,5 X 10cm não aparelhada
</t>
  </si>
  <si>
    <t>Pedra brita n.1 (9,5 a19mm) posto pedreira/fornecedor, sem frete</t>
  </si>
  <si>
    <t xml:space="preserve">Torneira cromada 1/2" ou 3/4" ref 1193 P/ lavatório padrão popular
</t>
  </si>
  <si>
    <t xml:space="preserve">Pedreiro </t>
  </si>
  <si>
    <t>Tubo de PVC serie normal - esgoto predial DN 100mm- NBR 5688</t>
  </si>
  <si>
    <t xml:space="preserve">Servente </t>
  </si>
  <si>
    <t xml:space="preserve">Bolsa de ligação em PVC flexivel p/ vaso sanitério 1.1/2" (40MM)
</t>
  </si>
  <si>
    <t xml:space="preserve">Engate ou rabicho flexivel plastico (PVC ou ABS) branco 1/2" X 30cm
</t>
  </si>
  <si>
    <t xml:space="preserve">Sifão plastico p/ lavatório /pia tipo copo 11/4" </t>
  </si>
  <si>
    <t xml:space="preserve">Valvula em plastico branco 1" sem unho c/ ladrão p/ lavatório
</t>
  </si>
  <si>
    <t xml:space="preserve">Telha fibrocimento ondulada vogatex 4mm -2,44 X0,50m
</t>
  </si>
  <si>
    <t xml:space="preserve">Chuveiro plastico branco simples </t>
  </si>
  <si>
    <t xml:space="preserve">Encanador ou bombeiro hidraulico </t>
  </si>
  <si>
    <t>Fechadura embutir (c/ cilindro) completa - linha popular</t>
  </si>
  <si>
    <t xml:space="preserve">Vaso sanitário sinfonado louça branca - padrão popular
</t>
  </si>
  <si>
    <t xml:space="preserve">Registro pressão 3/4" Ref 1400 </t>
  </si>
  <si>
    <t xml:space="preserve">Instalação da obra interruptor sobrepor 1 tecla simples, tipo silentoque pial ou equiv.
</t>
  </si>
  <si>
    <t xml:space="preserve">eletricista ou oficial eletricista  </t>
  </si>
  <si>
    <t xml:space="preserve">Chapa madeira compensada resinada 2,2 X 1,1m (12mm) P/ forma concreto
</t>
  </si>
  <si>
    <t>Curva PVC 90g curva PVC P/ esgoto predial DN 100mm</t>
  </si>
  <si>
    <t>ESTRUTURA DE MADEIRA APARELHADA EM ESTRUTURA CERÂMICA OU CONCRETO APOIADA EM MADEIRA - UNIDADE:M²</t>
  </si>
  <si>
    <t>BARRA DE FERRO RETANGULAR, BARRA CHATA, 2" X 1/4" (L X E), 2,53 KG/M</t>
  </si>
  <si>
    <t>M³</t>
  </si>
  <si>
    <t>07320.8.3.. COBERTURA TELHA CERÂMINHA TIPO ROMANA, EXCLUINDO MADEIRAMENTO, inclinação 35% - unidade: m²</t>
  </si>
  <si>
    <t>Ajudante de telhadista</t>
  </si>
  <si>
    <t xml:space="preserve"> Telhadista </t>
  </si>
  <si>
    <t>TELHA CERAMICA TIPO ROMANA, COMPRIMENTO DE *41* CM, RENDIMENTO DE *16*TELHAS/M2</t>
  </si>
  <si>
    <t>TELHAMENTO COM TELHA METÁLICA TRAPEZOIDAL A = 40MM E = 0,5 MM, COM ATÉ 2 ÁGUAS, INCLUSO IÇAMENTO - UNIDADE: M²</t>
  </si>
  <si>
    <t>TELHADISTA COM ENCARGOS COMPLEMENTARES</t>
  </si>
  <si>
    <t>SERVENTE COM ENCARGOS COMPLEMENTARES</t>
  </si>
  <si>
    <t>HASTE RETA PARA GANCHO DE FERRO GALVANIZADO, COM ROSCA 1/4 " X 30 CM PARA FIXACAO DE TELHA METALICA, INCLUI PORCA E ARRUELAS DE VEDACAO</t>
  </si>
  <si>
    <t>GUINDASTE HIDRÁULICO AUTOPROPELIDO, COM LANÇA TELESCÓPICA 40 M, CAPACI</t>
  </si>
  <si>
    <t>CHP</t>
  </si>
  <si>
    <t>GUINDASTE HIDRÁULICO AUTOPROPELIDO, COM LANÇA TELESCÓPICA 40 M, CAPACIDADE MÁXIMA 60 T, POTÊNCIA 260 KW - CHI DIURNO.</t>
  </si>
  <si>
    <t>CHI</t>
  </si>
  <si>
    <t>TELHA DE ACO ZINCADO TRAPEZOIDAL, A = *40* MM, E = 0,5 MM, SEM PINTURA</t>
  </si>
  <si>
    <t>FECHAMENTO COM PLACA CIMENTÍCIA LISA E = 6MM, DE 1,20 X 3,00M (SEM AMIANTO)  - TELHAMENTO COM TELHA METÁLICA TRAPEZOIDAL A = 40MM E = 0,5 MM, COM ATÉ 2 ÁGUAS, INCLUSO IÇAMENTO - UNIDADE: M²</t>
  </si>
  <si>
    <t>PLACA CIMENTICIA LISA E = 6 MM, DE 1,20 X 3,00 M (SEM AMIANTO)</t>
  </si>
  <si>
    <t>02821.8.2.1-MURO divisória com bloco de concreto 14 cm x 19 cm x 39 cm, e = 14 cm, altura 0,60 m, assentado sobre sapata corrida com argamassa mista de cimento, cal hidratada e areia sem peneirar traço 1:0,5:8 - undade: M</t>
  </si>
  <si>
    <t>Código</t>
  </si>
  <si>
    <t>Descrição</t>
  </si>
  <si>
    <t>Unid</t>
  </si>
  <si>
    <t>v. unitario</t>
  </si>
  <si>
    <t>Vlr Total</t>
  </si>
  <si>
    <t>012700.1.11</t>
  </si>
  <si>
    <t>auxiliar de carpinteiro</t>
  </si>
  <si>
    <t xml:space="preserve">Carpinteiro de forma </t>
  </si>
  <si>
    <t>armador</t>
  </si>
  <si>
    <t>Pedreiro</t>
  </si>
  <si>
    <t>servente</t>
  </si>
  <si>
    <t>020603.2.2</t>
  </si>
  <si>
    <t>Areia lavada tipo média</t>
  </si>
  <si>
    <t>0206033.1</t>
  </si>
  <si>
    <t>Pedra britada 1</t>
  </si>
  <si>
    <t>0206033.2</t>
  </si>
  <si>
    <t>Pedra britada 2</t>
  </si>
  <si>
    <t>020603.6.1</t>
  </si>
  <si>
    <t>Pedrisco</t>
  </si>
  <si>
    <t>0206533.1</t>
  </si>
  <si>
    <t>Cal hidratada CH III</t>
  </si>
  <si>
    <t>0206535.1</t>
  </si>
  <si>
    <t>Cimento Portland CP II-E-32 (resistência: 32,00 MPA)</t>
  </si>
  <si>
    <t>031253.1.1</t>
  </si>
  <si>
    <t>Desmoldante de fôrmas para concreto</t>
  </si>
  <si>
    <t>032103.1.4</t>
  </si>
  <si>
    <t xml:space="preserve"> ACO CA-60, 5,0 MM, VERGALHAO </t>
  </si>
  <si>
    <t>0321033.2</t>
  </si>
  <si>
    <t xml:space="preserve"> ACO CA-50, 10,0 MM, VERGALHAO</t>
  </si>
  <si>
    <t>Bloco de concreto de vedação - bloco inteiro 14 x 19 x 39) (comprimento: 390 mm / largura: 140 mm / altura: 190 mm</t>
  </si>
  <si>
    <t>Prego 18 x 27 com cabeça (diâmetro da cabeça: 3.4 mm/ comprimento: 62,1 mm)</t>
  </si>
  <si>
    <t>0506033.1</t>
  </si>
  <si>
    <t>Arame recozido (diâmetro do fio: 1.25 mm / bitola: 18 B'.VG)</t>
  </si>
  <si>
    <t>050673.2.1</t>
  </si>
  <si>
    <t xml:space="preserve">CAIBRO DE MADEIRA NATIVA/REGIONAL 5 X 5 CM NAO APARELHADA (P/FORMA) </t>
  </si>
  <si>
    <t>Sarrafo 1" x 4" (largura: 100 mm / espessura: 25 mm</t>
  </si>
  <si>
    <t>06062.3.5.5</t>
  </si>
  <si>
    <t>Tábua 1" x 12" (espessura: 25 mm / largura: 300 mm)</t>
  </si>
  <si>
    <t>SUBTOTAL</t>
  </si>
  <si>
    <t>Pintura de muro com cal virgem</t>
  </si>
  <si>
    <t>CAL HIDRATADA PARA PINTURA</t>
  </si>
  <si>
    <t>Servente com encargos complementares</t>
  </si>
  <si>
    <t>REVESTIMENTO EM PISO CERÂMICO esmaltado 20 cm x 25 cm, assentado com argamassa mista de cimento, cal hidratada e areia sem peneirar traço 1:0,5:5, e=2,5 cm - unidade: m2</t>
  </si>
  <si>
    <t>Azulejista ou Ladrilheiro</t>
  </si>
  <si>
    <t>Servente</t>
  </si>
  <si>
    <t>cimento Portland CP II-E-32 (resistência: 32,00 MPa)</t>
  </si>
  <si>
    <t>Argamassa mista de cimento, cal hidratada e areia sem peneirar traço 1:0,5:5</t>
  </si>
  <si>
    <t xml:space="preserve">Revestimento em cerâmica esmaltada extra, PEI menor ou igual a 3, formato menor ou igula a 20x25 cm²
</t>
  </si>
  <si>
    <t>cx</t>
  </si>
  <si>
    <t>09906.8.2- EMASSAMENTO DE PAREDE INTERNA COM MASSA LATEX PVA 2 DEMÃO 
- unidade: m2</t>
  </si>
  <si>
    <t xml:space="preserve">Ajudante de pintor </t>
  </si>
  <si>
    <t xml:space="preserve">Pintor </t>
  </si>
  <si>
    <t>MASSA LATEX PVA PARA AMBIENTE EXTERNO</t>
  </si>
  <si>
    <t>Lixa para superfície madeira/massa grana 100</t>
  </si>
  <si>
    <t xml:space="preserve">PORTA DE MADEIRA COMPENSADA LISA PARA PINTURA, 1.00X2.10M, INCLUSO ADUELA 1 A, ALIZAR 1A E DOBRADIÇA COM ANEL, folha leve e=35 mm </t>
  </si>
  <si>
    <t>PORTA DE MADEIRA, FOLHA MEDIA (NBR 15930) DE 100 X 210 CM, E = 35 MM, NUCLEO SARRAFEADO, CAPA LISA EM HDF, ACABAMENTO EM LAMINADO NATURAL PARA VERNIZ</t>
  </si>
  <si>
    <t>Pedreiro com encargo complementar</t>
  </si>
  <si>
    <t>carpinteiro de esquedrias com encargo complementar</t>
  </si>
  <si>
    <t xml:space="preserve"> BATENTE/ PORTAL/ ADUELA/ MARCO MACICO, E= *3* CM, L= *13* CM, *60 CM A 120* CM X *210* CM, EM PINUS/ TAUARI/ VIROLA OU EQUIVALENTE DA REGIAO (NAO INCLUI ALIZARES)</t>
  </si>
  <si>
    <t>jg</t>
  </si>
  <si>
    <t xml:space="preserve"> PREGO DE ACO POLIDO COM CABECA 15 X 15 (1 1/4 X 13)</t>
  </si>
  <si>
    <t xml:space="preserve"> GUARNICAO/ ALIZAR/ VISTA MACICA, E= *1* CM, L= *4,5* CM, EM CEDRINHO/ ANGELIM COMERCIAL/ EUCALIPTO/ CURUPIXA/ PEROBA/ CUMARU OU EQUIVALENTE DA REGIAO</t>
  </si>
  <si>
    <t xml:space="preserve"> DOBRADICA EM ACO/FERRO, 3" X 2 1/2", E= 1,2 A 1,8 MM, SEM ANEL, CROMADO OU ZINCADO, 
TAMPA CHATA, COM PARAFUSOS</t>
  </si>
  <si>
    <t xml:space="preserve"> PARAFUSO ROSCA SOBERBA ZINCADO CABECA CHATA FENDA SIMPLES 5,5 X 65 MM (2.1/2 ")</t>
  </si>
  <si>
    <t xml:space="preserve"> PILAR DE MADEIRA NAO APARELHADA *10 X 10* CM, MACARANDUBA, ANGELIM OU EQUIVALENTE DA REGIAO</t>
  </si>
  <si>
    <t>Porta de madeira de correr completa, fornecimento e instalação - UND =m²</t>
  </si>
  <si>
    <t xml:space="preserve"> CARPINTEIRO DE ESQUADRIAS</t>
  </si>
  <si>
    <t>PORTA DE MADEIRA, FOLHA MEDIA (NBR 15930), E = 35 MM, NUCLEO SARRAFEADO, CAPA FRISADA EM HDF, ACABAMENTO MELAMINICO EM PADRAO MADEIRA</t>
  </si>
  <si>
    <t xml:space="preserve"> PREGO DE ACO POLIDO COM CABECA 16 X 24 (2 1/4 X 12) </t>
  </si>
  <si>
    <t xml:space="preserve">RODIZIO PARA TRILHO (TIPO NAPOLEAO), EM LATAO, COM ROLAMENTO EM ACO, 6 MM, 
</t>
  </si>
  <si>
    <t xml:space="preserve"> TRILHO QUADRADO, EM ALUMINIO (VERGALHAO MACICO), 1/4", (*6 X 6* CM), PARA RODIZIOS </t>
  </si>
  <si>
    <t>ARGAMASSA TRAÇO 1:0,5:4,5 (CIMENTO, CAL E AREIA MÉDIA) PARA ASSENTAMEN 
TO DE ALVENARIA, PREPARO MANUAL. AF_08/2014</t>
  </si>
  <si>
    <t>m3</t>
  </si>
  <si>
    <t>BATENTE/ PORTAL/ADUELA/ MARCO MACICO, E= *3* CM, L= *15* CM, *60 CM A 120* CM X *210* 
CM, EM CEDRINHO/ ANGELIM COMERCIAL/ EUCALIPTO/ CURUPIXA/ PEROBA/ CUMARU OU
EQUIVALENTE DA REGIAO (NAO INCLUI ALIZARES)</t>
  </si>
  <si>
    <t xml:space="preserve">JG </t>
  </si>
  <si>
    <t xml:space="preserve"> PILAR DE MADEIRA NAO APARELHADA *10 X 10* CM, MACARANDUBA, ANGELIM OU M 
EQUIVALENTE DA REGIAO</t>
  </si>
  <si>
    <t>08520.8.1.1 JANELA DE ALUMINIO PROJETANTE sob encomenda, colocação e acabamento,
basculante, com contramarcos - unidade: m²</t>
  </si>
  <si>
    <t xml:space="preserve">Pedreiro 
</t>
  </si>
  <si>
    <t xml:space="preserve">Areia lavada tipo média  </t>
  </si>
  <si>
    <t xml:space="preserve">Cimento Portland CP II-E-32 (resistência: 32,00 MPa)
</t>
  </si>
  <si>
    <t>Caixilho de alumínio sob encomenda basculante (tipo de acabamento: natural)</t>
  </si>
  <si>
    <t>PORTA VIDRO TEMPERADO INCOLOR, 2 FOLHAS DE ABRIR,  E = 10 MM (1,60X2,10)  - unidade: UND</t>
  </si>
  <si>
    <t xml:space="preserve"> VIDRO TEMPERADO INCOLOR E = 10 MM, SEM COLOCACAO </t>
  </si>
  <si>
    <t xml:space="preserve"> PUXADOR CONCHA DE EMBUTIR, EM LATAO CROMADO, PARA PORTA / JANELA DE CORRER, 
LISO, SEM FURO PARA CHAVE, COM FUROS PARA FIXAR PARAFUSOS, *30 X 90* MM (LARGURA X ALTURA)</t>
  </si>
  <si>
    <t xml:space="preserve"> MOLA HIDRAULICA DE PISO P/ VIDRO TEMPERADO 10MM </t>
  </si>
  <si>
    <t>161368.1 -PADRÃO DE ENTRADA TRIFÁSICO 125A AÉREO - COMPLETO em caixa de chapa de aço, dimensões 500 mm x 603 mm x 270 mm - unidade: un</t>
  </si>
  <si>
    <t xml:space="preserve"> Ajudante de eletricista</t>
  </si>
  <si>
    <t xml:space="preserve">Eletricista
</t>
  </si>
  <si>
    <t xml:space="preserve">Conector de aluminio tipo prensa cabo (bitola: 3/4" / tipo de acabamento: cromado) </t>
  </si>
  <si>
    <t>Haste de aterramento Copperweld (bitola: 3/4" / comprimento: 3,048 m)</t>
  </si>
  <si>
    <t xml:space="preserve">Caixa externa de medição para 1 medidor trifasico, com viso, em chapa de aço 18 USG (Padrão da concessionária local) </t>
  </si>
  <si>
    <t xml:space="preserve"> Chave blindada tripolar para motores, tipo faca, com porta fusivel do tipo cartucho, corrente nominal de 100 A, tensão nominal de 250 V</t>
  </si>
  <si>
    <t>Cabo isolado em PVC 450 V/750 V-70 C-baixa tensão (encordoamento: classe 2 / seção transversal: 16,00 mm')</t>
  </si>
  <si>
    <t/>
  </si>
  <si>
    <t>Eletroduto de PVC rígido rosqueável (diâmetro da seçáo: 1/2")</t>
  </si>
  <si>
    <t>Cabo de cobre nu (seçáo transversal: 25,00 mm2)</t>
  </si>
  <si>
    <t>bucha em aluminio, com rosca, de 1 1/4", para eletroduto.</t>
  </si>
  <si>
    <t>Arruela em aluminio (diâmetro da seção: 11/4")</t>
  </si>
  <si>
    <t>ajudante de eletricista</t>
  </si>
  <si>
    <t>eletricista</t>
  </si>
  <si>
    <t>lampada</t>
  </si>
  <si>
    <t>LUMINARIA DE EMERGENCIA 30 LEDS, POTENCIA 2 W, BATERIA DE LITIO, AUTONOMIA DE 6HORAS</t>
  </si>
  <si>
    <t>CAMP 20</t>
  </si>
  <si>
    <t>16520.8.2.1 -PROJETOR COM LÂMPADA E REATOR VAPOR METÁLICO 150W COMPLETO, com ângulo regulável, com alojamento para reator - unidade: und</t>
  </si>
  <si>
    <t>Ajudante de eletricista</t>
  </si>
  <si>
    <t>Projetos retangular fechado para lampada vapor de mercurio/sodio 250w A 500w, cabeceiras em aluminio fundido, corpo em aluminio anodizado, para lampada E 40 fechamento em vidro temperado.</t>
  </si>
  <si>
    <t xml:space="preserve"> Reator para lâmpadas de descarga - vapor de mercúrio 250 W - AFP (potência: 250 W / tensão: 220 V / número de lâmpadas: uma)
</t>
  </si>
  <si>
    <t xml:space="preserve"> Lâmpada vapor de mercúrio (potência: 250W / tensão: 220 V/bpo de rosca: E-40)
</t>
  </si>
  <si>
    <t>CAMP 21</t>
  </si>
  <si>
    <t>16132.8.18.1 PONTO DE ENERGIA PARA ILUMINAÇÃO- com eletroduto de PVC rígido, 0 3/1" - unidade: UND</t>
  </si>
  <si>
    <t>Fio isolado em PVC (encordoamento: classe 1 / seção transversal: 1,50 mmJ / tensão: 750.00 V)</t>
  </si>
  <si>
    <t>Curva 90° de PVC rigido rosqueável para eletroduto (diâmetro da seção: 3/4")</t>
  </si>
  <si>
    <t>Eletroduto de PVC rigido rosqueável (diâmetro da seção: 3/4")</t>
  </si>
  <si>
    <t>Luva de PVC rígido rosqueável para eletroduto (diâmetro da seção: 3/4")</t>
  </si>
  <si>
    <t>Caixa estampada em chapa de aço esmaltada de embutir 4"x 2" (formato da seção transversal: retangular / Chapa: 18)</t>
  </si>
  <si>
    <t>CAMP 22</t>
  </si>
  <si>
    <t>TOMADA DUPLA 20A / 127V PADRÃO BRASILEIRO EM CAIXA CX 4"X4"</t>
  </si>
  <si>
    <t>caixa de luz 4"x 2" em aço esmaltdo</t>
  </si>
  <si>
    <t>tomada baixa de embutir (2 módulos)</t>
  </si>
  <si>
    <t>CAMP 23</t>
  </si>
  <si>
    <t>Fio isolado em PVC (encordoamento: classe 1 /seção transversal: 1.50 mm2 / tensão: 750.00 V)</t>
  </si>
  <si>
    <t xml:space="preserve">Curva 90° de PVC rígido rosqueável para eletroduto (diâmetro da seção: 3/4")
</t>
  </si>
  <si>
    <t>Eletroduto de PVC rígido rosqueável (diâmetro daseção: 3/4")</t>
  </si>
  <si>
    <t>Caixa estampada em chapa de aço esmaltada de embutir 4" x 2" (formato da seção transversal: retangular / chapa: 18)</t>
  </si>
  <si>
    <t>Interruptor de embutir uma tecla simples (corrente elétrica: 10 A / tensão: 250 V)</t>
  </si>
  <si>
    <t>CAMP 24</t>
  </si>
  <si>
    <t xml:space="preserve"> INTERRUPTOR DIFERENCIAL RESIDUAL, 2 POLOS, SENSIBILIDADE 30 MA, CORRENTE DE 25 A- FORNECIMENTO E INSTALAÇÃO - UNIDADE: UND</t>
  </si>
  <si>
    <t>DISPOSITIVO DR, 2 POLOS, SENSIBILIDADE DE 30 MA, CORRENTE DE 25 A, TIPO AC</t>
  </si>
  <si>
    <t>CAMP 25</t>
  </si>
  <si>
    <t>16100.8.3.2  PONTO PARA INSTALAÇÃO DE LÓGICA</t>
  </si>
  <si>
    <t>012700.1.13</t>
  </si>
  <si>
    <t xml:space="preserve"> Eletricista </t>
  </si>
  <si>
    <t>161373.14.2</t>
  </si>
  <si>
    <t>Caixa de ligação de PVC para eletroduto flexível corrugado de embutir (comprimento: 4" / largura: 4" /profundidade: 46 mm)</t>
  </si>
  <si>
    <t>Eletroduto de PVC rígido de encaixe, com conexões (diâmetro equrvalente: 3/4" / diâmetro nominal: 25 mm)</t>
  </si>
  <si>
    <t xml:space="preserve"> ESPELHO / PLACA DE 4 POSTOS 4" X 4", PARA INSTALACAO DE TOMADAS E INTERRUPTORES</t>
  </si>
  <si>
    <t>CAMP 26</t>
  </si>
  <si>
    <t xml:space="preserve"> PAPELEIRA PLASTICA TIPO DISPENSER PARA PAPEL HIGIENICO ROLAO  - UNIDADE: UND</t>
  </si>
  <si>
    <t xml:space="preserve"> PAPELEIRA PLASTICA TIPO DISPENSER PARA PAPEL HIGIENICO ROLAO</t>
  </si>
  <si>
    <t>CAMP 27</t>
  </si>
  <si>
    <t>LAVATÓRIO EM INOX PARA ESCOVAÇÃO, INCL VÁLVULAS E SIFÕES - UNIDADE: UND</t>
  </si>
  <si>
    <t>ENCANADOR OU BOMBEIRO HIDRÁULICO COM 
ENCARGOS COMPLEMENTARES</t>
  </si>
  <si>
    <t>AUXILIAR DE ENCANADOR OU BOMBEIRO HIDRÁULICO 
COM ENCARGOS COMPLEMENTARES</t>
  </si>
  <si>
    <t xml:space="preserve"> MICTORIO COLETIVO ACO INOX (AISI 304), E = 0,8 MM, DE *100 X 50 X 35* CM (C X A X P) </t>
  </si>
  <si>
    <t xml:space="preserve">VALVULA EM METAL CROMADO PARA PIA AMERICANA 3.1/2 X 1.1/2 " </t>
  </si>
  <si>
    <t xml:space="preserve"> SIFAO PLASTICO TIPO COPO PARA PIA OU LAVATORIO, 1 X 1.1/2 " </t>
  </si>
  <si>
    <t>CAMP 28</t>
  </si>
  <si>
    <t xml:space="preserve"> SABONETEIRA PLASTICA TIPO DISPENSER PARA SABONETE LIQUIDO COM RESERVATORIO  800 A 1500 ML - UNIDADE: UND</t>
  </si>
  <si>
    <t>SABONETEIRA PLASTICA TIPO DISPENSER PARA SABONETE LIQUIDO COM RESERVATORIO 
800 A 1500 ML</t>
  </si>
  <si>
    <t>CAMP 29</t>
  </si>
  <si>
    <t>TOALHEIRO PLASTICO TIPO DISPENSER PARA PAPEL TOALHA INTERFOLHADO - UNIDADE: UND</t>
  </si>
  <si>
    <t>CAMP 30</t>
  </si>
  <si>
    <t>BANCADA EM GRANITO CINZA POLIDO, COM CUBA DE EMBUTIR DE AÇO INOXIDAVEL, FORNECIMENTO E INSTALAÇÃO (2,20X0,60), FORNECIMENTO E INSTALAÇÃO</t>
  </si>
  <si>
    <t xml:space="preserve">SERVENTE  </t>
  </si>
  <si>
    <t xml:space="preserve"> ENCANADOR  </t>
  </si>
  <si>
    <t xml:space="preserve">PEDREIRO  </t>
  </si>
  <si>
    <t xml:space="preserve"> GRANITO PARA BANCADA, POLIDO, TIPO ANDORINHA/ QUARTZ/ CASTELO/ CORUMBA OU OUTROS EQUIVALENTES DA REGIAO, E= *2,5* CM</t>
  </si>
  <si>
    <t xml:space="preserve"> CUBA ACO INOX (AISI 304) DE EMBUTIR COM VALVULA 3 1/2 ", DE *46 X 30 X 12* </t>
  </si>
  <si>
    <t>ARGAMASSA DE CIMENTO E AREIA S/PEN. TRAÇO 1:3</t>
  </si>
  <si>
    <t>CAMP 31</t>
  </si>
  <si>
    <t>BANCADA EM GRANITO CINZA POLIDO, COM CUBA DE EMBUTIR DE AÇO INOXIDAVEL, FORNECIMENTO E INSTALAÇÃO (2,70X0,60)</t>
  </si>
  <si>
    <t>Bucha de náilon com parafuso autoatarraxante cabeça panela, fenda simples(comprimento: 50,00 mm / diâmetro nominal do parafuso: 4,80 mm / diâmetro nominal da bucha: 8,00 mm)</t>
  </si>
  <si>
    <t>Barra de apoio para portadores de necessidades especiais, reta, em aço inoxidável (comprimento: 800 mm / diâmetro: 11/4")</t>
  </si>
  <si>
    <t>CAMP 33</t>
  </si>
  <si>
    <t xml:space="preserve"> Ajudante de encanador </t>
  </si>
  <si>
    <t>Torneira elétrica (potência: .5400,00 W / tensão: 220,00 V)</t>
  </si>
  <si>
    <t>CAMP 34</t>
  </si>
  <si>
    <t>Viga (largura: 60.00 mm / altura: 160,00 mm / tipo de madeira: peroba)</t>
  </si>
  <si>
    <t>Massa para vidro comum</t>
  </si>
  <si>
    <t>Flange com sextavado de ferro maleável galvanizado para líquidos, gases e vapores (diâmetro da seção: 3/4")</t>
  </si>
  <si>
    <t>Flange com sextavado de ferro maleável galvanizado para líquidos, gases e vapores (diâmetro da seção: 1")</t>
  </si>
  <si>
    <t>Flange com sextavado de ferro maleável galvanizado para líquidos, gases e vapores (diâmetro da seçáo: 2")</t>
  </si>
  <si>
    <t xml:space="preserve"> Fita de vedação para tubos e conexões rosqueáveis (largura: 18 mm)</t>
  </si>
  <si>
    <t xml:space="preserve"> Reservatório d' água de fibra de vidro com tampa 5000L</t>
  </si>
  <si>
    <t>CAMP 35</t>
  </si>
  <si>
    <t xml:space="preserve">5 JOELHO PVC, ROSCAVEL, 90 GRAUS, 3/4", PARA AGUA FRIA PREDIAL </t>
  </si>
  <si>
    <t xml:space="preserve"> JOELHO PVC, SOLDAVEL COM ROSCA, 90 GRAUS, 25 MM X 3/4", PARA AGUA FRIA PREDIAL</t>
  </si>
  <si>
    <t>Tè 90° soldável de PVC marrom com rosca na bolsa central para água fria (diâmetro da parte rosqueável: 3/4" / diâmetro da parte soldável: 25 mm)</t>
  </si>
  <si>
    <t xml:space="preserve"> Tubo soldável de PVC marrom para água fria (diâmetro da seção: 25 mm)</t>
  </si>
  <si>
    <t>CAMP 36</t>
  </si>
  <si>
    <t>15142.8.27.1 PONTO de água fria 1 1/2" - Ø 25 mm - unidade: und</t>
  </si>
  <si>
    <t xml:space="preserve"> JOELHO PVC, SOLDAVEL, COM BUCHA DE LATAO, 90 GRAUS, 25 MM X 1/2", PARA AGUA FRIA PREDIAL</t>
  </si>
  <si>
    <t xml:space="preserve"> JOELHO PVC, 90 GRAUS, ROSCAVEL, 1 1/2", AGUA FRIA PREDIAL</t>
  </si>
  <si>
    <t xml:space="preserve"> TE PVC, SOLDAVEL, COM ROSCA NA BOLSA CENTRAL, 90 GRAUS, 25 MM X 1/2", PARA AGUA FRIA PREDIAL</t>
  </si>
  <si>
    <t>CAMP 37</t>
  </si>
  <si>
    <t xml:space="preserve"> Joelho 90 PBV de PVC branco para esgoto série normal (diâmetro de seção: 50 mm)</t>
  </si>
  <si>
    <t>Tubo PBV de PVC branco para esgoto série normal (diâmetro da seção: 50 mm)</t>
  </si>
  <si>
    <t>CAMP 38</t>
  </si>
  <si>
    <t>Encanador ou bombeiro hudraulico</t>
  </si>
  <si>
    <t>COTOVELO/JOELHO COM ADAPTADOR, 90 GRAUS, EM POLIPROPILENO, PN 16, PARA TUBOS PEAD, 32 MM X 1" - LIGACAO PREDIAL DE AGUA</t>
  </si>
  <si>
    <t>Junção 45° PBV de PVC branco com redução para esgoto série normal (diâmetro de entrada: 100,00mm 7 diâmetro de saída: 75.00 mm)</t>
  </si>
  <si>
    <t xml:space="preserve"> TE 90° PBV de PVC branco para esgoto série normal (diâmetro da seção: 100 mm)</t>
  </si>
  <si>
    <t>Tubo PBV de PVC branco para esgoto série normal (diâmetro da seção: 100 mm)</t>
  </si>
  <si>
    <t>CAMP 39</t>
  </si>
  <si>
    <t>15144.8.23. TUBO de cobre soldável, com conexões - unidade: m</t>
  </si>
  <si>
    <t>012700.1.14</t>
  </si>
  <si>
    <t>Ajudante de encanador</t>
  </si>
  <si>
    <t>01270024.1</t>
  </si>
  <si>
    <t>050903.1. 2</t>
  </si>
  <si>
    <t xml:space="preserve">Estanho para solda </t>
  </si>
  <si>
    <t>15144114.1</t>
  </si>
  <si>
    <t>Pasta para soldar cobre e bronze</t>
  </si>
  <si>
    <t xml:space="preserve"> TUBO DE COBRE CLASSE "A", DN = 1/2 " (15 MM), PARA INSTALACOES DE MEDIA PRESSAO PARA GASES COMBUSTIVEIS E MEDICINAIS</t>
  </si>
  <si>
    <t xml:space="preserve">Cotação de Preços - RACK 12U'S TIPO AUTO PORTANTE C/ PORTA EM ACRILICO C/ 55CM DE PROFUNDIDADE </t>
  </si>
  <si>
    <t>STEFANNIE</t>
  </si>
  <si>
    <t>DATA PLUS INFORMATICA</t>
  </si>
  <si>
    <t>2.10</t>
  </si>
  <si>
    <t>3.8</t>
  </si>
  <si>
    <t>1</t>
  </si>
  <si>
    <t>2</t>
  </si>
  <si>
    <t>3</t>
  </si>
  <si>
    <t>4</t>
  </si>
  <si>
    <t>5</t>
  </si>
  <si>
    <t>8</t>
  </si>
  <si>
    <t>9</t>
  </si>
  <si>
    <t>19</t>
  </si>
  <si>
    <t>1.12</t>
  </si>
  <si>
    <t>4.2</t>
  </si>
  <si>
    <t>8.31</t>
  </si>
  <si>
    <t>18</t>
  </si>
  <si>
    <t>24</t>
  </si>
  <si>
    <t>cotação</t>
  </si>
  <si>
    <t>27</t>
  </si>
  <si>
    <t>BANCADA EM GRANITO CINZA POLIDO, COM CUBA DE EMBUTIR DE AÇO INOXIDAVEL, FORNECIMENTO E INSTALAÇÃO (2,20X0,60)</t>
  </si>
  <si>
    <t>GRANITO PARA BANCADA, POLIDO, TIPO ANDORINHA / QUARTZ/ CASTELO / CORUMBA OU OUTROS EQUIVALENTES DA REGIÃO, E=2,5CM</t>
  </si>
  <si>
    <t>9.70</t>
  </si>
  <si>
    <t>COMP 32</t>
  </si>
  <si>
    <t>GRANITO PARA BANCADA, POLIDO, TIPO ANDORINHA / QUARTZ/ CASTELO / CORUMBA OU OUTROS EQUIVALENTES DA REGIÃO, E=2,5CM
largura 8 0 cm - unidade: und</t>
  </si>
  <si>
    <t>CAMP 40</t>
  </si>
  <si>
    <t>OBJETO: CONTRATAÇÃO DA EMPRESA DE ENGENHARIA, COM FORNECIMENTO DE MATERIAL, MÃO DE OBRA NECESSÁRIA PARA EXECUTAR A CONSTRUÇÃO DAS UNIDADES DE SAÚDE ESPECIFICADAS</t>
  </si>
  <si>
    <t>SINAPI OUT/2017</t>
  </si>
  <si>
    <t>MUNICÍPIO:  VÁRZEA GRANDE- MT</t>
  </si>
  <si>
    <t>CRONOGRAMA FÍSICO / FINANCEIRO</t>
  </si>
  <si>
    <t>VALOR PARCIAL TOTAL</t>
  </si>
  <si>
    <t>1° Medição (%)</t>
  </si>
  <si>
    <t>2°Medição (%)</t>
  </si>
  <si>
    <t>3°Medição (%)</t>
  </si>
  <si>
    <t>4°Medição (%)</t>
  </si>
  <si>
    <t>5°Medição (%)</t>
  </si>
  <si>
    <t>R$</t>
  </si>
  <si>
    <t xml:space="preserve">MOBILIZAÇÃO - CANTEIRO DE OBRAS </t>
  </si>
  <si>
    <t>FUNDAÇÃO E ESTRUTURA</t>
  </si>
  <si>
    <t>VALOR PARCIAL</t>
  </si>
  <si>
    <t>VALOR ACUMULADO</t>
  </si>
  <si>
    <t xml:space="preserve">CONTRATO: </t>
  </si>
  <si>
    <t>SETECENTOS E VINTE E TRÊS MIL TREZENTOS E SETENTA E OITO REAIS E TREZE CENTAVOS</t>
  </si>
</sst>
</file>

<file path=xl/styles.xml><?xml version="1.0" encoding="utf-8"?>
<styleSheet xmlns="http://schemas.openxmlformats.org/spreadsheetml/2006/main">
  <numFmts count="18">
    <numFmt numFmtId="43" formatCode="_-* #,##0.00_-;\-* #,##0.00_-;_-* &quot;-&quot;??_-;_-@_-"/>
    <numFmt numFmtId="164" formatCode="0.0000"/>
    <numFmt numFmtId="165" formatCode="_-* #,##0.00_-;\-* #,##0.00_-;_-* &quot;-&quot;????_-;_-@_-"/>
    <numFmt numFmtId="166" formatCode="0.000"/>
    <numFmt numFmtId="167" formatCode="_-* #,##0.0000_-;\-* #,##0.0000_-;_-* &quot;-&quot;????_-;_-@_-"/>
    <numFmt numFmtId="168" formatCode="_-* #,##0.000_-;\-* #,##0.000_-;_-* &quot;-&quot;??_-;_-@_-"/>
    <numFmt numFmtId="169" formatCode="#,##0.00_);\(#,##0.00\)"/>
    <numFmt numFmtId="170" formatCode="_(* #,##0.00_);_(* \(#,##0.00\);_(* &quot;-&quot;??_);_(@_)"/>
    <numFmt numFmtId="171" formatCode="_(&quot;R$ &quot;* #,##0.00_);_(&quot;R$ &quot;* \(#,##0.00\);_(&quot;R$ &quot;* &quot;-&quot;??_);_(@_)"/>
    <numFmt numFmtId="172" formatCode="#,##0.00;[Red]#,##0.00"/>
    <numFmt numFmtId="173" formatCode="00000"/>
    <numFmt numFmtId="174" formatCode="_-* #,##0.0000_-;\-* #,##0.0000_-;_-* &quot;-&quot;??_-;_-@_-"/>
    <numFmt numFmtId="175" formatCode="#,##0.0000"/>
    <numFmt numFmtId="176" formatCode="_(* #,##0.000_);_(* \(#,##0.000\);_(* &quot;-&quot;??_);_(@_)"/>
    <numFmt numFmtId="177" formatCode="0.0000000"/>
    <numFmt numFmtId="178" formatCode="0.000000"/>
    <numFmt numFmtId="179" formatCode="0.00000%"/>
    <numFmt numFmtId="180" formatCode="_-* #,##0.0_-;\-* #,##0.0_-;_-* &quot;-&quot;??_-;_-@_-"/>
  </numFmts>
  <fonts count="68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9"/>
      <name val="Arial"/>
      <family val="2"/>
    </font>
    <font>
      <b/>
      <sz val="11"/>
      <color theme="1"/>
      <name val="Arial Unicode MS"/>
      <family val="2"/>
    </font>
    <font>
      <b/>
      <sz val="10"/>
      <color theme="1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1"/>
      <name val="Arial"/>
      <family val="2"/>
    </font>
    <font>
      <sz val="10"/>
      <name val="Arial "/>
    </font>
    <font>
      <b/>
      <sz val="14"/>
      <name val="Arial"/>
      <family val="2"/>
    </font>
    <font>
      <sz val="11"/>
      <color indexed="8"/>
      <name val="Calibri"/>
      <family val="2"/>
      <charset val="1"/>
    </font>
    <font>
      <b/>
      <sz val="12"/>
      <name val="Arial"/>
      <family val="2"/>
      <charset val="1"/>
    </font>
    <font>
      <sz val="12"/>
      <name val="Arial"/>
      <family val="2"/>
      <charset val="1"/>
    </font>
    <font>
      <b/>
      <i/>
      <sz val="11"/>
      <name val="Arial"/>
      <family val="2"/>
      <charset val="1"/>
    </font>
    <font>
      <b/>
      <i/>
      <sz val="12"/>
      <name val="Arial"/>
      <family val="2"/>
      <charset val="1"/>
    </font>
    <font>
      <b/>
      <sz val="11"/>
      <name val="Arial"/>
      <family val="2"/>
      <charset val="1"/>
    </font>
    <font>
      <sz val="11"/>
      <name val="Arial"/>
      <family val="2"/>
      <charset val="1"/>
    </font>
    <font>
      <b/>
      <sz val="10"/>
      <name val="Arial"/>
      <family val="2"/>
      <charset val="1"/>
    </font>
    <font>
      <b/>
      <sz val="12"/>
      <color indexed="8"/>
      <name val="Arial"/>
      <family val="2"/>
      <charset val="1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5BAA"/>
      <name val="Verdana"/>
      <family val="2"/>
    </font>
    <font>
      <sz val="12"/>
      <name val="Courier"/>
      <family val="3"/>
    </font>
    <font>
      <b/>
      <sz val="12"/>
      <name val="Courier"/>
      <family val="3"/>
    </font>
    <font>
      <sz val="14"/>
      <name val="Arial"/>
      <family val="2"/>
    </font>
    <font>
      <sz val="11"/>
      <color indexed="12"/>
      <name val="Arial"/>
      <family val="2"/>
    </font>
    <font>
      <sz val="12"/>
      <color indexed="12"/>
      <name val="Arial"/>
      <family val="2"/>
    </font>
    <font>
      <sz val="11"/>
      <name val="Arial"/>
      <family val="2"/>
    </font>
    <font>
      <sz val="14"/>
      <color indexed="12"/>
      <name val="Arial"/>
      <family val="2"/>
    </font>
    <font>
      <b/>
      <sz val="14"/>
      <color indexed="18"/>
      <name val="Arial"/>
      <family val="2"/>
    </font>
    <font>
      <b/>
      <sz val="10"/>
      <color indexed="18"/>
      <name val="Arial"/>
      <family val="2"/>
    </font>
    <font>
      <b/>
      <sz val="14"/>
      <color indexed="56"/>
      <name val="Arial"/>
      <family val="2"/>
    </font>
    <font>
      <b/>
      <sz val="18"/>
      <color indexed="56"/>
      <name val="Arial"/>
      <family val="2"/>
    </font>
    <font>
      <sz val="12"/>
      <name val="Arial"/>
      <family val="2"/>
    </font>
    <font>
      <sz val="12"/>
      <name val="Arial Narrow"/>
      <family val="2"/>
    </font>
    <font>
      <b/>
      <sz val="12"/>
      <color theme="1"/>
      <name val="Arial Narrow"/>
      <family val="2"/>
    </font>
    <font>
      <sz val="12"/>
      <color theme="0"/>
      <name val="Arial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3"/>
      <name val="Arial"/>
      <family val="2"/>
    </font>
    <font>
      <b/>
      <u/>
      <sz val="14"/>
      <name val="Arial"/>
      <family val="2"/>
    </font>
    <font>
      <sz val="12"/>
      <color rgb="FF0000FF"/>
      <name val="Arial"/>
      <family val="2"/>
    </font>
    <font>
      <b/>
      <sz val="12"/>
      <color rgb="FF0000FF"/>
      <name val="Arial"/>
      <family val="2"/>
    </font>
    <font>
      <b/>
      <sz val="12"/>
      <color indexed="12"/>
      <name val="Arial"/>
      <family val="2"/>
    </font>
    <font>
      <sz val="14"/>
      <color rgb="FF002060"/>
      <name val="Arial"/>
      <family val="2"/>
    </font>
    <font>
      <sz val="14"/>
      <color rgb="FF0000FF"/>
      <name val="Arial"/>
      <family val="2"/>
    </font>
    <font>
      <b/>
      <sz val="14"/>
      <color rgb="FF002060"/>
      <name val="Arial"/>
      <family val="2"/>
    </font>
    <font>
      <b/>
      <sz val="13"/>
      <color rgb="FF00206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color rgb="FF000000"/>
      <name val="Arial"/>
      <family val="2"/>
    </font>
    <font>
      <sz val="10"/>
      <color indexed="12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10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 applyNumberFormat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0" fontId="15" fillId="0" borderId="0"/>
    <xf numFmtId="164" fontId="1" fillId="0" borderId="0" applyFont="0" applyFill="0" applyBorder="0" applyAlignment="0" applyProtection="0"/>
  </cellStyleXfs>
  <cellXfs count="952">
    <xf numFmtId="0" fontId="1" fillId="0" borderId="0" xfId="0" applyNumberFormat="1" applyFont="1" applyFill="1" applyBorder="1" applyAlignment="1" applyProtection="1">
      <alignment vertical="top"/>
    </xf>
    <xf numFmtId="0" fontId="3" fillId="2" borderId="0" xfId="3" applyNumberFormat="1" applyFont="1" applyFill="1" applyBorder="1" applyAlignment="1" applyProtection="1">
      <alignment vertical="top"/>
    </xf>
    <xf numFmtId="0" fontId="4" fillId="2" borderId="0" xfId="3" applyNumberFormat="1" applyFont="1" applyFill="1" applyBorder="1" applyAlignment="1" applyProtection="1">
      <alignment vertical="top"/>
    </xf>
    <xf numFmtId="2" fontId="6" fillId="0" borderId="1" xfId="0" applyNumberFormat="1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vertical="center"/>
    </xf>
    <xf numFmtId="0" fontId="5" fillId="5" borderId="0" xfId="0" applyFont="1" applyFill="1" applyBorder="1" applyAlignment="1">
      <alignment vertical="center"/>
    </xf>
    <xf numFmtId="0" fontId="5" fillId="5" borderId="0" xfId="0" applyNumberFormat="1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>
      <alignment horizontal="left" vertical="center"/>
    </xf>
    <xf numFmtId="0" fontId="5" fillId="5" borderId="0" xfId="0" applyFont="1" applyFill="1" applyBorder="1" applyAlignment="1">
      <alignment horizontal="right" vertical="center"/>
    </xf>
    <xf numFmtId="0" fontId="8" fillId="5" borderId="2" xfId="0" applyNumberFormat="1" applyFont="1" applyFill="1" applyBorder="1" applyAlignment="1" applyProtection="1">
      <alignment vertical="top" wrapText="1"/>
    </xf>
    <xf numFmtId="0" fontId="9" fillId="5" borderId="2" xfId="0" applyNumberFormat="1" applyFont="1" applyFill="1" applyBorder="1" applyAlignment="1" applyProtection="1">
      <alignment vertical="top" wrapText="1"/>
    </xf>
    <xf numFmtId="0" fontId="8" fillId="5" borderId="9" xfId="0" applyNumberFormat="1" applyFont="1" applyFill="1" applyBorder="1" applyAlignment="1" applyProtection="1">
      <alignment vertical="top" wrapText="1"/>
    </xf>
    <xf numFmtId="0" fontId="0" fillId="0" borderId="1" xfId="0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2" fontId="5" fillId="3" borderId="6" xfId="0" applyNumberFormat="1" applyFont="1" applyFill="1" applyBorder="1" applyAlignment="1">
      <alignment horizontal="center" vertical="center" wrapText="1"/>
    </xf>
    <xf numFmtId="0" fontId="2" fillId="2" borderId="0" xfId="3" applyNumberFormat="1" applyFont="1" applyFill="1" applyBorder="1" applyAlignment="1" applyProtection="1">
      <alignment horizontal="center" vertical="center"/>
    </xf>
    <xf numFmtId="0" fontId="2" fillId="2" borderId="0" xfId="3" applyNumberFormat="1" applyFont="1" applyFill="1" applyBorder="1" applyAlignment="1" applyProtection="1">
      <alignment vertical="center" wrapText="1"/>
    </xf>
    <xf numFmtId="0" fontId="2" fillId="4" borderId="1" xfId="3" applyNumberFormat="1" applyFont="1" applyFill="1" applyBorder="1" applyAlignment="1" applyProtection="1">
      <alignment horizontal="center" vertical="center"/>
    </xf>
    <xf numFmtId="0" fontId="5" fillId="4" borderId="1" xfId="3" applyNumberFormat="1" applyFont="1" applyFill="1" applyBorder="1" applyAlignment="1" applyProtection="1">
      <alignment horizontal="center" vertical="center"/>
    </xf>
    <xf numFmtId="0" fontId="5" fillId="4" borderId="1" xfId="3" applyNumberFormat="1" applyFont="1" applyFill="1" applyBorder="1" applyAlignment="1" applyProtection="1">
      <alignment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wrapText="1"/>
    </xf>
    <xf numFmtId="2" fontId="6" fillId="0" borderId="1" xfId="0" applyNumberFormat="1" applyFont="1" applyFill="1" applyBorder="1" applyAlignment="1">
      <alignment horizontal="center" wrapText="1"/>
    </xf>
    <xf numFmtId="0" fontId="0" fillId="0" borderId="16" xfId="0" applyFill="1" applyBorder="1" applyAlignment="1">
      <alignment horizontal="center" wrapText="1"/>
    </xf>
    <xf numFmtId="2" fontId="6" fillId="0" borderId="16" xfId="0" applyNumberFormat="1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2" fontId="5" fillId="3" borderId="6" xfId="0" applyNumberFormat="1" applyFont="1" applyFill="1" applyBorder="1" applyAlignment="1">
      <alignment horizontal="center" wrapText="1"/>
    </xf>
    <xf numFmtId="0" fontId="0" fillId="3" borderId="16" xfId="0" applyFill="1" applyBorder="1" applyAlignment="1">
      <alignment horizontal="center" wrapText="1"/>
    </xf>
    <xf numFmtId="0" fontId="5" fillId="3" borderId="16" xfId="0" applyFont="1" applyFill="1" applyBorder="1" applyAlignment="1">
      <alignment horizontal="center" wrapText="1"/>
    </xf>
    <xf numFmtId="0" fontId="5" fillId="3" borderId="19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vertical="center" wrapText="1"/>
    </xf>
    <xf numFmtId="2" fontId="5" fillId="5" borderId="1" xfId="0" applyNumberFormat="1" applyFont="1" applyFill="1" applyBorder="1" applyAlignment="1">
      <alignment horizontal="right" wrapText="1"/>
    </xf>
    <xf numFmtId="0" fontId="1" fillId="0" borderId="1" xfId="0" applyNumberFormat="1" applyFont="1" applyFill="1" applyBorder="1" applyAlignment="1" applyProtection="1">
      <alignment vertical="top"/>
    </xf>
    <xf numFmtId="0" fontId="6" fillId="0" borderId="1" xfId="0" applyFont="1" applyFill="1" applyBorder="1" applyAlignment="1">
      <alignment horizontal="center" wrapText="1"/>
    </xf>
    <xf numFmtId="0" fontId="0" fillId="3" borderId="15" xfId="0" applyFill="1" applyBorder="1" applyAlignment="1">
      <alignment horizontal="center" wrapText="1"/>
    </xf>
    <xf numFmtId="0" fontId="5" fillId="3" borderId="1" xfId="0" applyFont="1" applyFill="1" applyBorder="1" applyAlignment="1">
      <alignment vertical="center"/>
    </xf>
    <xf numFmtId="0" fontId="5" fillId="2" borderId="19" xfId="0" applyFont="1" applyFill="1" applyBorder="1" applyAlignment="1">
      <alignment horizontal="center" vertical="center" wrapText="1"/>
    </xf>
    <xf numFmtId="2" fontId="5" fillId="2" borderId="6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right" wrapText="1"/>
    </xf>
    <xf numFmtId="2" fontId="0" fillId="0" borderId="6" xfId="0" applyNumberForma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" fontId="5" fillId="5" borderId="6" xfId="0" applyNumberFormat="1" applyFont="1" applyFill="1" applyBorder="1" applyAlignment="1">
      <alignment horizontal="center" wrapText="1"/>
    </xf>
    <xf numFmtId="0" fontId="1" fillId="2" borderId="0" xfId="0" applyNumberFormat="1" applyFont="1" applyFill="1" applyBorder="1" applyAlignment="1" applyProtection="1">
      <alignment vertical="top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wrapText="1"/>
    </xf>
    <xf numFmtId="2" fontId="5" fillId="2" borderId="0" xfId="0" applyNumberFormat="1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wrapText="1"/>
    </xf>
    <xf numFmtId="0" fontId="0" fillId="0" borderId="3" xfId="0" applyFill="1" applyBorder="1" applyAlignment="1">
      <alignment horizontal="left" wrapText="1"/>
    </xf>
    <xf numFmtId="10" fontId="9" fillId="5" borderId="1" xfId="0" applyNumberFormat="1" applyFont="1" applyFill="1" applyBorder="1" applyAlignment="1" applyProtection="1">
      <alignment vertical="top" wrapText="1"/>
    </xf>
    <xf numFmtId="0" fontId="1" fillId="0" borderId="1" xfId="0" applyFont="1" applyFill="1" applyBorder="1" applyAlignment="1">
      <alignment horizontal="center" wrapText="1"/>
    </xf>
    <xf numFmtId="43" fontId="1" fillId="0" borderId="1" xfId="4" applyNumberFormat="1" applyFont="1" applyFill="1" applyBorder="1" applyAlignment="1">
      <alignment vertical="center" wrapText="1"/>
    </xf>
    <xf numFmtId="165" fontId="1" fillId="0" borderId="6" xfId="0" applyNumberFormat="1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left" wrapText="1"/>
    </xf>
    <xf numFmtId="0" fontId="0" fillId="3" borderId="5" xfId="0" applyFill="1" applyBorder="1" applyAlignment="1">
      <alignment horizontal="left" wrapText="1"/>
    </xf>
    <xf numFmtId="2" fontId="1" fillId="0" borderId="1" xfId="4" applyNumberFormat="1" applyFont="1" applyFill="1" applyBorder="1" applyAlignment="1">
      <alignment vertical="center" wrapText="1"/>
    </xf>
    <xf numFmtId="168" fontId="1" fillId="0" borderId="1" xfId="4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43" fontId="1" fillId="0" borderId="1" xfId="4" applyNumberFormat="1" applyFont="1" applyFill="1" applyBorder="1" applyAlignment="1">
      <alignment horizontal="left" vertical="center" wrapText="1"/>
    </xf>
    <xf numFmtId="2" fontId="1" fillId="0" borderId="1" xfId="0" applyNumberFormat="1" applyFont="1" applyFill="1" applyBorder="1" applyAlignment="1">
      <alignment horizontal="center" wrapText="1"/>
    </xf>
    <xf numFmtId="2" fontId="1" fillId="0" borderId="6" xfId="0" applyNumberFormat="1" applyFont="1" applyFill="1" applyBorder="1" applyAlignment="1">
      <alignment horizontal="center" wrapText="1"/>
    </xf>
    <xf numFmtId="0" fontId="0" fillId="0" borderId="15" xfId="0" applyFill="1" applyBorder="1" applyAlignment="1">
      <alignment horizontal="center" wrapText="1"/>
    </xf>
    <xf numFmtId="0" fontId="1" fillId="0" borderId="16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15" xfId="0" applyFont="1" applyFill="1" applyBorder="1" applyAlignment="1">
      <alignment horizontal="center" wrapText="1"/>
    </xf>
    <xf numFmtId="2" fontId="1" fillId="0" borderId="16" xfId="0" applyNumberFormat="1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 wrapText="1"/>
    </xf>
    <xf numFmtId="0" fontId="1" fillId="0" borderId="15" xfId="0" applyFont="1" applyFill="1" applyBorder="1" applyAlignment="1">
      <alignment horizontal="left" wrapText="1"/>
    </xf>
    <xf numFmtId="2" fontId="1" fillId="0" borderId="15" xfId="0" applyNumberFormat="1" applyFont="1" applyFill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0" fillId="0" borderId="2" xfId="0" applyFill="1" applyBorder="1" applyAlignment="1">
      <alignment horizontal="left" wrapText="1"/>
    </xf>
    <xf numFmtId="0" fontId="0" fillId="0" borderId="2" xfId="0" applyFill="1" applyBorder="1" applyAlignment="1">
      <alignment horizontal="center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43" fontId="1" fillId="2" borderId="0" xfId="1" applyFont="1" applyFill="1" applyBorder="1" applyAlignment="1" applyProtection="1">
      <alignment horizontal="center" vertical="top"/>
    </xf>
    <xf numFmtId="0" fontId="1" fillId="0" borderId="16" xfId="0" applyNumberFormat="1" applyFont="1" applyFill="1" applyBorder="1" applyAlignment="1" applyProtection="1">
      <alignment vertical="top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wrapText="1"/>
    </xf>
    <xf numFmtId="0" fontId="5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left" wrapText="1"/>
    </xf>
    <xf numFmtId="2" fontId="2" fillId="2" borderId="0" xfId="0" applyNumberFormat="1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 wrapText="1"/>
    </xf>
    <xf numFmtId="2" fontId="6" fillId="2" borderId="0" xfId="0" applyNumberFormat="1" applyFont="1" applyFill="1" applyBorder="1" applyAlignment="1">
      <alignment horizontal="center" wrapText="1"/>
    </xf>
    <xf numFmtId="3" fontId="2" fillId="2" borderId="0" xfId="0" applyNumberFormat="1" applyFont="1" applyFill="1" applyBorder="1" applyAlignment="1">
      <alignment horizontal="center" wrapText="1"/>
    </xf>
    <xf numFmtId="43" fontId="2" fillId="2" borderId="0" xfId="4" applyNumberFormat="1" applyFont="1" applyFill="1" applyBorder="1" applyAlignment="1">
      <alignment horizontal="left" vertical="center" wrapText="1"/>
    </xf>
    <xf numFmtId="165" fontId="2" fillId="2" borderId="0" xfId="0" applyNumberFormat="1" applyFont="1" applyFill="1" applyBorder="1" applyAlignment="1">
      <alignment horizontal="center" wrapText="1"/>
    </xf>
    <xf numFmtId="2" fontId="5" fillId="2" borderId="0" xfId="0" applyNumberFormat="1" applyFont="1" applyFill="1" applyBorder="1" applyAlignment="1">
      <alignment horizontal="right" wrapText="1"/>
    </xf>
    <xf numFmtId="3" fontId="2" fillId="2" borderId="0" xfId="0" applyNumberFormat="1" applyFont="1" applyFill="1" applyBorder="1" applyAlignment="1">
      <alignment horizontal="left" wrapText="1"/>
    </xf>
    <xf numFmtId="4" fontId="2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center" vertical="center"/>
    </xf>
    <xf numFmtId="4" fontId="5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/>
    </xf>
    <xf numFmtId="43" fontId="2" fillId="2" borderId="0" xfId="4" applyNumberFormat="1" applyFont="1" applyFill="1" applyBorder="1" applyAlignment="1">
      <alignment vertical="center" wrapText="1"/>
    </xf>
    <xf numFmtId="166" fontId="2" fillId="2" borderId="0" xfId="4" applyNumberFormat="1" applyFont="1" applyFill="1" applyBorder="1" applyAlignment="1">
      <alignment vertical="center" wrapText="1"/>
    </xf>
    <xf numFmtId="167" fontId="2" fillId="2" borderId="0" xfId="0" applyNumberFormat="1" applyFont="1" applyFill="1" applyBorder="1" applyAlignment="1">
      <alignment horizontal="center" wrapText="1"/>
    </xf>
    <xf numFmtId="49" fontId="2" fillId="2" borderId="0" xfId="0" applyNumberFormat="1" applyFont="1" applyFill="1" applyBorder="1" applyAlignment="1">
      <alignment horizontal="center" wrapText="1"/>
    </xf>
    <xf numFmtId="49" fontId="2" fillId="2" borderId="0" xfId="4" applyNumberFormat="1" applyFont="1" applyFill="1" applyBorder="1" applyAlignment="1">
      <alignment horizontal="center" wrapText="1"/>
    </xf>
    <xf numFmtId="2" fontId="2" fillId="2" borderId="0" xfId="0" applyNumberFormat="1" applyFont="1" applyFill="1" applyBorder="1" applyAlignment="1">
      <alignment vertical="center" wrapText="1"/>
    </xf>
    <xf numFmtId="2" fontId="2" fillId="2" borderId="0" xfId="0" applyNumberFormat="1" applyFont="1" applyFill="1" applyBorder="1" applyAlignment="1">
      <alignment horizontal="right" wrapText="1"/>
    </xf>
    <xf numFmtId="2" fontId="2" fillId="2" borderId="0" xfId="0" applyNumberFormat="1" applyFont="1" applyFill="1" applyBorder="1" applyAlignment="1">
      <alignment wrapText="1"/>
    </xf>
    <xf numFmtId="2" fontId="2" fillId="2" borderId="0" xfId="4" applyNumberFormat="1" applyFont="1" applyFill="1" applyBorder="1" applyAlignment="1">
      <alignment vertical="center" wrapText="1"/>
    </xf>
    <xf numFmtId="168" fontId="2" fillId="2" borderId="0" xfId="4" applyNumberFormat="1" applyFont="1" applyFill="1" applyBorder="1" applyAlignment="1">
      <alignment vertical="center" wrapText="1"/>
    </xf>
    <xf numFmtId="2" fontId="0" fillId="2" borderId="0" xfId="0" applyNumberFormat="1" applyFill="1" applyBorder="1" applyAlignment="1">
      <alignment horizontal="center" wrapText="1"/>
    </xf>
    <xf numFmtId="164" fontId="2" fillId="2" borderId="0" xfId="0" applyNumberFormat="1" applyFont="1" applyFill="1" applyBorder="1" applyAlignment="1">
      <alignment horizontal="center" wrapText="1"/>
    </xf>
    <xf numFmtId="164" fontId="1" fillId="0" borderId="16" xfId="0" applyNumberFormat="1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left" wrapText="1"/>
    </xf>
    <xf numFmtId="2" fontId="1" fillId="0" borderId="4" xfId="0" applyNumberFormat="1" applyFont="1" applyFill="1" applyBorder="1" applyAlignment="1">
      <alignment horizontal="center" wrapText="1"/>
    </xf>
    <xf numFmtId="4" fontId="5" fillId="0" borderId="16" xfId="0" applyNumberFormat="1" applyFont="1" applyBorder="1" applyAlignment="1">
      <alignment horizontal="center" vertical="center"/>
    </xf>
    <xf numFmtId="4" fontId="5" fillId="0" borderId="16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3" fontId="1" fillId="0" borderId="4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wrapText="1"/>
    </xf>
    <xf numFmtId="0" fontId="1" fillId="5" borderId="4" xfId="0" applyFont="1" applyFill="1" applyBorder="1" applyAlignment="1">
      <alignment horizontal="center" wrapText="1"/>
    </xf>
    <xf numFmtId="0" fontId="1" fillId="5" borderId="4" xfId="0" applyFont="1" applyFill="1" applyBorder="1" applyAlignment="1">
      <alignment horizontal="left" wrapText="1"/>
    </xf>
    <xf numFmtId="0" fontId="0" fillId="5" borderId="5" xfId="0" applyFill="1" applyBorder="1" applyAlignment="1">
      <alignment horizontal="left" wrapText="1"/>
    </xf>
    <xf numFmtId="0" fontId="1" fillId="0" borderId="0" xfId="0" applyFont="1" applyFill="1" applyBorder="1" applyAlignment="1">
      <alignment horizontal="center" wrapText="1"/>
    </xf>
    <xf numFmtId="3" fontId="1" fillId="0" borderId="1" xfId="0" applyNumberFormat="1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2" fontId="5" fillId="0" borderId="2" xfId="0" applyNumberFormat="1" applyFont="1" applyFill="1" applyBorder="1" applyAlignment="1">
      <alignment horizontal="center" wrapText="1"/>
    </xf>
    <xf numFmtId="2" fontId="5" fillId="0" borderId="2" xfId="0" applyNumberFormat="1" applyFont="1" applyFill="1" applyBorder="1" applyAlignment="1">
      <alignment horizontal="right" wrapText="1"/>
    </xf>
    <xf numFmtId="0" fontId="1" fillId="5" borderId="17" xfId="0" applyFont="1" applyFill="1" applyBorder="1" applyAlignment="1">
      <alignment horizontal="center" wrapText="1"/>
    </xf>
    <xf numFmtId="0" fontId="0" fillId="5" borderId="18" xfId="0" applyFill="1" applyBorder="1" applyAlignment="1">
      <alignment horizontal="left" wrapText="1"/>
    </xf>
    <xf numFmtId="3" fontId="1" fillId="0" borderId="15" xfId="0" applyNumberFormat="1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left" vertical="center" wrapText="1"/>
    </xf>
    <xf numFmtId="2" fontId="6" fillId="0" borderId="2" xfId="0" applyNumberFormat="1" applyFont="1" applyFill="1" applyBorder="1" applyAlignment="1">
      <alignment horizontal="center" wrapText="1"/>
    </xf>
    <xf numFmtId="2" fontId="1" fillId="0" borderId="2" xfId="0" applyNumberFormat="1" applyFont="1" applyFill="1" applyBorder="1" applyAlignment="1">
      <alignment horizontal="center" wrapText="1"/>
    </xf>
    <xf numFmtId="0" fontId="15" fillId="0" borderId="0" xfId="5"/>
    <xf numFmtId="0" fontId="17" fillId="0" borderId="0" xfId="5" applyFont="1"/>
    <xf numFmtId="0" fontId="15" fillId="0" borderId="25" xfId="5" applyBorder="1"/>
    <xf numFmtId="0" fontId="15" fillId="0" borderId="0" xfId="5" applyBorder="1"/>
    <xf numFmtId="0" fontId="15" fillId="0" borderId="26" xfId="5" applyBorder="1"/>
    <xf numFmtId="0" fontId="16" fillId="0" borderId="27" xfId="5" applyFont="1" applyBorder="1" applyAlignment="1">
      <alignment horizontal="center" vertical="center"/>
    </xf>
    <xf numFmtId="0" fontId="18" fillId="0" borderId="28" xfId="5" applyFont="1" applyBorder="1" applyAlignment="1">
      <alignment horizontal="center" vertical="center"/>
    </xf>
    <xf numFmtId="0" fontId="19" fillId="0" borderId="29" xfId="5" applyFont="1" applyBorder="1" applyAlignment="1">
      <alignment horizontal="center" vertical="center"/>
    </xf>
    <xf numFmtId="0" fontId="16" fillId="0" borderId="30" xfId="5" applyFont="1" applyBorder="1" applyAlignment="1">
      <alignment horizontal="center" vertical="center"/>
    </xf>
    <xf numFmtId="0" fontId="20" fillId="0" borderId="30" xfId="5" applyFont="1" applyBorder="1" applyAlignment="1">
      <alignment horizontal="left" vertical="center" indent="1"/>
    </xf>
    <xf numFmtId="0" fontId="16" fillId="0" borderId="30" xfId="5" applyFont="1" applyBorder="1" applyAlignment="1">
      <alignment vertical="center"/>
    </xf>
    <xf numFmtId="0" fontId="21" fillId="0" borderId="30" xfId="5" applyFont="1" applyBorder="1" applyAlignment="1">
      <alignment horizontal="left" vertical="center" indent="1"/>
    </xf>
    <xf numFmtId="169" fontId="16" fillId="0" borderId="30" xfId="1" applyNumberFormat="1" applyFont="1" applyFill="1" applyBorder="1" applyAlignment="1" applyProtection="1">
      <alignment horizontal="center" vertical="center"/>
    </xf>
    <xf numFmtId="169" fontId="16" fillId="0" borderId="27" xfId="1" applyNumberFormat="1" applyFont="1" applyFill="1" applyBorder="1" applyAlignment="1" applyProtection="1">
      <alignment horizontal="center" vertical="center"/>
    </xf>
    <xf numFmtId="0" fontId="15" fillId="0" borderId="29" xfId="5" applyBorder="1"/>
    <xf numFmtId="0" fontId="21" fillId="0" borderId="30" xfId="5" applyFont="1" applyFill="1" applyBorder="1" applyAlignment="1">
      <alignment horizontal="left" vertical="center" indent="1"/>
    </xf>
    <xf numFmtId="169" fontId="16" fillId="0" borderId="27" xfId="5" applyNumberFormat="1" applyFont="1" applyBorder="1" applyAlignment="1">
      <alignment horizontal="center" vertical="center"/>
    </xf>
    <xf numFmtId="10" fontId="23" fillId="0" borderId="27" xfId="2" applyNumberFormat="1" applyFont="1" applyFill="1" applyBorder="1" applyAlignment="1" applyProtection="1">
      <alignment horizontal="center" vertical="center"/>
    </xf>
    <xf numFmtId="0" fontId="5" fillId="5" borderId="32" xfId="0" applyFont="1" applyFill="1" applyBorder="1" applyAlignment="1">
      <alignment horizontal="center"/>
    </xf>
    <xf numFmtId="0" fontId="5" fillId="5" borderId="33" xfId="0" applyFont="1" applyFill="1" applyBorder="1" applyAlignment="1">
      <alignment horizontal="center" vertical="center" wrapText="1"/>
    </xf>
    <xf numFmtId="0" fontId="5" fillId="5" borderId="33" xfId="0" applyFont="1" applyFill="1" applyBorder="1" applyAlignment="1">
      <alignment horizontal="center"/>
    </xf>
    <xf numFmtId="0" fontId="5" fillId="5" borderId="34" xfId="0" applyFont="1" applyFill="1" applyBorder="1" applyAlignment="1">
      <alignment horizontal="center"/>
    </xf>
    <xf numFmtId="0" fontId="24" fillId="6" borderId="10" xfId="0" applyFont="1" applyFill="1" applyBorder="1" applyAlignment="1">
      <alignment horizontal="center"/>
    </xf>
    <xf numFmtId="0" fontId="24" fillId="6" borderId="35" xfId="0" applyFont="1" applyFill="1" applyBorder="1" applyAlignment="1">
      <alignment horizontal="left" vertical="center" wrapText="1"/>
    </xf>
    <xf numFmtId="0" fontId="25" fillId="6" borderId="36" xfId="0" applyFont="1" applyFill="1" applyBorder="1" applyAlignment="1">
      <alignment horizontal="center"/>
    </xf>
    <xf numFmtId="0" fontId="25" fillId="6" borderId="37" xfId="0" applyFont="1" applyFill="1" applyBorder="1" applyAlignment="1">
      <alignment horizontal="center"/>
    </xf>
    <xf numFmtId="0" fontId="25" fillId="0" borderId="38" xfId="0" applyFont="1" applyBorder="1" applyAlignment="1">
      <alignment horizontal="center"/>
    </xf>
    <xf numFmtId="0" fontId="25" fillId="0" borderId="16" xfId="0" applyFont="1" applyBorder="1" applyAlignment="1">
      <alignment horizontal="left" vertical="center" wrapText="1"/>
    </xf>
    <xf numFmtId="0" fontId="25" fillId="0" borderId="6" xfId="0" applyFont="1" applyBorder="1" applyAlignment="1">
      <alignment horizontal="center"/>
    </xf>
    <xf numFmtId="0" fontId="25" fillId="0" borderId="39" xfId="0" applyFont="1" applyBorder="1" applyAlignment="1">
      <alignment horizontal="center"/>
    </xf>
    <xf numFmtId="0" fontId="25" fillId="0" borderId="1" xfId="0" applyFont="1" applyFill="1" applyBorder="1" applyAlignment="1">
      <alignment horizontal="center" vertical="center" wrapText="1"/>
    </xf>
    <xf numFmtId="0" fontId="25" fillId="0" borderId="19" xfId="0" applyFont="1" applyBorder="1" applyAlignment="1">
      <alignment horizontal="center"/>
    </xf>
    <xf numFmtId="0" fontId="25" fillId="0" borderId="44" xfId="0" applyFont="1" applyBorder="1" applyAlignment="1">
      <alignment horizontal="center"/>
    </xf>
    <xf numFmtId="0" fontId="25" fillId="0" borderId="43" xfId="0" applyFont="1" applyFill="1" applyBorder="1" applyAlignment="1">
      <alignment horizontal="center"/>
    </xf>
    <xf numFmtId="0" fontId="25" fillId="0" borderId="42" xfId="0" applyFont="1" applyFill="1" applyBorder="1" applyAlignment="1">
      <alignment horizontal="left" vertical="center" wrapText="1"/>
    </xf>
    <xf numFmtId="0" fontId="25" fillId="0" borderId="42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/>
    </xf>
    <xf numFmtId="0" fontId="25" fillId="0" borderId="40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5" fillId="0" borderId="46" xfId="0" applyFont="1" applyFill="1" applyBorder="1" applyAlignment="1">
      <alignment horizontal="center"/>
    </xf>
    <xf numFmtId="0" fontId="25" fillId="0" borderId="41" xfId="0" applyFont="1" applyFill="1" applyBorder="1" applyAlignment="1">
      <alignment horizontal="left" vertical="center" wrapText="1"/>
    </xf>
    <xf numFmtId="0" fontId="25" fillId="0" borderId="22" xfId="0" applyFont="1" applyFill="1" applyBorder="1" applyAlignment="1">
      <alignment horizontal="center" vertical="center" wrapText="1"/>
    </xf>
    <xf numFmtId="0" fontId="25" fillId="0" borderId="47" xfId="0" applyFont="1" applyBorder="1" applyAlignment="1">
      <alignment horizontal="center"/>
    </xf>
    <xf numFmtId="0" fontId="25" fillId="0" borderId="22" xfId="0" applyFont="1" applyBorder="1" applyAlignment="1">
      <alignment horizontal="left" vertical="center" wrapText="1"/>
    </xf>
    <xf numFmtId="0" fontId="25" fillId="0" borderId="42" xfId="0" applyFont="1" applyFill="1" applyBorder="1" applyAlignment="1">
      <alignment horizontal="center"/>
    </xf>
    <xf numFmtId="0" fontId="25" fillId="0" borderId="44" xfId="0" applyFont="1" applyFill="1" applyBorder="1" applyAlignment="1">
      <alignment horizontal="center"/>
    </xf>
    <xf numFmtId="0" fontId="25" fillId="0" borderId="45" xfId="0" applyFont="1" applyFill="1" applyBorder="1" applyAlignment="1">
      <alignment horizontal="center"/>
    </xf>
    <xf numFmtId="0" fontId="25" fillId="0" borderId="40" xfId="0" applyFont="1" applyFill="1" applyBorder="1" applyAlignment="1">
      <alignment horizontal="center"/>
    </xf>
    <xf numFmtId="0" fontId="25" fillId="0" borderId="23" xfId="0" applyFont="1" applyFill="1" applyBorder="1" applyAlignment="1">
      <alignment horizontal="center"/>
    </xf>
    <xf numFmtId="0" fontId="26" fillId="6" borderId="10" xfId="0" applyFont="1" applyFill="1" applyBorder="1" applyAlignment="1">
      <alignment horizontal="center"/>
    </xf>
    <xf numFmtId="0" fontId="26" fillId="6" borderId="35" xfId="0" applyFont="1" applyFill="1" applyBorder="1" applyAlignment="1">
      <alignment horizontal="left" vertical="center" wrapText="1"/>
    </xf>
    <xf numFmtId="0" fontId="27" fillId="2" borderId="39" xfId="0" applyFont="1" applyFill="1" applyBorder="1" applyAlignment="1">
      <alignment horizontal="center"/>
    </xf>
    <xf numFmtId="0" fontId="1" fillId="0" borderId="22" xfId="0" applyFont="1" applyBorder="1" applyAlignment="1">
      <alignment horizontal="left" vertical="center"/>
    </xf>
    <xf numFmtId="0" fontId="25" fillId="2" borderId="47" xfId="0" applyFont="1" applyFill="1" applyBorder="1" applyAlignment="1">
      <alignment horizontal="center"/>
    </xf>
    <xf numFmtId="0" fontId="1" fillId="0" borderId="16" xfId="0" applyFont="1" applyBorder="1" applyAlignment="1">
      <alignment horizontal="left" vertical="center"/>
    </xf>
    <xf numFmtId="0" fontId="25" fillId="0" borderId="16" xfId="0" applyFont="1" applyFill="1" applyBorder="1" applyAlignment="1">
      <alignment horizontal="center" vertical="center" wrapText="1"/>
    </xf>
    <xf numFmtId="0" fontId="25" fillId="2" borderId="19" xfId="0" applyFont="1" applyFill="1" applyBorder="1" applyAlignment="1">
      <alignment horizontal="center"/>
    </xf>
    <xf numFmtId="2" fontId="25" fillId="2" borderId="16" xfId="0" applyNumberFormat="1" applyFont="1" applyFill="1" applyBorder="1" applyAlignment="1">
      <alignment horizontal="center" wrapText="1"/>
    </xf>
    <xf numFmtId="0" fontId="28" fillId="0" borderId="0" xfId="0" applyNumberFormat="1" applyFont="1" applyFill="1" applyBorder="1" applyAlignment="1" applyProtection="1">
      <alignment vertical="top"/>
    </xf>
    <xf numFmtId="43" fontId="1" fillId="0" borderId="1" xfId="4" applyNumberFormat="1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/>
    </xf>
    <xf numFmtId="0" fontId="25" fillId="2" borderId="1" xfId="0" applyFont="1" applyFill="1" applyBorder="1" applyAlignment="1">
      <alignment horizontal="left" vertical="center" wrapText="1"/>
    </xf>
    <xf numFmtId="0" fontId="14" fillId="7" borderId="49" xfId="0" applyFont="1" applyFill="1" applyBorder="1" applyAlignment="1">
      <alignment horizontal="left"/>
    </xf>
    <xf numFmtId="0" fontId="29" fillId="7" borderId="50" xfId="0" applyFont="1" applyFill="1" applyBorder="1" applyAlignment="1">
      <alignment horizontal="left"/>
    </xf>
    <xf numFmtId="0" fontId="29" fillId="7" borderId="51" xfId="0" applyFont="1" applyFill="1" applyBorder="1" applyAlignment="1">
      <alignment horizontal="left"/>
    </xf>
    <xf numFmtId="0" fontId="14" fillId="7" borderId="52" xfId="0" applyFont="1" applyFill="1" applyBorder="1" applyAlignment="1">
      <alignment horizontal="left"/>
    </xf>
    <xf numFmtId="0" fontId="30" fillId="7" borderId="0" xfId="0" applyFont="1" applyFill="1" applyBorder="1" applyAlignment="1">
      <alignment horizontal="left"/>
    </xf>
    <xf numFmtId="0" fontId="30" fillId="7" borderId="53" xfId="0" applyFont="1" applyFill="1" applyBorder="1" applyAlignment="1">
      <alignment horizontal="left"/>
    </xf>
    <xf numFmtId="0" fontId="31" fillId="0" borderId="52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10" fillId="0" borderId="53" xfId="0" applyFont="1" applyFill="1" applyBorder="1" applyAlignment="1">
      <alignment horizontal="center"/>
    </xf>
    <xf numFmtId="0" fontId="34" fillId="0" borderId="54" xfId="0" applyFont="1" applyBorder="1" applyAlignment="1"/>
    <xf numFmtId="0" fontId="32" fillId="0" borderId="57" xfId="0" applyFont="1" applyBorder="1" applyAlignment="1">
      <alignment horizontal="center"/>
    </xf>
    <xf numFmtId="0" fontId="14" fillId="0" borderId="34" xfId="0" applyFont="1" applyBorder="1" applyAlignment="1">
      <alignment horizontal="center" vertical="center"/>
    </xf>
    <xf numFmtId="0" fontId="5" fillId="8" borderId="6" xfId="0" applyFont="1" applyFill="1" applyBorder="1" applyAlignment="1">
      <alignment vertical="center"/>
    </xf>
    <xf numFmtId="0" fontId="38" fillId="0" borderId="13" xfId="0" applyFont="1" applyBorder="1" applyAlignment="1">
      <alignment horizontal="center" vertical="center"/>
    </xf>
    <xf numFmtId="0" fontId="38" fillId="7" borderId="1" xfId="0" applyFont="1" applyFill="1" applyBorder="1" applyAlignment="1">
      <alignment horizontal="justify" vertical="center"/>
    </xf>
    <xf numFmtId="170" fontId="38" fillId="7" borderId="6" xfId="0" applyNumberFormat="1" applyFont="1" applyFill="1" applyBorder="1" applyAlignment="1">
      <alignment vertical="center"/>
    </xf>
    <xf numFmtId="0" fontId="38" fillId="7" borderId="1" xfId="0" applyFont="1" applyFill="1" applyBorder="1" applyAlignment="1">
      <alignment horizontal="left" vertical="center" wrapText="1"/>
    </xf>
    <xf numFmtId="0" fontId="38" fillId="0" borderId="1" xfId="0" applyFont="1" applyFill="1" applyBorder="1" applyAlignment="1">
      <alignment horizontal="left" vertical="center" wrapText="1"/>
    </xf>
    <xf numFmtId="170" fontId="38" fillId="0" borderId="6" xfId="0" applyNumberFormat="1" applyFont="1" applyFill="1" applyBorder="1" applyAlignment="1">
      <alignment vertical="center"/>
    </xf>
    <xf numFmtId="0" fontId="10" fillId="8" borderId="59" xfId="0" applyFont="1" applyFill="1" applyBorder="1" applyAlignment="1">
      <alignment horizontal="center"/>
    </xf>
    <xf numFmtId="171" fontId="14" fillId="8" borderId="60" xfId="0" applyNumberFormat="1" applyFont="1" applyFill="1" applyBorder="1" applyAlignment="1">
      <alignment horizontal="right" wrapText="1"/>
    </xf>
    <xf numFmtId="171" fontId="39" fillId="8" borderId="61" xfId="6" applyNumberFormat="1" applyFont="1" applyFill="1" applyBorder="1" applyAlignment="1"/>
    <xf numFmtId="0" fontId="5" fillId="0" borderId="62" xfId="0" applyFont="1" applyBorder="1" applyAlignment="1">
      <alignment horizontal="center"/>
    </xf>
    <xf numFmtId="0" fontId="33" fillId="0" borderId="63" xfId="0" applyFont="1" applyBorder="1" applyAlignment="1">
      <alignment horizontal="center" vertical="justify"/>
    </xf>
    <xf numFmtId="170" fontId="1" fillId="0" borderId="64" xfId="0" applyNumberFormat="1" applyFont="1" applyBorder="1" applyAlignment="1"/>
    <xf numFmtId="0" fontId="14" fillId="0" borderId="52" xfId="0" applyFont="1" applyBorder="1" applyAlignment="1"/>
    <xf numFmtId="0" fontId="14" fillId="0" borderId="0" xfId="0" applyFont="1" applyBorder="1" applyAlignment="1">
      <alignment horizontal="center"/>
    </xf>
    <xf numFmtId="171" fontId="0" fillId="0" borderId="53" xfId="0" applyNumberFormat="1" applyBorder="1" applyAlignment="1"/>
    <xf numFmtId="0" fontId="25" fillId="2" borderId="13" xfId="0" applyFont="1" applyFill="1" applyBorder="1" applyAlignment="1">
      <alignment horizontal="center"/>
    </xf>
    <xf numFmtId="0" fontId="25" fillId="2" borderId="1" xfId="0" applyFont="1" applyFill="1" applyBorder="1" applyAlignment="1">
      <alignment horizontal="center"/>
    </xf>
    <xf numFmtId="0" fontId="1" fillId="2" borderId="0" xfId="0" applyNumberFormat="1" applyFont="1" applyFill="1" applyBorder="1" applyAlignment="1" applyProtection="1">
      <alignment vertical="center"/>
    </xf>
    <xf numFmtId="0" fontId="1" fillId="2" borderId="0" xfId="0" applyNumberFormat="1" applyFont="1" applyFill="1" applyBorder="1" applyAlignment="1" applyProtection="1">
      <alignment horizontal="left" vertical="center"/>
    </xf>
    <xf numFmtId="43" fontId="40" fillId="2" borderId="0" xfId="1" applyFont="1" applyFill="1" applyBorder="1" applyAlignment="1" applyProtection="1">
      <alignment horizontal="right" vertical="center"/>
    </xf>
    <xf numFmtId="43" fontId="41" fillId="2" borderId="0" xfId="1" applyFont="1" applyFill="1" applyBorder="1" applyAlignment="1" applyProtection="1">
      <alignment vertical="top"/>
    </xf>
    <xf numFmtId="0" fontId="40" fillId="2" borderId="0" xfId="0" applyNumberFormat="1" applyFont="1" applyFill="1" applyBorder="1" applyAlignment="1" applyProtection="1">
      <alignment vertical="center" wrapText="1"/>
    </xf>
    <xf numFmtId="0" fontId="40" fillId="2" borderId="0" xfId="0" applyNumberFormat="1" applyFont="1" applyFill="1" applyBorder="1" applyAlignment="1" applyProtection="1">
      <alignment horizontal="left" vertical="center" wrapText="1"/>
    </xf>
    <xf numFmtId="43" fontId="42" fillId="2" borderId="2" xfId="1" applyFont="1" applyFill="1" applyBorder="1" applyAlignment="1" applyProtection="1">
      <alignment horizontal="right" vertical="top"/>
    </xf>
    <xf numFmtId="0" fontId="41" fillId="2" borderId="0" xfId="3" applyNumberFormat="1" applyFont="1" applyFill="1" applyBorder="1" applyAlignment="1" applyProtection="1">
      <alignment vertical="top"/>
    </xf>
    <xf numFmtId="43" fontId="10" fillId="4" borderId="1" xfId="3" applyNumberFormat="1" applyFont="1" applyFill="1" applyBorder="1" applyAlignment="1" applyProtection="1">
      <alignment vertical="top"/>
    </xf>
    <xf numFmtId="0" fontId="40" fillId="2" borderId="0" xfId="3" applyNumberFormat="1" applyFont="1" applyFill="1" applyBorder="1" applyAlignment="1" applyProtection="1">
      <alignment vertical="top"/>
    </xf>
    <xf numFmtId="43" fontId="40" fillId="2" borderId="0" xfId="1" applyFont="1" applyFill="1" applyBorder="1" applyAlignment="1" applyProtection="1">
      <alignment vertical="top"/>
    </xf>
    <xf numFmtId="43" fontId="40" fillId="2" borderId="0" xfId="3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40" fillId="4" borderId="1" xfId="3" applyNumberFormat="1" applyFont="1" applyFill="1" applyBorder="1" applyAlignment="1" applyProtection="1">
      <alignment horizontal="center" vertical="center"/>
    </xf>
    <xf numFmtId="0" fontId="25" fillId="9" borderId="38" xfId="0" applyFont="1" applyFill="1" applyBorder="1" applyAlignment="1">
      <alignment horizontal="center"/>
    </xf>
    <xf numFmtId="0" fontId="25" fillId="9" borderId="16" xfId="0" applyFont="1" applyFill="1" applyBorder="1" applyAlignment="1">
      <alignment horizontal="left" vertical="center" wrapText="1"/>
    </xf>
    <xf numFmtId="0" fontId="25" fillId="9" borderId="16" xfId="0" applyFont="1" applyFill="1" applyBorder="1" applyAlignment="1">
      <alignment horizontal="center" wrapText="1"/>
    </xf>
    <xf numFmtId="0" fontId="25" fillId="9" borderId="6" xfId="0" applyFont="1" applyFill="1" applyBorder="1" applyAlignment="1">
      <alignment horizontal="center"/>
    </xf>
    <xf numFmtId="0" fontId="25" fillId="9" borderId="1" xfId="0" applyFont="1" applyFill="1" applyBorder="1" applyAlignment="1">
      <alignment horizontal="left" vertical="center" wrapText="1"/>
    </xf>
    <xf numFmtId="0" fontId="25" fillId="9" borderId="1" xfId="0" applyFont="1" applyFill="1" applyBorder="1" applyAlignment="1">
      <alignment horizontal="center"/>
    </xf>
    <xf numFmtId="0" fontId="1" fillId="0" borderId="0" xfId="0" applyNumberFormat="1" applyFont="1" applyFill="1" applyBorder="1" applyAlignment="1" applyProtection="1">
      <alignment horizontal="center" vertical="top"/>
    </xf>
    <xf numFmtId="0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2" fontId="1" fillId="0" borderId="0" xfId="0" applyNumberFormat="1" applyFont="1" applyFill="1" applyBorder="1" applyAlignment="1" applyProtection="1">
      <alignment vertical="top"/>
    </xf>
    <xf numFmtId="2" fontId="1" fillId="0" borderId="0" xfId="0" applyNumberFormat="1" applyFont="1" applyFill="1" applyBorder="1" applyAlignment="1" applyProtection="1">
      <alignment horizontal="center" vertical="center"/>
    </xf>
    <xf numFmtId="0" fontId="5" fillId="10" borderId="0" xfId="0" applyNumberFormat="1" applyFont="1" applyFill="1" applyBorder="1" applyAlignment="1" applyProtection="1">
      <alignment horizontal="center" vertical="center"/>
    </xf>
    <xf numFmtId="0" fontId="1" fillId="10" borderId="0" xfId="0" applyNumberFormat="1" applyFont="1" applyFill="1" applyBorder="1" applyAlignment="1" applyProtection="1">
      <alignment horizontal="center" vertical="center"/>
    </xf>
    <xf numFmtId="0" fontId="1" fillId="10" borderId="0" xfId="0" applyNumberFormat="1" applyFont="1" applyFill="1" applyBorder="1" applyAlignment="1" applyProtection="1">
      <alignment horizontal="center" vertical="center" wrapText="1"/>
    </xf>
    <xf numFmtId="2" fontId="1" fillId="0" borderId="0" xfId="0" applyNumberFormat="1" applyFont="1" applyFill="1" applyBorder="1" applyAlignment="1" applyProtection="1">
      <alignment horizontal="center" vertical="top"/>
    </xf>
    <xf numFmtId="0" fontId="1" fillId="0" borderId="0" xfId="0" applyNumberFormat="1" applyFont="1" applyFill="1" applyBorder="1" applyAlignment="1" applyProtection="1">
      <alignment horizontal="left" vertical="center"/>
    </xf>
    <xf numFmtId="0" fontId="5" fillId="10" borderId="0" xfId="0" applyNumberFormat="1" applyFont="1" applyFill="1" applyBorder="1" applyAlignment="1" applyProtection="1">
      <alignment horizontal="left" vertical="center"/>
    </xf>
    <xf numFmtId="0" fontId="25" fillId="9" borderId="1" xfId="0" applyFont="1" applyFill="1" applyBorder="1" applyAlignment="1">
      <alignment horizontal="center" vertical="center" wrapText="1"/>
    </xf>
    <xf numFmtId="0" fontId="25" fillId="9" borderId="19" xfId="0" applyFont="1" applyFill="1" applyBorder="1" applyAlignment="1">
      <alignment horizontal="center"/>
    </xf>
    <xf numFmtId="0" fontId="25" fillId="9" borderId="1" xfId="0" applyFont="1" applyFill="1" applyBorder="1" applyAlignment="1">
      <alignment wrapText="1"/>
    </xf>
    <xf numFmtId="0" fontId="25" fillId="9" borderId="40" xfId="0" applyFont="1" applyFill="1" applyBorder="1" applyAlignment="1">
      <alignment horizontal="left" vertical="center" wrapText="1"/>
    </xf>
    <xf numFmtId="0" fontId="25" fillId="9" borderId="23" xfId="0" applyFont="1" applyFill="1" applyBorder="1" applyAlignment="1">
      <alignment horizontal="center"/>
    </xf>
    <xf numFmtId="0" fontId="25" fillId="9" borderId="43" xfId="0" applyFont="1" applyFill="1" applyBorder="1" applyAlignment="1">
      <alignment horizontal="center"/>
    </xf>
    <xf numFmtId="0" fontId="25" fillId="9" borderId="42" xfId="0" applyFont="1" applyFill="1" applyBorder="1" applyAlignment="1">
      <alignment horizontal="left" vertical="center" wrapText="1"/>
    </xf>
    <xf numFmtId="0" fontId="25" fillId="9" borderId="44" xfId="0" applyFont="1" applyFill="1" applyBorder="1" applyAlignment="1">
      <alignment horizontal="center"/>
    </xf>
    <xf numFmtId="0" fontId="25" fillId="9" borderId="13" xfId="0" applyFont="1" applyFill="1" applyBorder="1" applyAlignment="1">
      <alignment horizontal="center"/>
    </xf>
    <xf numFmtId="0" fontId="25" fillId="9" borderId="45" xfId="0" applyFont="1" applyFill="1" applyBorder="1" applyAlignment="1">
      <alignment horizontal="center"/>
    </xf>
    <xf numFmtId="0" fontId="25" fillId="9" borderId="6" xfId="0" applyFont="1" applyFill="1" applyBorder="1" applyAlignment="1">
      <alignment horizontal="center" vertical="center"/>
    </xf>
    <xf numFmtId="0" fontId="25" fillId="9" borderId="38" xfId="0" applyFont="1" applyFill="1" applyBorder="1" applyAlignment="1">
      <alignment horizontal="center" vertical="center"/>
    </xf>
    <xf numFmtId="0" fontId="25" fillId="9" borderId="40" xfId="0" applyFont="1" applyFill="1" applyBorder="1" applyAlignment="1">
      <alignment horizontal="center" vertical="center" wrapText="1"/>
    </xf>
    <xf numFmtId="0" fontId="25" fillId="9" borderId="46" xfId="0" applyFont="1" applyFill="1" applyBorder="1" applyAlignment="1">
      <alignment horizontal="center"/>
    </xf>
    <xf numFmtId="4" fontId="25" fillId="9" borderId="16" xfId="0" applyNumberFormat="1" applyFont="1" applyFill="1" applyBorder="1" applyAlignment="1">
      <alignment horizontal="left" vertical="center" wrapText="1"/>
    </xf>
    <xf numFmtId="0" fontId="1" fillId="11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right" vertical="top"/>
    </xf>
    <xf numFmtId="0" fontId="1" fillId="12" borderId="0" xfId="0" applyNumberFormat="1" applyFont="1" applyFill="1" applyBorder="1" applyAlignment="1" applyProtection="1">
      <alignment vertical="top"/>
    </xf>
    <xf numFmtId="0" fontId="1" fillId="6" borderId="0" xfId="0" applyNumberFormat="1" applyFont="1" applyFill="1" applyBorder="1" applyAlignment="1" applyProtection="1">
      <alignment vertical="top"/>
    </xf>
    <xf numFmtId="0" fontId="1" fillId="6" borderId="0" xfId="0" applyNumberFormat="1" applyFont="1" applyFill="1" applyBorder="1" applyAlignment="1" applyProtection="1">
      <alignment horizontal="right" vertical="top"/>
    </xf>
    <xf numFmtId="0" fontId="1" fillId="11" borderId="0" xfId="0" applyNumberFormat="1" applyFont="1" applyFill="1" applyBorder="1" applyAlignment="1" applyProtection="1">
      <alignment horizontal="right" vertical="top"/>
    </xf>
    <xf numFmtId="0" fontId="1" fillId="12" borderId="0" xfId="0" applyNumberFormat="1" applyFont="1" applyFill="1" applyBorder="1" applyAlignment="1" applyProtection="1">
      <alignment horizontal="right" vertical="top"/>
    </xf>
    <xf numFmtId="4" fontId="25" fillId="9" borderId="1" xfId="0" applyNumberFormat="1" applyFont="1" applyFill="1" applyBorder="1" applyAlignment="1">
      <alignment horizontal="left" vertical="center" wrapText="1"/>
    </xf>
    <xf numFmtId="0" fontId="1" fillId="11" borderId="0" xfId="0" applyNumberFormat="1" applyFont="1" applyFill="1" applyBorder="1" applyAlignment="1" applyProtection="1">
      <alignment horizontal="center" vertical="center"/>
    </xf>
    <xf numFmtId="2" fontId="1" fillId="11" borderId="0" xfId="0" applyNumberFormat="1" applyFont="1" applyFill="1" applyBorder="1" applyAlignment="1" applyProtection="1">
      <alignment horizontal="center" vertical="center"/>
    </xf>
    <xf numFmtId="0" fontId="1" fillId="6" borderId="0" xfId="0" applyNumberFormat="1" applyFont="1" applyFill="1" applyBorder="1" applyAlignment="1" applyProtection="1">
      <alignment horizontal="center" vertical="center"/>
    </xf>
    <xf numFmtId="0" fontId="1" fillId="12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right" vertical="center"/>
    </xf>
    <xf numFmtId="0" fontId="1" fillId="11" borderId="0" xfId="0" applyNumberFormat="1" applyFont="1" applyFill="1" applyBorder="1" applyAlignment="1" applyProtection="1">
      <alignment horizontal="right" vertical="center"/>
    </xf>
    <xf numFmtId="0" fontId="1" fillId="6" borderId="0" xfId="0" applyNumberFormat="1" applyFont="1" applyFill="1" applyBorder="1" applyAlignment="1" applyProtection="1">
      <alignment horizontal="right" vertical="center"/>
    </xf>
    <xf numFmtId="0" fontId="1" fillId="12" borderId="0" xfId="0" applyNumberFormat="1" applyFont="1" applyFill="1" applyBorder="1" applyAlignment="1" applyProtection="1">
      <alignment horizontal="right" vertical="center"/>
    </xf>
    <xf numFmtId="0" fontId="25" fillId="9" borderId="1" xfId="0" applyFont="1" applyFill="1" applyBorder="1" applyAlignment="1">
      <alignment horizontal="center" wrapText="1"/>
    </xf>
    <xf numFmtId="0" fontId="24" fillId="6" borderId="66" xfId="0" applyFont="1" applyFill="1" applyBorder="1" applyAlignment="1">
      <alignment horizontal="center"/>
    </xf>
    <xf numFmtId="0" fontId="24" fillId="6" borderId="67" xfId="0" applyFont="1" applyFill="1" applyBorder="1" applyAlignment="1">
      <alignment horizontal="left" vertical="center" wrapText="1"/>
    </xf>
    <xf numFmtId="0" fontId="25" fillId="6" borderId="56" xfId="0" applyFont="1" applyFill="1" applyBorder="1" applyAlignment="1">
      <alignment horizontal="center"/>
    </xf>
    <xf numFmtId="0" fontId="25" fillId="6" borderId="65" xfId="0" applyFont="1" applyFill="1" applyBorder="1" applyAlignment="1">
      <alignment horizontal="center"/>
    </xf>
    <xf numFmtId="0" fontId="5" fillId="4" borderId="1" xfId="3" applyNumberFormat="1" applyFont="1" applyFill="1" applyBorder="1" applyAlignment="1" applyProtection="1">
      <alignment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3" applyNumberFormat="1" applyFont="1" applyFill="1" applyBorder="1" applyAlignment="1" applyProtection="1">
      <alignment horizontal="center" vertical="center"/>
    </xf>
    <xf numFmtId="0" fontId="2" fillId="0" borderId="1" xfId="3" applyNumberFormat="1" applyFont="1" applyFill="1" applyBorder="1" applyAlignment="1" applyProtection="1">
      <alignment vertical="center" wrapText="1"/>
    </xf>
    <xf numFmtId="43" fontId="40" fillId="0" borderId="1" xfId="1" applyFont="1" applyFill="1" applyBorder="1" applyAlignment="1" applyProtection="1">
      <alignment horizontal="right" vertical="center"/>
    </xf>
    <xf numFmtId="43" fontId="44" fillId="0" borderId="1" xfId="4" applyFont="1" applyFill="1" applyBorder="1" applyAlignment="1" applyProtection="1">
      <alignment horizontal="center" vertical="center"/>
    </xf>
    <xf numFmtId="43" fontId="40" fillId="0" borderId="1" xfId="3" applyNumberFormat="1" applyFont="1" applyFill="1" applyBorder="1" applyAlignment="1" applyProtection="1">
      <alignment vertical="top"/>
    </xf>
    <xf numFmtId="0" fontId="3" fillId="0" borderId="0" xfId="3" applyNumberFormat="1" applyFont="1" applyFill="1" applyBorder="1" applyAlignment="1" applyProtection="1">
      <alignment vertical="top"/>
    </xf>
    <xf numFmtId="0" fontId="1" fillId="0" borderId="1" xfId="3" applyNumberFormat="1" applyFont="1" applyFill="1" applyBorder="1" applyAlignment="1" applyProtection="1">
      <alignment vertical="center" wrapText="1"/>
    </xf>
    <xf numFmtId="0" fontId="1" fillId="0" borderId="1" xfId="3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vertical="center" wrapText="1"/>
    </xf>
    <xf numFmtId="49" fontId="1" fillId="0" borderId="1" xfId="3" applyNumberFormat="1" applyFont="1" applyFill="1" applyBorder="1" applyAlignment="1" applyProtection="1">
      <alignment horizontal="center" vertical="center"/>
    </xf>
    <xf numFmtId="43" fontId="44" fillId="0" borderId="1" xfId="1" applyFont="1" applyFill="1" applyBorder="1" applyAlignment="1" applyProtection="1">
      <alignment vertical="top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vertical="center"/>
    </xf>
    <xf numFmtId="0" fontId="2" fillId="0" borderId="20" xfId="3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0" borderId="5" xfId="3" applyNumberFormat="1" applyFont="1" applyFill="1" applyBorder="1" applyAlignment="1" applyProtection="1">
      <alignment horizontal="center" vertical="center"/>
    </xf>
    <xf numFmtId="0" fontId="2" fillId="0" borderId="16" xfId="3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43" fontId="45" fillId="0" borderId="1" xfId="4" applyFont="1" applyFill="1" applyBorder="1" applyAlignment="1" applyProtection="1">
      <alignment horizontal="center" vertical="center"/>
    </xf>
    <xf numFmtId="43" fontId="45" fillId="4" borderId="1" xfId="4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vertical="top" wrapText="1"/>
    </xf>
    <xf numFmtId="2" fontId="25" fillId="9" borderId="1" xfId="0" applyNumberFormat="1" applyFont="1" applyFill="1" applyBorder="1" applyAlignment="1">
      <alignment horizontal="right" vertical="center" wrapText="1"/>
    </xf>
    <xf numFmtId="0" fontId="5" fillId="5" borderId="33" xfId="0" applyFont="1" applyFill="1" applyBorder="1" applyAlignment="1">
      <alignment horizontal="right" vertical="center"/>
    </xf>
    <xf numFmtId="170" fontId="25" fillId="6" borderId="36" xfId="1" applyNumberFormat="1" applyFont="1" applyFill="1" applyBorder="1" applyAlignment="1">
      <alignment horizontal="right" vertical="center"/>
    </xf>
    <xf numFmtId="170" fontId="25" fillId="9" borderId="16" xfId="1" applyNumberFormat="1" applyFont="1" applyFill="1" applyBorder="1" applyAlignment="1">
      <alignment horizontal="right" vertical="center"/>
    </xf>
    <xf numFmtId="170" fontId="25" fillId="9" borderId="1" xfId="1" applyNumberFormat="1" applyFont="1" applyFill="1" applyBorder="1" applyAlignment="1">
      <alignment horizontal="right" vertical="center"/>
    </xf>
    <xf numFmtId="170" fontId="25" fillId="6" borderId="56" xfId="1" applyNumberFormat="1" applyFont="1" applyFill="1" applyBorder="1" applyAlignment="1">
      <alignment horizontal="right" vertical="center"/>
    </xf>
    <xf numFmtId="2" fontId="25" fillId="9" borderId="42" xfId="0" applyNumberFormat="1" applyFont="1" applyFill="1" applyBorder="1" applyAlignment="1">
      <alignment horizontal="right" vertical="center" wrapText="1"/>
    </xf>
    <xf numFmtId="2" fontId="25" fillId="9" borderId="41" xfId="0" applyNumberFormat="1" applyFont="1" applyFill="1" applyBorder="1" applyAlignment="1">
      <alignment horizontal="right" vertical="center" wrapText="1"/>
    </xf>
    <xf numFmtId="170" fontId="25" fillId="9" borderId="22" xfId="1" applyNumberFormat="1" applyFont="1" applyFill="1" applyBorder="1" applyAlignment="1">
      <alignment horizontal="right" vertical="center"/>
    </xf>
    <xf numFmtId="170" fontId="25" fillId="0" borderId="42" xfId="1" applyNumberFormat="1" applyFont="1" applyFill="1" applyBorder="1" applyAlignment="1">
      <alignment horizontal="right" vertical="center"/>
    </xf>
    <xf numFmtId="170" fontId="25" fillId="0" borderId="1" xfId="1" applyNumberFormat="1" applyFont="1" applyFill="1" applyBorder="1" applyAlignment="1">
      <alignment horizontal="right" vertical="center"/>
    </xf>
    <xf numFmtId="170" fontId="25" fillId="0" borderId="40" xfId="1" applyNumberFormat="1" applyFont="1" applyFill="1" applyBorder="1" applyAlignment="1">
      <alignment horizontal="right" vertical="center"/>
    </xf>
    <xf numFmtId="170" fontId="25" fillId="0" borderId="41" xfId="1" applyNumberFormat="1" applyFont="1" applyFill="1" applyBorder="1" applyAlignment="1">
      <alignment horizontal="right" vertical="center"/>
    </xf>
    <xf numFmtId="170" fontId="25" fillId="2" borderId="16" xfId="1" applyNumberFormat="1" applyFont="1" applyFill="1" applyBorder="1" applyAlignment="1">
      <alignment horizontal="right" vertical="center"/>
    </xf>
    <xf numFmtId="170" fontId="25" fillId="0" borderId="22" xfId="1" applyNumberFormat="1" applyFont="1" applyFill="1" applyBorder="1" applyAlignment="1">
      <alignment horizontal="right" vertical="center"/>
    </xf>
    <xf numFmtId="170" fontId="25" fillId="2" borderId="22" xfId="1" applyNumberFormat="1" applyFont="1" applyFill="1" applyBorder="1" applyAlignment="1">
      <alignment horizontal="right" vertical="center"/>
    </xf>
    <xf numFmtId="170" fontId="25" fillId="2" borderId="1" xfId="1" applyNumberFormat="1" applyFont="1" applyFill="1" applyBorder="1" applyAlignment="1">
      <alignment horizontal="right" vertical="center"/>
    </xf>
    <xf numFmtId="170" fontId="25" fillId="0" borderId="16" xfId="1" applyNumberFormat="1" applyFont="1" applyBorder="1" applyAlignment="1">
      <alignment horizontal="right" vertical="center"/>
    </xf>
    <xf numFmtId="0" fontId="40" fillId="0" borderId="50" xfId="0" applyFont="1" applyFill="1" applyBorder="1" applyAlignment="1">
      <alignment vertical="center"/>
    </xf>
    <xf numFmtId="0" fontId="40" fillId="0" borderId="0" xfId="0" applyFont="1" applyBorder="1" applyAlignment="1">
      <alignment horizontal="left" vertical="center"/>
    </xf>
    <xf numFmtId="0" fontId="40" fillId="0" borderId="0" xfId="0" applyFont="1" applyFill="1" applyBorder="1" applyAlignment="1">
      <alignment vertical="center"/>
    </xf>
    <xf numFmtId="0" fontId="50" fillId="0" borderId="0" xfId="0" applyFont="1" applyFill="1" applyBorder="1" applyAlignment="1">
      <alignment vertical="center" wrapText="1"/>
    </xf>
    <xf numFmtId="0" fontId="49" fillId="0" borderId="0" xfId="0" applyFont="1" applyFill="1" applyBorder="1" applyAlignment="1">
      <alignment horizontal="right" vertical="center"/>
    </xf>
    <xf numFmtId="170" fontId="51" fillId="0" borderId="52" xfId="0" applyNumberFormat="1" applyFont="1" applyBorder="1" applyAlignment="1">
      <alignment horizontal="left" vertical="center"/>
    </xf>
    <xf numFmtId="0" fontId="40" fillId="0" borderId="56" xfId="0" applyFont="1" applyFill="1" applyBorder="1" applyAlignment="1">
      <alignment vertical="center"/>
    </xf>
    <xf numFmtId="0" fontId="49" fillId="0" borderId="56" xfId="0" applyFont="1" applyFill="1" applyBorder="1" applyAlignment="1">
      <alignment horizontal="right" vertical="center"/>
    </xf>
    <xf numFmtId="14" fontId="49" fillId="0" borderId="56" xfId="0" applyNumberFormat="1" applyFont="1" applyFill="1" applyBorder="1" applyAlignment="1">
      <alignment horizontal="center" vertical="center"/>
    </xf>
    <xf numFmtId="0" fontId="40" fillId="0" borderId="65" xfId="0" applyFont="1" applyFill="1" applyBorder="1" applyAlignment="1">
      <alignment vertical="center"/>
    </xf>
    <xf numFmtId="0" fontId="47" fillId="7" borderId="49" xfId="0" applyFont="1" applyFill="1" applyBorder="1" applyAlignment="1">
      <alignment horizontal="left"/>
    </xf>
    <xf numFmtId="0" fontId="48" fillId="7" borderId="50" xfId="0" applyFont="1" applyFill="1" applyBorder="1" applyAlignment="1">
      <alignment horizontal="left"/>
    </xf>
    <xf numFmtId="0" fontId="34" fillId="7" borderId="50" xfId="0" applyNumberFormat="1" applyFont="1" applyFill="1" applyBorder="1" applyAlignment="1">
      <alignment horizontal="left"/>
    </xf>
    <xf numFmtId="0" fontId="12" fillId="7" borderId="50" xfId="0" applyFont="1" applyFill="1" applyBorder="1" applyAlignment="1">
      <alignment horizontal="left"/>
    </xf>
    <xf numFmtId="170" fontId="33" fillId="0" borderId="55" xfId="0" applyNumberFormat="1" applyFont="1" applyBorder="1" applyAlignment="1">
      <alignment horizontal="left" vertical="center"/>
    </xf>
    <xf numFmtId="0" fontId="10" fillId="13" borderId="68" xfId="0" applyFont="1" applyFill="1" applyBorder="1" applyAlignment="1">
      <alignment horizontal="center" vertical="center"/>
    </xf>
    <xf numFmtId="0" fontId="10" fillId="13" borderId="36" xfId="0" applyFont="1" applyFill="1" applyBorder="1" applyAlignment="1">
      <alignment horizontal="center" vertical="center" wrapText="1"/>
    </xf>
    <xf numFmtId="0" fontId="10" fillId="13" borderId="37" xfId="0" applyFont="1" applyFill="1" applyBorder="1" applyAlignment="1">
      <alignment horizontal="center" vertical="center" wrapText="1"/>
    </xf>
    <xf numFmtId="4" fontId="31" fillId="8" borderId="74" xfId="0" applyNumberFormat="1" applyFont="1" applyFill="1" applyBorder="1" applyAlignment="1">
      <alignment horizontal="right" vertical="center"/>
    </xf>
    <xf numFmtId="10" fontId="31" fillId="8" borderId="74" xfId="0" applyNumberFormat="1" applyFont="1" applyFill="1" applyBorder="1" applyAlignment="1">
      <alignment horizontal="center" vertical="center"/>
    </xf>
    <xf numFmtId="172" fontId="31" fillId="8" borderId="74" xfId="0" applyNumberFormat="1" applyFont="1" applyFill="1" applyBorder="1" applyAlignment="1">
      <alignment horizontal="right" vertical="center"/>
    </xf>
    <xf numFmtId="0" fontId="40" fillId="7" borderId="52" xfId="0" applyFont="1" applyFill="1" applyBorder="1" applyAlignment="1">
      <alignment vertical="center"/>
    </xf>
    <xf numFmtId="0" fontId="40" fillId="7" borderId="0" xfId="0" applyFont="1" applyFill="1" applyBorder="1" applyAlignment="1">
      <alignment horizontal="right" vertical="center"/>
    </xf>
    <xf numFmtId="171" fontId="40" fillId="7" borderId="0" xfId="0" applyNumberFormat="1" applyFont="1" applyFill="1" applyBorder="1" applyAlignment="1">
      <alignment horizontal="center" vertical="center"/>
    </xf>
    <xf numFmtId="0" fontId="40" fillId="7" borderId="0" xfId="0" applyFont="1" applyFill="1" applyBorder="1" applyAlignment="1">
      <alignment vertical="center"/>
    </xf>
    <xf numFmtId="4" fontId="53" fillId="7" borderId="0" xfId="0" applyNumberFormat="1" applyFont="1" applyFill="1" applyBorder="1" applyAlignment="1">
      <alignment horizontal="center" vertical="center"/>
    </xf>
    <xf numFmtId="0" fontId="40" fillId="7" borderId="53" xfId="0" applyFont="1" applyFill="1" applyBorder="1" applyAlignment="1">
      <alignment vertical="center"/>
    </xf>
    <xf numFmtId="4" fontId="40" fillId="7" borderId="0" xfId="0" applyNumberFormat="1" applyFont="1" applyFill="1" applyBorder="1" applyAlignment="1">
      <alignment vertical="center"/>
    </xf>
    <xf numFmtId="0" fontId="14" fillId="7" borderId="74" xfId="0" applyFont="1" applyFill="1" applyBorder="1" applyAlignment="1">
      <alignment horizontal="right" vertical="center"/>
    </xf>
    <xf numFmtId="171" fontId="14" fillId="7" borderId="74" xfId="0" applyNumberFormat="1" applyFont="1" applyFill="1" applyBorder="1" applyAlignment="1">
      <alignment horizontal="center" vertical="center"/>
    </xf>
    <xf numFmtId="10" fontId="14" fillId="7" borderId="74" xfId="0" applyNumberFormat="1" applyFont="1" applyFill="1" applyBorder="1" applyAlignment="1">
      <alignment horizontal="center" vertical="center"/>
    </xf>
    <xf numFmtId="0" fontId="10" fillId="7" borderId="0" xfId="0" applyFont="1" applyFill="1" applyBorder="1" applyAlignment="1">
      <alignment horizontal="right" vertical="center"/>
    </xf>
    <xf numFmtId="4" fontId="40" fillId="7" borderId="0" xfId="0" applyNumberFormat="1" applyFont="1" applyFill="1" applyBorder="1" applyAlignment="1">
      <alignment horizontal="left" vertical="center"/>
    </xf>
    <xf numFmtId="0" fontId="10" fillId="7" borderId="52" xfId="0" applyFont="1" applyFill="1" applyBorder="1" applyAlignment="1">
      <alignment horizontal="left" vertical="center"/>
    </xf>
    <xf numFmtId="0" fontId="14" fillId="7" borderId="0" xfId="0" applyFont="1" applyFill="1" applyBorder="1" applyAlignment="1">
      <alignment horizontal="right" vertical="center"/>
    </xf>
    <xf numFmtId="0" fontId="40" fillId="7" borderId="0" xfId="0" applyFont="1" applyFill="1" applyBorder="1" applyAlignment="1">
      <alignment horizontal="center" vertical="center" wrapText="1"/>
    </xf>
    <xf numFmtId="4" fontId="10" fillId="7" borderId="53" xfId="0" applyNumberFormat="1" applyFont="1" applyFill="1" applyBorder="1" applyAlignment="1">
      <alignment vertical="center"/>
    </xf>
    <xf numFmtId="0" fontId="10" fillId="7" borderId="52" xfId="0" applyFont="1" applyFill="1" applyBorder="1" applyAlignment="1">
      <alignment horizontal="center" vertical="center"/>
    </xf>
    <xf numFmtId="0" fontId="34" fillId="7" borderId="0" xfId="0" applyFont="1" applyFill="1" applyBorder="1" applyAlignment="1">
      <alignment horizontal="center" vertical="center"/>
    </xf>
    <xf numFmtId="170" fontId="34" fillId="7" borderId="53" xfId="0" applyNumberFormat="1" applyFont="1" applyFill="1" applyBorder="1" applyAlignment="1">
      <alignment vertical="center" wrapText="1"/>
    </xf>
    <xf numFmtId="0" fontId="10" fillId="7" borderId="55" xfId="0" applyFont="1" applyFill="1" applyBorder="1" applyAlignment="1">
      <alignment horizontal="center" vertical="center"/>
    </xf>
    <xf numFmtId="0" fontId="40" fillId="7" borderId="56" xfId="0" applyFont="1" applyFill="1" applyBorder="1" applyAlignment="1">
      <alignment horizontal="center" vertical="center"/>
    </xf>
    <xf numFmtId="170" fontId="40" fillId="7" borderId="56" xfId="0" applyNumberFormat="1" applyFont="1" applyFill="1" applyBorder="1" applyAlignment="1">
      <alignment horizontal="center" vertical="center" wrapText="1"/>
    </xf>
    <xf numFmtId="0" fontId="40" fillId="7" borderId="56" xfId="0" applyFont="1" applyFill="1" applyBorder="1" applyAlignment="1">
      <alignment vertical="center"/>
    </xf>
    <xf numFmtId="0" fontId="40" fillId="7" borderId="65" xfId="0" applyFont="1" applyFill="1" applyBorder="1" applyAlignment="1">
      <alignment vertical="center"/>
    </xf>
    <xf numFmtId="0" fontId="49" fillId="8" borderId="1" xfId="0" applyFont="1" applyFill="1" applyBorder="1" applyAlignment="1">
      <alignment horizontal="center" vertical="center"/>
    </xf>
    <xf numFmtId="0" fontId="49" fillId="8" borderId="6" xfId="0" applyFont="1" applyFill="1" applyBorder="1" applyAlignment="1">
      <alignment horizontal="center" vertical="center"/>
    </xf>
    <xf numFmtId="0" fontId="10" fillId="2" borderId="0" xfId="0" applyNumberFormat="1" applyFont="1" applyFill="1" applyBorder="1" applyAlignment="1" applyProtection="1">
      <alignment vertical="center"/>
    </xf>
    <xf numFmtId="0" fontId="10" fillId="2" borderId="0" xfId="0" applyNumberFormat="1" applyFont="1" applyFill="1" applyBorder="1" applyAlignment="1" applyProtection="1">
      <alignment horizontal="left" vertical="center"/>
    </xf>
    <xf numFmtId="0" fontId="1" fillId="0" borderId="48" xfId="0" applyNumberFormat="1" applyFont="1" applyFill="1" applyBorder="1" applyAlignment="1" applyProtection="1">
      <alignment vertical="top"/>
    </xf>
    <xf numFmtId="0" fontId="55" fillId="0" borderId="0" xfId="0" applyFont="1" applyFill="1" applyBorder="1" applyAlignment="1">
      <alignment vertical="center"/>
    </xf>
    <xf numFmtId="0" fontId="51" fillId="0" borderId="52" xfId="0" applyFont="1" applyFill="1" applyBorder="1" applyAlignment="1">
      <alignment horizontal="left" vertical="center"/>
    </xf>
    <xf numFmtId="0" fontId="52" fillId="13" borderId="36" xfId="0" applyFont="1" applyFill="1" applyBorder="1" applyAlignment="1">
      <alignment horizontal="center" vertical="center"/>
    </xf>
    <xf numFmtId="0" fontId="56" fillId="0" borderId="69" xfId="0" applyFont="1" applyBorder="1" applyAlignment="1">
      <alignment horizontal="center" vertical="center"/>
    </xf>
    <xf numFmtId="0" fontId="57" fillId="0" borderId="70" xfId="0" applyFont="1" applyBorder="1" applyAlignment="1">
      <alignment vertical="center" wrapText="1"/>
    </xf>
    <xf numFmtId="4" fontId="54" fillId="0" borderId="70" xfId="0" applyNumberFormat="1" applyFont="1" applyFill="1" applyBorder="1" applyAlignment="1">
      <alignment horizontal="right" vertical="center" wrapText="1"/>
    </xf>
    <xf numFmtId="10" fontId="54" fillId="0" borderId="70" xfId="0" applyNumberFormat="1" applyFont="1" applyBorder="1" applyAlignment="1">
      <alignment horizontal="center" vertical="center"/>
    </xf>
    <xf numFmtId="4" fontId="54" fillId="0" borderId="70" xfId="0" applyNumberFormat="1" applyFont="1" applyBorder="1" applyAlignment="1">
      <alignment horizontal="right" vertical="center" wrapText="1"/>
    </xf>
    <xf numFmtId="10" fontId="54" fillId="0" borderId="71" xfId="0" applyNumberFormat="1" applyFont="1" applyBorder="1" applyAlignment="1">
      <alignment horizontal="center" vertical="center"/>
    </xf>
    <xf numFmtId="4" fontId="54" fillId="0" borderId="71" xfId="0" applyNumberFormat="1" applyFont="1" applyBorder="1" applyAlignment="1">
      <alignment horizontal="right" vertical="center" wrapText="1"/>
    </xf>
    <xf numFmtId="10" fontId="54" fillId="0" borderId="70" xfId="0" applyNumberFormat="1" applyFont="1" applyFill="1" applyBorder="1" applyAlignment="1">
      <alignment horizontal="center" vertical="center"/>
    </xf>
    <xf numFmtId="10" fontId="54" fillId="0" borderId="71" xfId="0" applyNumberFormat="1" applyFont="1" applyFill="1" applyBorder="1" applyAlignment="1">
      <alignment horizontal="center" vertical="center"/>
    </xf>
    <xf numFmtId="4" fontId="54" fillId="0" borderId="71" xfId="0" applyNumberFormat="1" applyFont="1" applyFill="1" applyBorder="1" applyAlignment="1">
      <alignment horizontal="right" vertical="center" wrapText="1"/>
    </xf>
    <xf numFmtId="0" fontId="10" fillId="0" borderId="75" xfId="0" applyFont="1" applyBorder="1" applyAlignment="1">
      <alignment horizontal="center"/>
    </xf>
    <xf numFmtId="10" fontId="10" fillId="0" borderId="75" xfId="2" applyNumberFormat="1" applyFont="1" applyBorder="1"/>
    <xf numFmtId="0" fontId="10" fillId="0" borderId="75" xfId="0" applyFont="1" applyBorder="1" applyAlignment="1">
      <alignment horizontal="center" vertical="center"/>
    </xf>
    <xf numFmtId="0" fontId="10" fillId="0" borderId="75" xfId="0" applyFont="1" applyBorder="1" applyAlignment="1">
      <alignment horizontal="center" vertical="top"/>
    </xf>
    <xf numFmtId="17" fontId="10" fillId="0" borderId="75" xfId="2" applyNumberFormat="1" applyFont="1" applyBorder="1"/>
    <xf numFmtId="0" fontId="5" fillId="3" borderId="1" xfId="3" applyNumberFormat="1" applyFont="1" applyFill="1" applyBorder="1" applyAlignment="1" applyProtection="1">
      <alignment horizontal="center" vertical="center"/>
    </xf>
    <xf numFmtId="0" fontId="5" fillId="3" borderId="1" xfId="3" applyNumberFormat="1" applyFont="1" applyFill="1" applyBorder="1" applyAlignment="1" applyProtection="1">
      <alignment vertical="center"/>
    </xf>
    <xf numFmtId="0" fontId="2" fillId="4" borderId="4" xfId="3" applyNumberFormat="1" applyFont="1" applyFill="1" applyBorder="1" applyAlignment="1" applyProtection="1">
      <alignment vertical="center"/>
    </xf>
    <xf numFmtId="0" fontId="2" fillId="3" borderId="1" xfId="3" applyNumberFormat="1" applyFont="1" applyFill="1" applyBorder="1" applyAlignment="1" applyProtection="1">
      <alignment horizontal="center" vertical="center"/>
    </xf>
    <xf numFmtId="0" fontId="1" fillId="3" borderId="1" xfId="3" applyNumberFormat="1" applyFont="1" applyFill="1" applyBorder="1" applyAlignment="1" applyProtection="1">
      <alignment horizontal="center" vertical="center"/>
    </xf>
    <xf numFmtId="0" fontId="2" fillId="3" borderId="1" xfId="3" applyNumberFormat="1" applyFont="1" applyFill="1" applyBorder="1" applyAlignment="1" applyProtection="1">
      <alignment vertical="center" wrapText="1"/>
    </xf>
    <xf numFmtId="43" fontId="40" fillId="3" borderId="1" xfId="1" applyFont="1" applyFill="1" applyBorder="1" applyAlignment="1" applyProtection="1">
      <alignment horizontal="right" vertical="center"/>
    </xf>
    <xf numFmtId="0" fontId="10" fillId="3" borderId="1" xfId="3" applyNumberFormat="1" applyFont="1" applyFill="1" applyBorder="1" applyAlignment="1" applyProtection="1">
      <alignment vertical="top"/>
    </xf>
    <xf numFmtId="43" fontId="10" fillId="3" borderId="1" xfId="3" applyNumberFormat="1" applyFont="1" applyFill="1" applyBorder="1" applyAlignment="1" applyProtection="1">
      <alignment vertical="top"/>
    </xf>
    <xf numFmtId="0" fontId="5" fillId="3" borderId="1" xfId="3" applyNumberFormat="1" applyFont="1" applyFill="1" applyBorder="1" applyAlignment="1" applyProtection="1">
      <alignment vertical="center" wrapText="1"/>
    </xf>
    <xf numFmtId="43" fontId="10" fillId="3" borderId="1" xfId="1" applyFont="1" applyFill="1" applyBorder="1" applyAlignment="1" applyProtection="1">
      <alignment horizontal="right" vertical="center"/>
    </xf>
    <xf numFmtId="43" fontId="45" fillId="3" borderId="1" xfId="4" applyFont="1" applyFill="1" applyBorder="1" applyAlignment="1" applyProtection="1">
      <alignment horizontal="center" vertical="center"/>
    </xf>
    <xf numFmtId="0" fontId="40" fillId="3" borderId="1" xfId="3" applyNumberFormat="1" applyFont="1" applyFill="1" applyBorder="1" applyAlignment="1" applyProtection="1">
      <alignment vertical="top"/>
    </xf>
    <xf numFmtId="43" fontId="40" fillId="3" borderId="1" xfId="1" applyFont="1" applyFill="1" applyBorder="1" applyAlignment="1" applyProtection="1">
      <alignment vertical="top"/>
    </xf>
    <xf numFmtId="43" fontId="46" fillId="3" borderId="1" xfId="4" applyFont="1" applyFill="1" applyBorder="1" applyAlignment="1" applyProtection="1">
      <alignment horizontal="right" vertical="center"/>
    </xf>
    <xf numFmtId="43" fontId="40" fillId="3" borderId="1" xfId="3" applyNumberFormat="1" applyFont="1" applyFill="1" applyBorder="1" applyAlignment="1" applyProtection="1">
      <alignment vertical="top"/>
    </xf>
    <xf numFmtId="0" fontId="40" fillId="3" borderId="1" xfId="3" applyNumberFormat="1" applyFont="1" applyFill="1" applyBorder="1" applyAlignment="1" applyProtection="1">
      <alignment horizontal="center" vertical="center"/>
    </xf>
    <xf numFmtId="43" fontId="10" fillId="3" borderId="1" xfId="1" applyFont="1" applyFill="1" applyBorder="1" applyAlignment="1" applyProtection="1">
      <alignment vertical="top"/>
    </xf>
    <xf numFmtId="0" fontId="43" fillId="3" borderId="1" xfId="3" applyNumberFormat="1" applyFont="1" applyFill="1" applyBorder="1" applyAlignment="1" applyProtection="1">
      <alignment vertical="top"/>
    </xf>
    <xf numFmtId="43" fontId="5" fillId="4" borderId="1" xfId="1" applyFont="1" applyFill="1" applyBorder="1" applyAlignment="1" applyProtection="1">
      <alignment horizontal="right" vertical="center"/>
    </xf>
    <xf numFmtId="43" fontId="5" fillId="4" borderId="1" xfId="1" applyFont="1" applyFill="1" applyBorder="1" applyAlignment="1" applyProtection="1">
      <alignment horizontal="center" vertical="center"/>
    </xf>
    <xf numFmtId="0" fontId="5" fillId="2" borderId="0" xfId="0" applyNumberFormat="1" applyFont="1" applyFill="1" applyBorder="1" applyAlignment="1" applyProtection="1">
      <alignment horizontal="left" vertical="center"/>
    </xf>
    <xf numFmtId="0" fontId="1" fillId="2" borderId="0" xfId="0" applyNumberFormat="1" applyFont="1" applyFill="1" applyBorder="1" applyAlignment="1" applyProtection="1">
      <alignment horizontal="center" vertical="center"/>
    </xf>
    <xf numFmtId="43" fontId="1" fillId="2" borderId="0" xfId="1" applyFont="1" applyFill="1" applyBorder="1" applyAlignment="1" applyProtection="1">
      <alignment horizontal="center" vertical="center"/>
    </xf>
    <xf numFmtId="43" fontId="1" fillId="2" borderId="0" xfId="1" applyFont="1" applyFill="1" applyBorder="1" applyAlignment="1" applyProtection="1">
      <alignment horizontal="right" vertical="center"/>
    </xf>
    <xf numFmtId="43" fontId="1" fillId="2" borderId="0" xfId="1" applyFont="1" applyFill="1" applyBorder="1" applyAlignment="1" applyProtection="1">
      <alignment vertical="top"/>
    </xf>
    <xf numFmtId="43" fontId="1" fillId="2" borderId="0" xfId="0" applyNumberFormat="1" applyFont="1" applyFill="1" applyBorder="1" applyAlignment="1" applyProtection="1">
      <alignment vertical="top"/>
    </xf>
    <xf numFmtId="10" fontId="10" fillId="0" borderId="75" xfId="2" applyNumberFormat="1" applyFont="1" applyBorder="1" applyAlignment="1">
      <alignment horizontal="center" vertical="center"/>
    </xf>
    <xf numFmtId="17" fontId="10" fillId="0" borderId="75" xfId="2" applyNumberFormat="1" applyFont="1" applyBorder="1" applyAlignment="1">
      <alignment horizontal="center" vertical="top"/>
    </xf>
    <xf numFmtId="0" fontId="5" fillId="3" borderId="15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wrapText="1"/>
    </xf>
    <xf numFmtId="0" fontId="5" fillId="5" borderId="4" xfId="0" applyFont="1" applyFill="1" applyBorder="1" applyAlignment="1">
      <alignment horizontal="center" wrapText="1"/>
    </xf>
    <xf numFmtId="0" fontId="5" fillId="5" borderId="4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wrapText="1"/>
    </xf>
    <xf numFmtId="0" fontId="5" fillId="5" borderId="1" xfId="0" applyNumberFormat="1" applyFont="1" applyFill="1" applyBorder="1" applyAlignment="1">
      <alignment horizontal="center" vertical="center" wrapText="1"/>
    </xf>
    <xf numFmtId="0" fontId="5" fillId="5" borderId="6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wrapText="1"/>
    </xf>
    <xf numFmtId="0" fontId="0" fillId="2" borderId="0" xfId="0" applyFill="1" applyBorder="1" applyAlignment="1">
      <alignment horizontal="left" wrapText="1"/>
    </xf>
    <xf numFmtId="2" fontId="5" fillId="2" borderId="0" xfId="0" applyNumberFormat="1" applyFont="1" applyFill="1" applyBorder="1" applyAlignment="1">
      <alignment horizontal="center" wrapText="1"/>
    </xf>
    <xf numFmtId="4" fontId="5" fillId="5" borderId="6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>
      <alignment horizontal="center" vertical="center" wrapText="1"/>
    </xf>
    <xf numFmtId="4" fontId="5" fillId="5" borderId="6" xfId="0" applyNumberFormat="1" applyFont="1" applyFill="1" applyBorder="1" applyAlignment="1">
      <alignment horizontal="center" vertical="center" wrapText="1"/>
    </xf>
    <xf numFmtId="0" fontId="5" fillId="5" borderId="16" xfId="0" applyNumberFormat="1" applyFont="1" applyFill="1" applyBorder="1" applyAlignment="1">
      <alignment horizontal="center" vertical="center" wrapText="1"/>
    </xf>
    <xf numFmtId="0" fontId="5" fillId="5" borderId="16" xfId="0" applyNumberFormat="1" applyFont="1" applyFill="1" applyBorder="1" applyAlignment="1">
      <alignment horizontal="left" vertical="center" wrapText="1"/>
    </xf>
    <xf numFmtId="0" fontId="5" fillId="5" borderId="19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 applyAlignment="1">
      <alignment horizontal="left" wrapText="1"/>
    </xf>
    <xf numFmtId="0" fontId="5" fillId="0" borderId="0" xfId="0" applyFont="1" applyFill="1" applyBorder="1" applyAlignment="1">
      <alignment horizontal="center" wrapText="1"/>
    </xf>
    <xf numFmtId="2" fontId="5" fillId="0" borderId="0" xfId="0" applyNumberFormat="1" applyFont="1" applyFill="1" applyBorder="1" applyAlignment="1">
      <alignment horizontal="center" wrapText="1"/>
    </xf>
    <xf numFmtId="168" fontId="1" fillId="0" borderId="1" xfId="4" applyNumberFormat="1" applyFont="1" applyFill="1" applyBorder="1" applyAlignment="1">
      <alignment horizontal="left" vertical="center" wrapText="1"/>
    </xf>
    <xf numFmtId="174" fontId="1" fillId="0" borderId="1" xfId="4" applyNumberFormat="1" applyFont="1" applyFill="1" applyBorder="1" applyAlignment="1">
      <alignment horizontal="left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12" fillId="0" borderId="10" xfId="0" applyNumberFormat="1" applyFont="1" applyBorder="1" applyAlignment="1">
      <alignment horizontal="center" vertical="center" wrapText="1"/>
    </xf>
    <xf numFmtId="0" fontId="12" fillId="0" borderId="35" xfId="0" applyNumberFormat="1" applyFont="1" applyBorder="1" applyAlignment="1">
      <alignment horizontal="center" vertical="center" wrapText="1"/>
    </xf>
    <xf numFmtId="0" fontId="12" fillId="0" borderId="78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4" fontId="12" fillId="0" borderId="12" xfId="0" applyNumberFormat="1" applyFont="1" applyBorder="1" applyAlignment="1">
      <alignment horizontal="center" vertical="center" wrapText="1"/>
    </xf>
    <xf numFmtId="0" fontId="0" fillId="0" borderId="38" xfId="0" applyNumberFormat="1" applyBorder="1" applyAlignment="1">
      <alignment horizontal="center" vertical="center"/>
    </xf>
    <xf numFmtId="0" fontId="0" fillId="0" borderId="9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4" fontId="0" fillId="0" borderId="16" xfId="0" applyNumberFormat="1" applyBorder="1" applyAlignment="1">
      <alignment horizontal="center" vertical="center"/>
    </xf>
    <xf numFmtId="4" fontId="6" fillId="0" borderId="16" xfId="0" applyNumberFormat="1" applyFont="1" applyFill="1" applyBorder="1" applyAlignment="1">
      <alignment horizontal="center" vertical="center" wrapText="1"/>
    </xf>
    <xf numFmtId="4" fontId="1" fillId="0" borderId="19" xfId="0" applyNumberFormat="1" applyFont="1" applyBorder="1" applyAlignment="1">
      <alignment horizontal="right" vertical="center"/>
    </xf>
    <xf numFmtId="0" fontId="0" fillId="0" borderId="13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 wrapText="1"/>
    </xf>
    <xf numFmtId="175" fontId="1" fillId="0" borderId="19" xfId="0" applyNumberFormat="1" applyFont="1" applyBorder="1" applyAlignment="1">
      <alignment horizontal="right" vertical="center"/>
    </xf>
    <xf numFmtId="0" fontId="0" fillId="0" borderId="0" xfId="0" applyNumberFormat="1" applyBorder="1" applyAlignment="1">
      <alignment horizontal="center" vertical="center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45" xfId="0" applyNumberFormat="1" applyBorder="1" applyAlignment="1">
      <alignment horizontal="center" vertical="center"/>
    </xf>
    <xf numFmtId="0" fontId="0" fillId="0" borderId="18" xfId="0" applyNumberForma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4" fontId="6" fillId="0" borderId="40" xfId="0" applyNumberFormat="1" applyFont="1" applyFill="1" applyBorder="1" applyAlignment="1">
      <alignment horizontal="center" vertical="center" wrapText="1"/>
    </xf>
    <xf numFmtId="0" fontId="0" fillId="14" borderId="45" xfId="0" quotePrefix="1" applyNumberFormat="1" applyFill="1" applyBorder="1" applyAlignment="1">
      <alignment horizontal="center" vertical="center"/>
    </xf>
    <xf numFmtId="0" fontId="0" fillId="14" borderId="18" xfId="0" quotePrefix="1" applyNumberFormat="1" applyFill="1" applyBorder="1" applyAlignment="1">
      <alignment horizontal="center" vertical="center"/>
    </xf>
    <xf numFmtId="0" fontId="0" fillId="14" borderId="40" xfId="0" quotePrefix="1" applyFill="1" applyBorder="1" applyAlignment="1"/>
    <xf numFmtId="10" fontId="5" fillId="14" borderId="17" xfId="0" applyNumberFormat="1" applyFont="1" applyFill="1" applyBorder="1" applyAlignment="1">
      <alignment horizontal="center" vertical="center"/>
    </xf>
    <xf numFmtId="10" fontId="5" fillId="14" borderId="18" xfId="0" applyNumberFormat="1" applyFont="1" applyFill="1" applyBorder="1" applyAlignment="1">
      <alignment horizontal="center" vertical="center"/>
    </xf>
    <xf numFmtId="4" fontId="5" fillId="14" borderId="23" xfId="0" applyNumberFormat="1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76" fontId="0" fillId="0" borderId="1" xfId="1" applyNumberFormat="1" applyFont="1" applyBorder="1"/>
    <xf numFmtId="170" fontId="1" fillId="0" borderId="1" xfId="1" applyNumberFormat="1" applyFont="1" applyBorder="1"/>
    <xf numFmtId="170" fontId="0" fillId="0" borderId="1" xfId="1" applyNumberFormat="1" applyFont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 applyAlignment="1"/>
    <xf numFmtId="170" fontId="5" fillId="4" borderId="1" xfId="1" applyNumberFormat="1" applyFont="1" applyFill="1" applyBorder="1" applyAlignment="1">
      <alignment horizontal="center"/>
    </xf>
    <xf numFmtId="170" fontId="5" fillId="4" borderId="1" xfId="1" applyNumberFormat="1" applyFont="1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/>
    <xf numFmtId="170" fontId="5" fillId="0" borderId="0" xfId="1" applyNumberFormat="1" applyFont="1" applyFill="1" applyBorder="1" applyAlignment="1">
      <alignment horizontal="center"/>
    </xf>
    <xf numFmtId="170" fontId="5" fillId="0" borderId="0" xfId="1" applyNumberFormat="1" applyFont="1" applyFill="1" applyBorder="1"/>
    <xf numFmtId="0" fontId="1" fillId="5" borderId="4" xfId="0" applyFont="1" applyFill="1" applyBorder="1" applyAlignment="1">
      <alignment horizontal="left" vertical="center" wrapText="1"/>
    </xf>
    <xf numFmtId="0" fontId="1" fillId="5" borderId="5" xfId="0" applyFont="1" applyFill="1" applyBorder="1" applyAlignment="1">
      <alignment horizontal="left" vertical="center" wrapText="1"/>
    </xf>
    <xf numFmtId="177" fontId="1" fillId="0" borderId="16" xfId="0" applyNumberFormat="1" applyFont="1" applyFill="1" applyBorder="1" applyAlignment="1">
      <alignment horizontal="center" wrapText="1"/>
    </xf>
    <xf numFmtId="177" fontId="1" fillId="0" borderId="15" xfId="0" applyNumberFormat="1" applyFont="1" applyFill="1" applyBorder="1" applyAlignment="1">
      <alignment horizontal="center" wrapText="1"/>
    </xf>
    <xf numFmtId="177" fontId="1" fillId="0" borderId="1" xfId="0" applyNumberFormat="1" applyFont="1" applyFill="1" applyBorder="1" applyAlignment="1">
      <alignment horizontal="center" wrapText="1"/>
    </xf>
    <xf numFmtId="178" fontId="1" fillId="0" borderId="1" xfId="0" applyNumberFormat="1" applyFont="1" applyFill="1" applyBorder="1" applyAlignment="1">
      <alignment horizontal="center" wrapText="1"/>
    </xf>
    <xf numFmtId="0" fontId="0" fillId="3" borderId="0" xfId="0" applyFill="1" applyBorder="1" applyAlignment="1">
      <alignment horizontal="center" wrapText="1"/>
    </xf>
    <xf numFmtId="0" fontId="1" fillId="3" borderId="0" xfId="0" applyFont="1" applyFill="1" applyBorder="1" applyAlignment="1">
      <alignment horizontal="left" wrapText="1"/>
    </xf>
    <xf numFmtId="0" fontId="1" fillId="3" borderId="0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0" fillId="0" borderId="16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top"/>
    </xf>
    <xf numFmtId="0" fontId="1" fillId="0" borderId="16" xfId="0" applyFont="1" applyFill="1" applyBorder="1" applyAlignment="1">
      <alignment horizontal="center" vertical="center" wrapText="1"/>
    </xf>
    <xf numFmtId="2" fontId="1" fillId="0" borderId="16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 applyProtection="1">
      <alignment horizontal="center" vertical="center"/>
    </xf>
    <xf numFmtId="2" fontId="6" fillId="0" borderId="15" xfId="0" applyNumberFormat="1" applyFont="1" applyFill="1" applyBorder="1" applyAlignment="1">
      <alignment horizontal="center" wrapText="1"/>
    </xf>
    <xf numFmtId="0" fontId="0" fillId="3" borderId="5" xfId="0" applyFill="1" applyBorder="1" applyAlignment="1">
      <alignment horizontal="center" wrapText="1"/>
    </xf>
    <xf numFmtId="0" fontId="1" fillId="0" borderId="16" xfId="0" quotePrefix="1" applyFont="1" applyFill="1" applyBorder="1" applyAlignment="1">
      <alignment horizontal="center" wrapText="1"/>
    </xf>
    <xf numFmtId="43" fontId="1" fillId="0" borderId="0" xfId="4" applyNumberFormat="1" applyFont="1" applyFill="1" applyBorder="1" applyAlignment="1">
      <alignment horizontal="left" vertical="center" wrapText="1"/>
    </xf>
    <xf numFmtId="2" fontId="6" fillId="0" borderId="0" xfId="0" applyNumberFormat="1" applyFont="1" applyFill="1" applyBorder="1" applyAlignment="1">
      <alignment horizontal="center" wrapText="1"/>
    </xf>
    <xf numFmtId="165" fontId="1" fillId="0" borderId="0" xfId="0" applyNumberFormat="1" applyFont="1" applyFill="1" applyBorder="1" applyAlignment="1">
      <alignment horizontal="center" wrapText="1"/>
    </xf>
    <xf numFmtId="4" fontId="6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 wrapText="1"/>
    </xf>
    <xf numFmtId="0" fontId="0" fillId="0" borderId="38" xfId="0" applyBorder="1" applyAlignment="1">
      <alignment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  <xf numFmtId="4" fontId="1" fillId="0" borderId="16" xfId="0" applyNumberFormat="1" applyFont="1" applyBorder="1" applyAlignment="1">
      <alignment horizontal="center" vertical="center"/>
    </xf>
    <xf numFmtId="0" fontId="0" fillId="0" borderId="40" xfId="0" applyFill="1" applyBorder="1" applyAlignment="1">
      <alignment horizontal="center" wrapText="1"/>
    </xf>
    <xf numFmtId="0" fontId="1" fillId="0" borderId="17" xfId="0" applyFont="1" applyFill="1" applyBorder="1" applyAlignment="1">
      <alignment horizontal="left" vertical="center" wrapText="1"/>
    </xf>
    <xf numFmtId="0" fontId="1" fillId="0" borderId="40" xfId="0" applyFont="1" applyFill="1" applyBorder="1" applyAlignment="1">
      <alignment horizontal="center" wrapText="1"/>
    </xf>
    <xf numFmtId="2" fontId="1" fillId="0" borderId="40" xfId="0" applyNumberFormat="1" applyFont="1" applyFill="1" applyBorder="1" applyAlignment="1">
      <alignment horizontal="center" wrapText="1"/>
    </xf>
    <xf numFmtId="2" fontId="6" fillId="0" borderId="18" xfId="0" applyNumberFormat="1" applyFont="1" applyFill="1" applyBorder="1" applyAlignment="1">
      <alignment horizontal="center" wrapText="1"/>
    </xf>
    <xf numFmtId="165" fontId="1" fillId="0" borderId="23" xfId="0" applyNumberFormat="1" applyFont="1" applyFill="1" applyBorder="1" applyAlignment="1">
      <alignment horizontal="center" wrapText="1"/>
    </xf>
    <xf numFmtId="0" fontId="1" fillId="5" borderId="10" xfId="0" applyFont="1" applyFill="1" applyBorder="1" applyAlignment="1">
      <alignment horizontal="center" wrapText="1"/>
    </xf>
    <xf numFmtId="0" fontId="1" fillId="5" borderId="35" xfId="0" applyFont="1" applyFill="1" applyBorder="1" applyAlignment="1">
      <alignment horizontal="center" wrapText="1"/>
    </xf>
    <xf numFmtId="0" fontId="0" fillId="5" borderId="78" xfId="0" applyFill="1" applyBorder="1" applyAlignment="1">
      <alignment horizontal="left" wrapText="1"/>
    </xf>
    <xf numFmtId="0" fontId="1" fillId="5" borderId="11" xfId="0" applyFont="1" applyFill="1" applyBorder="1" applyAlignment="1">
      <alignment horizontal="center" wrapText="1"/>
    </xf>
    <xf numFmtId="2" fontId="5" fillId="5" borderId="12" xfId="0" applyNumberFormat="1" applyFont="1" applyFill="1" applyBorder="1" applyAlignment="1">
      <alignment horizontal="right" wrapText="1"/>
    </xf>
    <xf numFmtId="2" fontId="5" fillId="0" borderId="0" xfId="0" applyNumberFormat="1" applyFont="1" applyFill="1" applyBorder="1" applyAlignment="1">
      <alignment horizontal="right" wrapText="1"/>
    </xf>
    <xf numFmtId="174" fontId="1" fillId="0" borderId="4" xfId="4" applyNumberFormat="1" applyFont="1" applyFill="1" applyBorder="1" applyAlignment="1">
      <alignment horizontal="left" vertical="center" wrapText="1"/>
    </xf>
    <xf numFmtId="165" fontId="1" fillId="0" borderId="4" xfId="0" applyNumberFormat="1" applyFont="1" applyFill="1" applyBorder="1" applyAlignment="1">
      <alignment horizontal="center" wrapText="1"/>
    </xf>
    <xf numFmtId="43" fontId="1" fillId="0" borderId="1" xfId="4" applyNumberFormat="1" applyFont="1" applyFill="1" applyBorder="1" applyAlignment="1">
      <alignment horizontal="center" wrapText="1"/>
    </xf>
    <xf numFmtId="0" fontId="1" fillId="5" borderId="40" xfId="0" applyFont="1" applyFill="1" applyBorder="1" applyAlignment="1">
      <alignment horizontal="center" wrapText="1"/>
    </xf>
    <xf numFmtId="2" fontId="5" fillId="5" borderId="40" xfId="0" applyNumberFormat="1" applyFont="1" applyFill="1" applyBorder="1" applyAlignment="1">
      <alignment horizontal="right" wrapText="1"/>
    </xf>
    <xf numFmtId="2" fontId="5" fillId="0" borderId="3" xfId="0" applyNumberFormat="1" applyFont="1" applyFill="1" applyBorder="1" applyAlignment="1">
      <alignment horizontal="center" wrapText="1"/>
    </xf>
    <xf numFmtId="2" fontId="5" fillId="0" borderId="3" xfId="0" applyNumberFormat="1" applyFont="1" applyFill="1" applyBorder="1" applyAlignment="1">
      <alignment horizontal="right" wrapText="1"/>
    </xf>
    <xf numFmtId="0" fontId="0" fillId="0" borderId="22" xfId="0" applyFill="1" applyBorder="1" applyAlignment="1">
      <alignment horizontal="center" wrapText="1"/>
    </xf>
    <xf numFmtId="0" fontId="1" fillId="0" borderId="7" xfId="0" applyFont="1" applyFill="1" applyBorder="1" applyAlignment="1">
      <alignment horizontal="left" wrapText="1"/>
    </xf>
    <xf numFmtId="43" fontId="1" fillId="0" borderId="40" xfId="4" applyNumberFormat="1" applyFont="1" applyFill="1" applyBorder="1" applyAlignment="1">
      <alignment horizontal="left" vertical="center" wrapText="1"/>
    </xf>
    <xf numFmtId="2" fontId="6" fillId="0" borderId="22" xfId="0" applyNumberFormat="1" applyFont="1" applyFill="1" applyBorder="1" applyAlignment="1">
      <alignment horizontal="center" wrapText="1"/>
    </xf>
    <xf numFmtId="43" fontId="1" fillId="2" borderId="0" xfId="4" applyNumberFormat="1" applyFont="1" applyFill="1" applyBorder="1" applyAlignment="1">
      <alignment horizontal="left" vertical="center" wrapText="1"/>
    </xf>
    <xf numFmtId="165" fontId="1" fillId="2" borderId="0" xfId="0" applyNumberFormat="1" applyFont="1" applyFill="1" applyBorder="1" applyAlignment="1">
      <alignment horizontal="center" wrapText="1"/>
    </xf>
    <xf numFmtId="3" fontId="1" fillId="0" borderId="4" xfId="0" applyNumberFormat="1" applyFont="1" applyFill="1" applyBorder="1" applyAlignment="1">
      <alignment horizontal="left" wrapText="1"/>
    </xf>
    <xf numFmtId="3" fontId="59" fillId="0" borderId="15" xfId="0" applyNumberFormat="1" applyFont="1" applyFill="1" applyBorder="1" applyAlignment="1">
      <alignment horizontal="left" wrapText="1"/>
    </xf>
    <xf numFmtId="2" fontId="6" fillId="0" borderId="16" xfId="0" applyNumberFormat="1" applyFont="1" applyFill="1" applyBorder="1" applyAlignment="1">
      <alignment horizontal="center" vertical="center" wrapText="1"/>
    </xf>
    <xf numFmtId="165" fontId="1" fillId="0" borderId="6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0" fontId="7" fillId="5" borderId="0" xfId="0" applyNumberFormat="1" applyFont="1" applyFill="1" applyBorder="1" applyAlignment="1">
      <alignment horizontal="center" vertical="center"/>
    </xf>
    <xf numFmtId="3" fontId="1" fillId="0" borderId="4" xfId="0" applyNumberFormat="1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43" fontId="40" fillId="0" borderId="1" xfId="1" applyFont="1" applyFill="1" applyBorder="1" applyAlignment="1" applyProtection="1">
      <alignment horizontal="center" vertical="center"/>
    </xf>
    <xf numFmtId="43" fontId="40" fillId="0" borderId="1" xfId="3" applyNumberFormat="1" applyFont="1" applyFill="1" applyBorder="1" applyAlignment="1" applyProtection="1">
      <alignment horizontal="center" vertical="center"/>
    </xf>
    <xf numFmtId="43" fontId="44" fillId="0" borderId="1" xfId="1" applyFont="1" applyFill="1" applyBorder="1" applyAlignment="1" applyProtection="1">
      <alignment horizontal="center" vertical="center"/>
    </xf>
    <xf numFmtId="49" fontId="2" fillId="0" borderId="1" xfId="3" applyNumberFormat="1" applyFont="1" applyFill="1" applyBorder="1" applyAlignment="1" applyProtection="1">
      <alignment horizontal="center" vertical="center"/>
    </xf>
    <xf numFmtId="43" fontId="44" fillId="0" borderId="1" xfId="4" applyFont="1" applyFill="1" applyBorder="1" applyAlignment="1" applyProtection="1">
      <alignment horizontal="right" vertical="center"/>
    </xf>
    <xf numFmtId="0" fontId="1" fillId="0" borderId="1" xfId="3" applyNumberFormat="1" applyFont="1" applyFill="1" applyBorder="1" applyAlignment="1" applyProtection="1">
      <alignment horizontal="left" vertical="center" wrapText="1"/>
    </xf>
    <xf numFmtId="43" fontId="44" fillId="0" borderId="1" xfId="1" applyFont="1" applyFill="1" applyBorder="1" applyAlignment="1" applyProtection="1">
      <alignment vertical="center"/>
    </xf>
    <xf numFmtId="43" fontId="40" fillId="0" borderId="1" xfId="3" applyNumberFormat="1" applyFont="1" applyFill="1" applyBorder="1" applyAlignment="1" applyProtection="1">
      <alignment horizontal="right" vertical="center"/>
    </xf>
    <xf numFmtId="0" fontId="13" fillId="0" borderId="1" xfId="0" applyNumberFormat="1" applyFont="1" applyFill="1" applyBorder="1" applyAlignment="1" applyProtection="1">
      <alignment vertical="center" wrapText="1"/>
    </xf>
    <xf numFmtId="43" fontId="40" fillId="0" borderId="1" xfId="3" applyNumberFormat="1" applyFont="1" applyFill="1" applyBorder="1" applyAlignment="1" applyProtection="1">
      <alignment vertical="center"/>
    </xf>
    <xf numFmtId="0" fontId="2" fillId="0" borderId="1" xfId="0" applyNumberFormat="1" applyFont="1" applyFill="1" applyBorder="1" applyAlignment="1" applyProtection="1">
      <alignment vertical="center"/>
    </xf>
    <xf numFmtId="0" fontId="2" fillId="15" borderId="1" xfId="0" applyNumberFormat="1" applyFont="1" applyFill="1" applyBorder="1" applyAlignment="1" applyProtection="1">
      <alignment horizontal="center" vertical="center"/>
    </xf>
    <xf numFmtId="0" fontId="1" fillId="15" borderId="1" xfId="3" applyNumberFormat="1" applyFont="1" applyFill="1" applyBorder="1" applyAlignment="1" applyProtection="1">
      <alignment horizontal="center" vertical="center"/>
    </xf>
    <xf numFmtId="0" fontId="1" fillId="15" borderId="1" xfId="3" applyNumberFormat="1" applyFont="1" applyFill="1" applyBorder="1" applyAlignment="1" applyProtection="1">
      <alignment vertical="center" wrapText="1"/>
    </xf>
    <xf numFmtId="0" fontId="2" fillId="15" borderId="1" xfId="3" applyNumberFormat="1" applyFont="1" applyFill="1" applyBorder="1" applyAlignment="1" applyProtection="1">
      <alignment horizontal="center" vertical="center"/>
    </xf>
    <xf numFmtId="43" fontId="40" fillId="15" borderId="1" xfId="1" applyFont="1" applyFill="1" applyBorder="1" applyAlignment="1" applyProtection="1">
      <alignment horizontal="right" vertical="center"/>
    </xf>
    <xf numFmtId="43" fontId="44" fillId="15" borderId="1" xfId="4" applyFont="1" applyFill="1" applyBorder="1" applyAlignment="1" applyProtection="1">
      <alignment horizontal="center" vertical="center"/>
    </xf>
    <xf numFmtId="43" fontId="45" fillId="15" borderId="1" xfId="4" applyFont="1" applyFill="1" applyBorder="1" applyAlignment="1" applyProtection="1">
      <alignment horizontal="center" vertical="center"/>
    </xf>
    <xf numFmtId="43" fontId="40" fillId="15" borderId="1" xfId="3" applyNumberFormat="1" applyFont="1" applyFill="1" applyBorder="1" applyAlignment="1" applyProtection="1">
      <alignment vertical="top"/>
    </xf>
    <xf numFmtId="0" fontId="1" fillId="0" borderId="4" xfId="0" applyFont="1" applyFill="1" applyBorder="1" applyAlignment="1">
      <alignment horizontal="left" vertical="center" wrapText="1"/>
    </xf>
    <xf numFmtId="2" fontId="5" fillId="2" borderId="0" xfId="0" applyNumberFormat="1" applyFont="1" applyFill="1" applyBorder="1" applyAlignment="1">
      <alignment horizontal="center" wrapText="1"/>
    </xf>
    <xf numFmtId="0" fontId="5" fillId="3" borderId="15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 wrapText="1"/>
    </xf>
    <xf numFmtId="0" fontId="1" fillId="5" borderId="4" xfId="0" applyFont="1" applyFill="1" applyBorder="1" applyAlignment="1">
      <alignment horizontal="center" wrapText="1"/>
    </xf>
    <xf numFmtId="0" fontId="1" fillId="2" borderId="1" xfId="3" applyNumberFormat="1" applyFont="1" applyFill="1" applyBorder="1" applyAlignment="1" applyProtection="1">
      <alignment horizontal="center" vertical="center"/>
    </xf>
    <xf numFmtId="174" fontId="1" fillId="0" borderId="1" xfId="4" applyNumberFormat="1" applyFont="1" applyFill="1" applyBorder="1" applyAlignment="1">
      <alignment horizontal="center" vertical="center" wrapText="1"/>
    </xf>
    <xf numFmtId="49" fontId="63" fillId="0" borderId="0" xfId="0" applyNumberFormat="1" applyFont="1" applyBorder="1" applyAlignment="1">
      <alignment vertical="center" wrapText="1"/>
    </xf>
    <xf numFmtId="0" fontId="0" fillId="0" borderId="0" xfId="0" applyBorder="1" applyAlignment="1"/>
    <xf numFmtId="0" fontId="0" fillId="0" borderId="51" xfId="0" applyBorder="1" applyAlignment="1"/>
    <xf numFmtId="0" fontId="0" fillId="0" borderId="53" xfId="0" applyBorder="1" applyAlignment="1"/>
    <xf numFmtId="0" fontId="0" fillId="0" borderId="0" xfId="0" applyAlignment="1"/>
    <xf numFmtId="0" fontId="0" fillId="0" borderId="65" xfId="0" applyBorder="1" applyAlignment="1"/>
    <xf numFmtId="17" fontId="66" fillId="0" borderId="68" xfId="0" applyNumberFormat="1" applyFont="1" applyFill="1" applyBorder="1" applyAlignment="1">
      <alignment horizontal="right" vertical="center"/>
    </xf>
    <xf numFmtId="0" fontId="66" fillId="0" borderId="37" xfId="0" applyFont="1" applyFill="1" applyBorder="1" applyAlignment="1">
      <alignment horizontal="left" vertical="center"/>
    </xf>
    <xf numFmtId="17" fontId="66" fillId="11" borderId="68" xfId="0" applyNumberFormat="1" applyFont="1" applyFill="1" applyBorder="1" applyAlignment="1">
      <alignment horizontal="right" vertical="center"/>
    </xf>
    <xf numFmtId="0" fontId="66" fillId="11" borderId="37" xfId="0" applyFont="1" applyFill="1" applyBorder="1" applyAlignment="1">
      <alignment horizontal="left" vertical="center"/>
    </xf>
    <xf numFmtId="0" fontId="65" fillId="5" borderId="72" xfId="0" applyFont="1" applyFill="1" applyBorder="1" applyAlignment="1">
      <alignment vertical="center"/>
    </xf>
    <xf numFmtId="0" fontId="65" fillId="5" borderId="81" xfId="0" applyFont="1" applyFill="1" applyBorder="1" applyAlignment="1">
      <alignment vertical="center" wrapText="1"/>
    </xf>
    <xf numFmtId="4" fontId="60" fillId="5" borderId="36" xfId="0" applyNumberFormat="1" applyFont="1" applyFill="1" applyBorder="1" applyAlignment="1">
      <alignment vertical="center"/>
    </xf>
    <xf numFmtId="43" fontId="66" fillId="11" borderId="72" xfId="0" applyNumberFormat="1" applyFont="1" applyFill="1" applyBorder="1" applyAlignment="1">
      <alignment horizontal="center" vertical="center"/>
    </xf>
    <xf numFmtId="179" fontId="66" fillId="11" borderId="73" xfId="2" applyNumberFormat="1" applyFont="1" applyFill="1" applyBorder="1" applyAlignment="1">
      <alignment horizontal="center" vertical="center"/>
    </xf>
    <xf numFmtId="43" fontId="66" fillId="0" borderId="72" xfId="0" applyNumberFormat="1" applyFont="1" applyFill="1" applyBorder="1" applyAlignment="1">
      <alignment horizontal="center" vertical="center"/>
    </xf>
    <xf numFmtId="179" fontId="66" fillId="0" borderId="73" xfId="2" applyNumberFormat="1" applyFont="1" applyFill="1" applyBorder="1" applyAlignment="1">
      <alignment horizontal="center" vertical="center"/>
    </xf>
    <xf numFmtId="179" fontId="66" fillId="0" borderId="82" xfId="2" applyNumberFormat="1" applyFont="1" applyFill="1" applyBorder="1" applyAlignment="1">
      <alignment horizontal="center" vertical="center"/>
    </xf>
    <xf numFmtId="0" fontId="66" fillId="10" borderId="83" xfId="0" applyFont="1" applyFill="1" applyBorder="1" applyAlignment="1">
      <alignment vertical="center"/>
    </xf>
    <xf numFmtId="0" fontId="66" fillId="10" borderId="84" xfId="0" applyFont="1" applyFill="1" applyBorder="1" applyAlignment="1">
      <alignment vertical="center"/>
    </xf>
    <xf numFmtId="4" fontId="0" fillId="10" borderId="85" xfId="0" applyNumberFormat="1" applyFont="1" applyFill="1" applyBorder="1" applyAlignment="1">
      <alignment vertical="center"/>
    </xf>
    <xf numFmtId="43" fontId="66" fillId="11" borderId="59" xfId="0" applyNumberFormat="1" applyFont="1" applyFill="1" applyBorder="1" applyAlignment="1">
      <alignment horizontal="center" vertical="center"/>
    </xf>
    <xf numFmtId="10" fontId="66" fillId="11" borderId="61" xfId="2" applyNumberFormat="1" applyFont="1" applyFill="1" applyBorder="1" applyAlignment="1">
      <alignment horizontal="center" vertical="center"/>
    </xf>
    <xf numFmtId="43" fontId="66" fillId="0" borderId="59" xfId="0" applyNumberFormat="1" applyFont="1" applyFill="1" applyBorder="1" applyAlignment="1">
      <alignment horizontal="center" vertical="center"/>
    </xf>
    <xf numFmtId="10" fontId="66" fillId="0" borderId="61" xfId="2" applyNumberFormat="1" applyFont="1" applyFill="1" applyBorder="1" applyAlignment="1">
      <alignment horizontal="center" vertical="center"/>
    </xf>
    <xf numFmtId="43" fontId="66" fillId="11" borderId="59" xfId="1" applyNumberFormat="1" applyFont="1" applyFill="1" applyBorder="1" applyAlignment="1">
      <alignment horizontal="center" vertical="center"/>
    </xf>
    <xf numFmtId="43" fontId="66" fillId="0" borderId="59" xfId="1" applyNumberFormat="1" applyFont="1" applyBorder="1" applyAlignment="1">
      <alignment horizontal="center" vertical="center"/>
    </xf>
    <xf numFmtId="10" fontId="66" fillId="0" borderId="86" xfId="2" applyNumberFormat="1" applyFont="1" applyBorder="1" applyAlignment="1">
      <alignment horizontal="center" vertical="center"/>
    </xf>
    <xf numFmtId="0" fontId="66" fillId="10" borderId="87" xfId="0" applyFont="1" applyFill="1" applyBorder="1" applyAlignment="1">
      <alignment vertical="center"/>
    </xf>
    <xf numFmtId="0" fontId="66" fillId="10" borderId="88" xfId="0" applyFont="1" applyFill="1" applyBorder="1" applyAlignment="1">
      <alignment vertical="center"/>
    </xf>
    <xf numFmtId="43" fontId="66" fillId="11" borderId="89" xfId="0" applyNumberFormat="1" applyFont="1" applyFill="1" applyBorder="1" applyAlignment="1">
      <alignment horizontal="center" vertical="center"/>
    </xf>
    <xf numFmtId="43" fontId="66" fillId="0" borderId="89" xfId="0" applyNumberFormat="1" applyFont="1" applyFill="1" applyBorder="1" applyAlignment="1">
      <alignment horizontal="center" vertical="center"/>
    </xf>
    <xf numFmtId="43" fontId="66" fillId="11" borderId="89" xfId="1" applyNumberFormat="1" applyFont="1" applyFill="1" applyBorder="1" applyAlignment="1">
      <alignment horizontal="center" vertical="center"/>
    </xf>
    <xf numFmtId="10" fontId="66" fillId="11" borderId="90" xfId="2" applyNumberFormat="1" applyFont="1" applyFill="1" applyBorder="1" applyAlignment="1">
      <alignment horizontal="center" vertical="center"/>
    </xf>
    <xf numFmtId="43" fontId="66" fillId="0" borderId="89" xfId="1" applyNumberFormat="1" applyFont="1" applyBorder="1" applyAlignment="1">
      <alignment horizontal="center" vertical="center"/>
    </xf>
    <xf numFmtId="0" fontId="66" fillId="10" borderId="88" xfId="0" applyFont="1" applyFill="1" applyBorder="1" applyAlignment="1">
      <alignment vertical="center" wrapText="1"/>
    </xf>
    <xf numFmtId="10" fontId="66" fillId="0" borderId="90" xfId="2" applyNumberFormat="1" applyFont="1" applyBorder="1" applyAlignment="1">
      <alignment horizontal="center" vertical="center"/>
    </xf>
    <xf numFmtId="0" fontId="66" fillId="10" borderId="91" xfId="0" applyFont="1" applyFill="1" applyBorder="1" applyAlignment="1">
      <alignment vertical="center"/>
    </xf>
    <xf numFmtId="0" fontId="66" fillId="10" borderId="92" xfId="0" applyFont="1" applyFill="1" applyBorder="1" applyAlignment="1">
      <alignment vertical="center"/>
    </xf>
    <xf numFmtId="0" fontId="67" fillId="0" borderId="93" xfId="0" applyFont="1" applyFill="1" applyBorder="1" applyAlignment="1">
      <alignment vertical="center"/>
    </xf>
    <xf numFmtId="4" fontId="67" fillId="10" borderId="94" xfId="0" applyNumberFormat="1" applyFont="1" applyFill="1" applyBorder="1" applyAlignment="1">
      <alignment vertical="center"/>
    </xf>
    <xf numFmtId="4" fontId="67" fillId="10" borderId="95" xfId="0" applyNumberFormat="1" applyFont="1" applyFill="1" applyBorder="1" applyAlignment="1">
      <alignment vertical="center"/>
    </xf>
    <xf numFmtId="180" fontId="67" fillId="11" borderId="43" xfId="0" applyNumberFormat="1" applyFont="1" applyFill="1" applyBorder="1" applyAlignment="1">
      <alignment horizontal="center" vertical="center"/>
    </xf>
    <xf numFmtId="10" fontId="67" fillId="11" borderId="44" xfId="2" applyNumberFormat="1" applyFont="1" applyFill="1" applyBorder="1" applyAlignment="1">
      <alignment horizontal="center" vertical="center"/>
    </xf>
    <xf numFmtId="170" fontId="67" fillId="0" borderId="94" xfId="1" applyNumberFormat="1" applyFont="1" applyFill="1" applyBorder="1" applyAlignment="1">
      <alignment horizontal="center" vertical="center"/>
    </xf>
    <xf numFmtId="10" fontId="67" fillId="0" borderId="44" xfId="2" applyNumberFormat="1" applyFont="1" applyFill="1" applyBorder="1" applyAlignment="1">
      <alignment horizontal="center" vertical="center"/>
    </xf>
    <xf numFmtId="43" fontId="67" fillId="11" borderId="94" xfId="0" applyNumberFormat="1" applyFont="1" applyFill="1" applyBorder="1" applyAlignment="1">
      <alignment horizontal="center" vertical="center"/>
    </xf>
    <xf numFmtId="43" fontId="67" fillId="0" borderId="94" xfId="0" applyNumberFormat="1" applyFont="1" applyBorder="1" applyAlignment="1">
      <alignment horizontal="center" vertical="center"/>
    </xf>
    <xf numFmtId="10" fontId="67" fillId="0" borderId="96" xfId="2" applyNumberFormat="1" applyFont="1" applyBorder="1" applyAlignment="1">
      <alignment horizontal="center" vertical="center"/>
    </xf>
    <xf numFmtId="43" fontId="67" fillId="11" borderId="43" xfId="0" applyNumberFormat="1" applyFont="1" applyFill="1" applyBorder="1" applyAlignment="1">
      <alignment horizontal="center" vertical="center"/>
    </xf>
    <xf numFmtId="0" fontId="67" fillId="0" borderId="97" xfId="0" applyFont="1" applyFill="1" applyBorder="1" applyAlignment="1">
      <alignment vertical="center"/>
    </xf>
    <xf numFmtId="0" fontId="67" fillId="0" borderId="98" xfId="0" applyFont="1" applyFill="1" applyBorder="1" applyAlignment="1">
      <alignment vertical="center"/>
    </xf>
    <xf numFmtId="4" fontId="67" fillId="0" borderId="99" xfId="0" applyNumberFormat="1" applyFont="1" applyFill="1" applyBorder="1" applyAlignment="1">
      <alignment vertical="center"/>
    </xf>
    <xf numFmtId="43" fontId="67" fillId="11" borderId="46" xfId="0" applyNumberFormat="1" applyFont="1" applyFill="1" applyBorder="1" applyAlignment="1">
      <alignment horizontal="center" vertical="center"/>
    </xf>
    <xf numFmtId="10" fontId="67" fillId="11" borderId="100" xfId="2" applyNumberFormat="1" applyFont="1" applyFill="1" applyBorder="1" applyAlignment="1">
      <alignment horizontal="center" vertical="center"/>
    </xf>
    <xf numFmtId="43" fontId="67" fillId="0" borderId="98" xfId="0" applyNumberFormat="1" applyFont="1" applyFill="1" applyBorder="1" applyAlignment="1">
      <alignment horizontal="center" vertical="center"/>
    </xf>
    <xf numFmtId="10" fontId="67" fillId="0" borderId="100" xfId="2" applyNumberFormat="1" applyFont="1" applyFill="1" applyBorder="1" applyAlignment="1">
      <alignment horizontal="center" vertical="center"/>
    </xf>
    <xf numFmtId="43" fontId="67" fillId="11" borderId="98" xfId="0" applyNumberFormat="1" applyFont="1" applyFill="1" applyBorder="1" applyAlignment="1">
      <alignment horizontal="center" vertical="center"/>
    </xf>
    <xf numFmtId="10" fontId="67" fillId="0" borderId="101" xfId="2" applyNumberFormat="1" applyFont="1" applyFill="1" applyBorder="1" applyAlignment="1">
      <alignment horizontal="center" vertical="center"/>
    </xf>
    <xf numFmtId="0" fontId="1" fillId="0" borderId="0" xfId="0" applyFont="1" applyAlignment="1"/>
    <xf numFmtId="0" fontId="5" fillId="5" borderId="0" xfId="0" applyNumberFormat="1" applyFont="1" applyFill="1" applyBorder="1" applyAlignment="1" applyProtection="1">
      <alignment horizontal="center" vertical="center"/>
    </xf>
    <xf numFmtId="0" fontId="36" fillId="8" borderId="14" xfId="0" applyFont="1" applyFill="1" applyBorder="1" applyAlignment="1">
      <alignment horizontal="center" vertical="center"/>
    </xf>
    <xf numFmtId="0" fontId="37" fillId="8" borderId="3" xfId="0" applyFont="1" applyFill="1" applyBorder="1" applyAlignment="1">
      <alignment horizontal="center" vertical="center"/>
    </xf>
    <xf numFmtId="0" fontId="14" fillId="0" borderId="52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53" xfId="0" applyFont="1" applyBorder="1" applyAlignment="1">
      <alignment horizontal="left" vertical="center" wrapText="1"/>
    </xf>
    <xf numFmtId="0" fontId="14" fillId="0" borderId="55" xfId="0" applyFont="1" applyBorder="1" applyAlignment="1">
      <alignment horizontal="left" vertical="center" wrapText="1"/>
    </xf>
    <xf numFmtId="0" fontId="14" fillId="0" borderId="56" xfId="0" applyFont="1" applyBorder="1" applyAlignment="1">
      <alignment horizontal="left" vertical="center" wrapText="1"/>
    </xf>
    <xf numFmtId="0" fontId="14" fillId="0" borderId="65" xfId="0" applyFont="1" applyBorder="1" applyAlignment="1">
      <alignment horizontal="left" vertical="center" wrapText="1"/>
    </xf>
    <xf numFmtId="0" fontId="32" fillId="0" borderId="52" xfId="0" applyFont="1" applyBorder="1" applyAlignment="1">
      <alignment horizontal="left" vertical="center" wrapText="1"/>
    </xf>
    <xf numFmtId="0" fontId="32" fillId="0" borderId="0" xfId="0" applyFont="1" applyBorder="1" applyAlignment="1">
      <alignment horizontal="left" vertical="center" wrapText="1"/>
    </xf>
    <xf numFmtId="0" fontId="32" fillId="0" borderId="53" xfId="0" applyFont="1" applyBorder="1" applyAlignment="1">
      <alignment horizontal="left" vertical="center" wrapText="1"/>
    </xf>
    <xf numFmtId="0" fontId="33" fillId="0" borderId="52" xfId="0" applyFont="1" applyBorder="1" applyAlignment="1">
      <alignment horizontal="left"/>
    </xf>
    <xf numFmtId="0" fontId="33" fillId="0" borderId="0" xfId="0" applyFont="1" applyBorder="1" applyAlignment="1">
      <alignment horizontal="left"/>
    </xf>
    <xf numFmtId="0" fontId="35" fillId="0" borderId="55" xfId="0" applyFont="1" applyBorder="1" applyAlignment="1">
      <alignment horizontal="left"/>
    </xf>
    <xf numFmtId="0" fontId="35" fillId="0" borderId="56" xfId="0" applyFont="1" applyBorder="1" applyAlignment="1">
      <alignment horizontal="left"/>
    </xf>
    <xf numFmtId="0" fontId="14" fillId="0" borderId="54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2" fillId="3" borderId="4" xfId="3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vertical="top"/>
    </xf>
    <xf numFmtId="0" fontId="1" fillId="2" borderId="0" xfId="0" applyNumberFormat="1" applyFont="1" applyFill="1" applyBorder="1" applyAlignment="1" applyProtection="1">
      <alignment horizontal="left" vertical="center" wrapText="1"/>
    </xf>
    <xf numFmtId="0" fontId="1" fillId="2" borderId="76" xfId="0" applyNumberFormat="1" applyFont="1" applyFill="1" applyBorder="1" applyAlignment="1" applyProtection="1">
      <alignment horizontal="left" vertical="center" wrapText="1"/>
    </xf>
    <xf numFmtId="0" fontId="58" fillId="2" borderId="2" xfId="3" applyNumberFormat="1" applyFont="1" applyFill="1" applyBorder="1" applyAlignment="1" applyProtection="1">
      <alignment horizontal="left" vertical="top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2" fontId="5" fillId="5" borderId="4" xfId="0" applyNumberFormat="1" applyFont="1" applyFill="1" applyBorder="1" applyAlignment="1">
      <alignment horizontal="center" wrapText="1"/>
    </xf>
    <xf numFmtId="2" fontId="5" fillId="5" borderId="5" xfId="0" applyNumberFormat="1" applyFont="1" applyFill="1" applyBorder="1" applyAlignment="1">
      <alignment horizontal="center" wrapText="1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2" fontId="5" fillId="2" borderId="0" xfId="0" applyNumberFormat="1" applyFont="1" applyFill="1" applyBorder="1" applyAlignment="1">
      <alignment horizont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5" fillId="3" borderId="68" xfId="0" applyFont="1" applyFill="1" applyBorder="1" applyAlignment="1">
      <alignment horizontal="center" wrapText="1"/>
    </xf>
    <xf numFmtId="0" fontId="5" fillId="3" borderId="78" xfId="0" applyFont="1" applyFill="1" applyBorder="1" applyAlignment="1">
      <alignment horizontal="center" wrapText="1"/>
    </xf>
    <xf numFmtId="0" fontId="10" fillId="3" borderId="35" xfId="0" applyFont="1" applyFill="1" applyBorder="1" applyAlignment="1">
      <alignment horizontal="left" wrapText="1"/>
    </xf>
    <xf numFmtId="0" fontId="10" fillId="3" borderId="36" xfId="0" applyFont="1" applyFill="1" applyBorder="1" applyAlignment="1">
      <alignment horizontal="left" wrapText="1"/>
    </xf>
    <xf numFmtId="0" fontId="10" fillId="3" borderId="37" xfId="0" applyFont="1" applyFill="1" applyBorder="1" applyAlignment="1">
      <alignment horizontal="left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2" fillId="0" borderId="8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14" fontId="1" fillId="0" borderId="14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wrapText="1"/>
    </xf>
    <xf numFmtId="0" fontId="5" fillId="3" borderId="9" xfId="0" applyFont="1" applyFill="1" applyBorder="1" applyAlignment="1">
      <alignment horizontal="center" wrapText="1"/>
    </xf>
    <xf numFmtId="0" fontId="5" fillId="3" borderId="15" xfId="0" applyFont="1" applyFill="1" applyBorder="1" applyAlignment="1">
      <alignment horizontal="left" wrapText="1"/>
    </xf>
    <xf numFmtId="0" fontId="5" fillId="3" borderId="2" xfId="0" applyFont="1" applyFill="1" applyBorder="1" applyAlignment="1">
      <alignment horizontal="left" wrapText="1"/>
    </xf>
    <xf numFmtId="0" fontId="5" fillId="3" borderId="9" xfId="0" applyFont="1" applyFill="1" applyBorder="1" applyAlignment="1">
      <alignment horizontal="left" wrapText="1"/>
    </xf>
    <xf numFmtId="0" fontId="5" fillId="3" borderId="4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left" wrapText="1"/>
    </xf>
    <xf numFmtId="0" fontId="5" fillId="3" borderId="3" xfId="0" applyFont="1" applyFill="1" applyBorder="1" applyAlignment="1">
      <alignment horizontal="left" wrapText="1"/>
    </xf>
    <xf numFmtId="0" fontId="5" fillId="3" borderId="5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left" wrapText="1"/>
    </xf>
    <xf numFmtId="0" fontId="1" fillId="0" borderId="5" xfId="0" applyFont="1" applyFill="1" applyBorder="1" applyAlignment="1">
      <alignment horizontal="left" wrapText="1"/>
    </xf>
    <xf numFmtId="0" fontId="5" fillId="3" borderId="21" xfId="0" applyFont="1" applyFill="1" applyBorder="1" applyAlignment="1">
      <alignment horizontal="left" wrapText="1"/>
    </xf>
    <xf numFmtId="0" fontId="1" fillId="0" borderId="5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wrapText="1"/>
    </xf>
    <xf numFmtId="0" fontId="1" fillId="0" borderId="5" xfId="0" applyFont="1" applyFill="1" applyBorder="1" applyAlignment="1">
      <alignment wrapText="1"/>
    </xf>
    <xf numFmtId="0" fontId="1" fillId="0" borderId="4" xfId="0" applyFont="1" applyFill="1" applyBorder="1" applyAlignment="1"/>
    <xf numFmtId="0" fontId="1" fillId="0" borderId="5" xfId="0" applyFont="1" applyFill="1" applyBorder="1" applyAlignment="1"/>
    <xf numFmtId="0" fontId="1" fillId="0" borderId="17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left" vertical="center" wrapText="1"/>
    </xf>
    <xf numFmtId="2" fontId="5" fillId="5" borderId="35" xfId="0" applyNumberFormat="1" applyFont="1" applyFill="1" applyBorder="1" applyAlignment="1">
      <alignment horizontal="center" wrapText="1"/>
    </xf>
    <xf numFmtId="2" fontId="5" fillId="5" borderId="78" xfId="0" applyNumberFormat="1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35" xfId="0" applyFont="1" applyFill="1" applyBorder="1" applyAlignment="1">
      <alignment horizontal="left" wrapText="1"/>
    </xf>
    <xf numFmtId="0" fontId="5" fillId="3" borderId="36" xfId="0" applyFont="1" applyFill="1" applyBorder="1" applyAlignment="1">
      <alignment horizontal="left" wrapText="1"/>
    </xf>
    <xf numFmtId="0" fontId="5" fillId="3" borderId="37" xfId="0" applyFont="1" applyFill="1" applyBorder="1" applyAlignment="1">
      <alignment horizontal="left" wrapText="1"/>
    </xf>
    <xf numFmtId="0" fontId="5" fillId="5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 wrapText="1"/>
    </xf>
    <xf numFmtId="2" fontId="5" fillId="3" borderId="4" xfId="0" applyNumberFormat="1" applyFont="1" applyFill="1" applyBorder="1" applyAlignment="1">
      <alignment horizontal="center" wrapText="1"/>
    </xf>
    <xf numFmtId="2" fontId="5" fillId="3" borderId="5" xfId="0" applyNumberFormat="1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left" vertical="top" wrapText="1"/>
    </xf>
    <xf numFmtId="0" fontId="5" fillId="5" borderId="3" xfId="0" applyFont="1" applyFill="1" applyBorder="1" applyAlignment="1">
      <alignment horizontal="left" vertical="top" wrapText="1"/>
    </xf>
    <xf numFmtId="0" fontId="5" fillId="5" borderId="5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left" vertical="top" wrapText="1"/>
    </xf>
    <xf numFmtId="0" fontId="5" fillId="5" borderId="4" xfId="0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horizontal="left" vertical="center" wrapText="1"/>
    </xf>
    <xf numFmtId="0" fontId="5" fillId="5" borderId="5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center" wrapText="1"/>
    </xf>
    <xf numFmtId="0" fontId="5" fillId="5" borderId="5" xfId="0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5" fillId="5" borderId="68" xfId="0" applyNumberFormat="1" applyFont="1" applyFill="1" applyBorder="1" applyAlignment="1">
      <alignment horizontal="center" vertical="center" wrapText="1"/>
    </xf>
    <xf numFmtId="0" fontId="5" fillId="5" borderId="78" xfId="0" applyNumberFormat="1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left" wrapText="1"/>
    </xf>
    <xf numFmtId="0" fontId="5" fillId="5" borderId="6" xfId="0" applyFont="1" applyFill="1" applyBorder="1" applyAlignment="1">
      <alignment horizontal="left" wrapText="1"/>
    </xf>
    <xf numFmtId="0" fontId="0" fillId="5" borderId="1" xfId="0" applyFill="1" applyBorder="1" applyAlignment="1">
      <alignment horizontal="left" wrapText="1"/>
    </xf>
    <xf numFmtId="0" fontId="5" fillId="5" borderId="1" xfId="0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left" vertical="center" wrapText="1"/>
    </xf>
    <xf numFmtId="0" fontId="1" fillId="0" borderId="5" xfId="0" applyNumberFormat="1" applyFont="1" applyFill="1" applyBorder="1" applyAlignment="1">
      <alignment horizontal="left" vertical="center" wrapText="1"/>
    </xf>
    <xf numFmtId="0" fontId="5" fillId="5" borderId="4" xfId="0" applyNumberFormat="1" applyFont="1" applyFill="1" applyBorder="1" applyAlignment="1">
      <alignment horizontal="center" vertical="center" wrapText="1"/>
    </xf>
    <xf numFmtId="0" fontId="5" fillId="5" borderId="5" xfId="0" applyNumberFormat="1" applyFont="1" applyFill="1" applyBorder="1" applyAlignment="1">
      <alignment horizontal="center" vertical="center" wrapText="1"/>
    </xf>
    <xf numFmtId="0" fontId="5" fillId="5" borderId="79" xfId="0" applyFont="1" applyFill="1" applyBorder="1" applyAlignment="1">
      <alignment horizontal="left" vertical="center" wrapText="1"/>
    </xf>
    <xf numFmtId="0" fontId="5" fillId="5" borderId="50" xfId="0" applyFont="1" applyFill="1" applyBorder="1" applyAlignment="1">
      <alignment horizontal="left" vertical="center" wrapText="1"/>
    </xf>
    <xf numFmtId="0" fontId="5" fillId="5" borderId="5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center" wrapText="1"/>
    </xf>
    <xf numFmtId="2" fontId="5" fillId="5" borderId="17" xfId="0" applyNumberFormat="1" applyFont="1" applyFill="1" applyBorder="1" applyAlignment="1">
      <alignment horizontal="center" wrapText="1"/>
    </xf>
    <xf numFmtId="2" fontId="5" fillId="5" borderId="18" xfId="0" applyNumberFormat="1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left" wrapText="1"/>
    </xf>
    <xf numFmtId="0" fontId="5" fillId="3" borderId="21" xfId="0" applyFont="1" applyFill="1" applyBorder="1" applyAlignment="1">
      <alignment horizontal="left" vertical="center" wrapText="1"/>
    </xf>
    <xf numFmtId="0" fontId="5" fillId="3" borderId="35" xfId="0" applyFont="1" applyFill="1" applyBorder="1" applyAlignment="1">
      <alignment horizontal="left" vertical="center" wrapText="1"/>
    </xf>
    <xf numFmtId="0" fontId="5" fillId="3" borderId="36" xfId="0" applyFont="1" applyFill="1" applyBorder="1" applyAlignment="1">
      <alignment horizontal="left" vertical="center" wrapText="1"/>
    </xf>
    <xf numFmtId="0" fontId="5" fillId="3" borderId="37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left" wrapText="1"/>
    </xf>
    <xf numFmtId="0" fontId="1" fillId="0" borderId="18" xfId="0" applyFont="1" applyFill="1" applyBorder="1" applyAlignment="1">
      <alignment horizontal="left" wrapText="1"/>
    </xf>
    <xf numFmtId="0" fontId="1" fillId="5" borderId="1" xfId="0" applyNumberFormat="1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wrapText="1"/>
    </xf>
    <xf numFmtId="0" fontId="1" fillId="5" borderId="5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5" fillId="5" borderId="0" xfId="0" applyNumberFormat="1" applyFont="1" applyFill="1" applyBorder="1" applyAlignment="1" applyProtection="1">
      <alignment horizontal="center" vertical="center"/>
    </xf>
    <xf numFmtId="0" fontId="5" fillId="5" borderId="8" xfId="0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left" wrapText="1"/>
    </xf>
    <xf numFmtId="0" fontId="10" fillId="5" borderId="10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top"/>
    </xf>
    <xf numFmtId="0" fontId="5" fillId="5" borderId="3" xfId="0" applyNumberFormat="1" applyFont="1" applyFill="1" applyBorder="1" applyAlignment="1">
      <alignment horizontal="center" vertical="center" wrapText="1"/>
    </xf>
    <xf numFmtId="0" fontId="5" fillId="5" borderId="1" xfId="0" applyNumberFormat="1" applyFont="1" applyFill="1" applyBorder="1" applyAlignment="1">
      <alignment horizontal="left" vertical="center" wrapText="1"/>
    </xf>
    <xf numFmtId="0" fontId="5" fillId="5" borderId="6" xfId="0" applyNumberFormat="1" applyFont="1" applyFill="1" applyBorder="1" applyAlignment="1">
      <alignment horizontal="left" vertical="center" wrapText="1"/>
    </xf>
    <xf numFmtId="2" fontId="5" fillId="5" borderId="1" xfId="0" applyNumberFormat="1" applyFont="1" applyFill="1" applyBorder="1" applyAlignment="1">
      <alignment horizontal="center" vertical="center" wrapText="1"/>
    </xf>
    <xf numFmtId="0" fontId="1" fillId="0" borderId="77" xfId="0" applyNumberFormat="1" applyFont="1" applyFill="1" applyBorder="1" applyAlignment="1" applyProtection="1">
      <alignment horizontal="center" vertical="top"/>
    </xf>
    <xf numFmtId="0" fontId="5" fillId="5" borderId="11" xfId="0" applyNumberFormat="1" applyFont="1" applyFill="1" applyBorder="1" applyAlignment="1">
      <alignment horizontal="center" vertical="center" wrapText="1"/>
    </xf>
    <xf numFmtId="0" fontId="5" fillId="5" borderId="12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3" xfId="0" applyNumberFormat="1" applyFont="1" applyFill="1" applyBorder="1" applyAlignment="1" applyProtection="1">
      <alignment horizontal="left" vertical="top" wrapText="1"/>
    </xf>
    <xf numFmtId="0" fontId="1" fillId="0" borderId="5" xfId="0" applyNumberFormat="1" applyFont="1" applyFill="1" applyBorder="1" applyAlignment="1" applyProtection="1">
      <alignment horizontal="left" vertical="top" wrapText="1"/>
    </xf>
    <xf numFmtId="0" fontId="5" fillId="5" borderId="16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top" wrapText="1"/>
    </xf>
    <xf numFmtId="0" fontId="1" fillId="3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top" wrapText="1"/>
    </xf>
    <xf numFmtId="0" fontId="1" fillId="0" borderId="5" xfId="0" applyFont="1" applyFill="1" applyBorder="1" applyAlignment="1">
      <alignment vertical="top" wrapText="1"/>
    </xf>
    <xf numFmtId="0" fontId="0" fillId="4" borderId="1" xfId="0" applyFill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0" fillId="14" borderId="15" xfId="0" quotePrefix="1" applyFill="1" applyBorder="1" applyAlignment="1">
      <alignment horizontal="center"/>
    </xf>
    <xf numFmtId="0" fontId="0" fillId="14" borderId="9" xfId="0" quotePrefix="1" applyFill="1" applyBorder="1" applyAlignment="1">
      <alignment horizontal="center"/>
    </xf>
    <xf numFmtId="0" fontId="12" fillId="0" borderId="10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34" fillId="0" borderId="1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left" vertical="top"/>
    </xf>
    <xf numFmtId="0" fontId="1" fillId="0" borderId="15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top"/>
    </xf>
    <xf numFmtId="0" fontId="0" fillId="2" borderId="0" xfId="0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vertical="center" wrapText="1"/>
    </xf>
    <xf numFmtId="0" fontId="5" fillId="2" borderId="0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49" fillId="0" borderId="4" xfId="0" applyFont="1" applyFill="1" applyBorder="1" applyAlignment="1">
      <alignment horizontal="right" vertical="center"/>
    </xf>
    <xf numFmtId="0" fontId="49" fillId="0" borderId="5" xfId="0" applyFont="1" applyFill="1" applyBorder="1" applyAlignment="1">
      <alignment horizontal="right" vertical="center"/>
    </xf>
    <xf numFmtId="171" fontId="49" fillId="0" borderId="4" xfId="0" applyNumberFormat="1" applyFont="1" applyFill="1" applyBorder="1" applyAlignment="1">
      <alignment vertical="center"/>
    </xf>
    <xf numFmtId="171" fontId="49" fillId="0" borderId="21" xfId="0" applyNumberFormat="1" applyFont="1" applyFill="1" applyBorder="1" applyAlignment="1">
      <alignment vertical="center"/>
    </xf>
    <xf numFmtId="0" fontId="14" fillId="0" borderId="52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34" fillId="7" borderId="0" xfId="0" applyFont="1" applyFill="1" applyBorder="1" applyAlignment="1">
      <alignment horizontal="center" vertical="center"/>
    </xf>
    <xf numFmtId="170" fontId="34" fillId="7" borderId="0" xfId="0" applyNumberFormat="1" applyFont="1" applyFill="1" applyBorder="1" applyAlignment="1">
      <alignment horizontal="center" vertical="center" wrapText="1"/>
    </xf>
    <xf numFmtId="0" fontId="49" fillId="8" borderId="4" xfId="0" applyFont="1" applyFill="1" applyBorder="1" applyAlignment="1">
      <alignment horizontal="right" vertical="center"/>
    </xf>
    <xf numFmtId="0" fontId="49" fillId="8" borderId="5" xfId="0" applyFont="1" applyFill="1" applyBorder="1" applyAlignment="1">
      <alignment horizontal="right" vertical="center"/>
    </xf>
    <xf numFmtId="0" fontId="50" fillId="0" borderId="0" xfId="0" applyFont="1" applyFill="1" applyBorder="1" applyAlignment="1">
      <alignment horizontal="center" vertical="center"/>
    </xf>
    <xf numFmtId="0" fontId="14" fillId="8" borderId="72" xfId="0" applyFont="1" applyFill="1" applyBorder="1" applyAlignment="1">
      <alignment horizontal="center" vertical="center"/>
    </xf>
    <xf numFmtId="0" fontId="14" fillId="8" borderId="73" xfId="0" quotePrefix="1" applyFont="1" applyFill="1" applyBorder="1" applyAlignment="1">
      <alignment horizontal="center" vertical="center"/>
    </xf>
    <xf numFmtId="0" fontId="10" fillId="8" borderId="54" xfId="0" applyFont="1" applyFill="1" applyBorder="1" applyAlignment="1">
      <alignment horizontal="center" vertical="center"/>
    </xf>
    <xf numFmtId="0" fontId="10" fillId="8" borderId="58" xfId="0" applyFont="1" applyFill="1" applyBorder="1" applyAlignment="1">
      <alignment horizontal="center" vertical="center"/>
    </xf>
    <xf numFmtId="0" fontId="49" fillId="0" borderId="1" xfId="0" applyFont="1" applyFill="1" applyBorder="1" applyAlignment="1">
      <alignment horizontal="right" vertical="center"/>
    </xf>
    <xf numFmtId="0" fontId="10" fillId="8" borderId="54" xfId="0" applyFont="1" applyFill="1" applyBorder="1" applyAlignment="1">
      <alignment horizontal="center" vertical="center" wrapText="1"/>
    </xf>
    <xf numFmtId="0" fontId="10" fillId="8" borderId="58" xfId="0" applyFont="1" applyFill="1" applyBorder="1" applyAlignment="1">
      <alignment horizontal="center" vertical="center" wrapText="1"/>
    </xf>
    <xf numFmtId="0" fontId="10" fillId="8" borderId="51" xfId="0" applyFont="1" applyFill="1" applyBorder="1" applyAlignment="1">
      <alignment horizontal="center" vertical="center" wrapText="1"/>
    </xf>
    <xf numFmtId="0" fontId="10" fillId="8" borderId="53" xfId="0" applyFont="1" applyFill="1" applyBorder="1" applyAlignment="1">
      <alignment horizontal="center" vertical="center" wrapText="1"/>
    </xf>
    <xf numFmtId="173" fontId="14" fillId="7" borderId="0" xfId="0" applyNumberFormat="1" applyFont="1" applyFill="1" applyBorder="1" applyAlignment="1">
      <alignment horizontal="left" vertical="top" wrapText="1"/>
    </xf>
    <xf numFmtId="173" fontId="14" fillId="7" borderId="53" xfId="0" applyNumberFormat="1" applyFont="1" applyFill="1" applyBorder="1" applyAlignment="1">
      <alignment horizontal="left" vertical="top" wrapText="1"/>
    </xf>
    <xf numFmtId="0" fontId="40" fillId="7" borderId="0" xfId="0" applyFont="1" applyFill="1" applyBorder="1" applyAlignment="1">
      <alignment horizontal="center" vertical="center"/>
    </xf>
    <xf numFmtId="4" fontId="10" fillId="7" borderId="0" xfId="0" applyNumberFormat="1" applyFont="1" applyFill="1" applyBorder="1" applyAlignment="1">
      <alignment horizontal="center" vertical="center"/>
    </xf>
    <xf numFmtId="0" fontId="22" fillId="0" borderId="27" xfId="5" applyFont="1" applyBorder="1" applyAlignment="1">
      <alignment horizontal="center" vertical="center"/>
    </xf>
    <xf numFmtId="0" fontId="19" fillId="0" borderId="31" xfId="5" applyFont="1" applyBorder="1" applyAlignment="1">
      <alignment horizontal="center"/>
    </xf>
    <xf numFmtId="0" fontId="16" fillId="0" borderId="0" xfId="5" applyFont="1" applyBorder="1" applyAlignment="1">
      <alignment horizontal="center"/>
    </xf>
    <xf numFmtId="0" fontId="16" fillId="0" borderId="24" xfId="5" applyFont="1" applyBorder="1" applyAlignment="1">
      <alignment horizontal="center" wrapText="1"/>
    </xf>
    <xf numFmtId="0" fontId="16" fillId="0" borderId="27" xfId="5" applyFont="1" applyBorder="1" applyAlignment="1">
      <alignment horizontal="center" vertical="center"/>
    </xf>
    <xf numFmtId="0" fontId="65" fillId="11" borderId="68" xfId="0" applyFont="1" applyFill="1" applyBorder="1" applyAlignment="1">
      <alignment horizontal="center" vertical="center"/>
    </xf>
    <xf numFmtId="0" fontId="65" fillId="11" borderId="37" xfId="0" applyFont="1" applyFill="1" applyBorder="1" applyAlignment="1">
      <alignment horizontal="center" vertical="center"/>
    </xf>
    <xf numFmtId="0" fontId="9" fillId="16" borderId="49" xfId="0" applyFont="1" applyFill="1" applyBorder="1" applyAlignment="1">
      <alignment horizontal="center" vertical="center"/>
    </xf>
    <xf numFmtId="0" fontId="9" fillId="16" borderId="50" xfId="0" applyFont="1" applyFill="1" applyBorder="1" applyAlignment="1">
      <alignment horizontal="center" vertical="center"/>
    </xf>
    <xf numFmtId="0" fontId="9" fillId="16" borderId="55" xfId="0" applyFont="1" applyFill="1" applyBorder="1" applyAlignment="1">
      <alignment horizontal="center" vertical="center"/>
    </xf>
    <xf numFmtId="0" fontId="9" fillId="16" borderId="56" xfId="0" applyFont="1" applyFill="1" applyBorder="1" applyAlignment="1">
      <alignment horizontal="center" vertical="center"/>
    </xf>
    <xf numFmtId="43" fontId="9" fillId="16" borderId="32" xfId="0" applyNumberFormat="1" applyFont="1" applyFill="1" applyBorder="1" applyAlignment="1">
      <alignment vertical="center"/>
    </xf>
    <xf numFmtId="43" fontId="9" fillId="16" borderId="66" xfId="0" applyNumberFormat="1" applyFont="1" applyFill="1" applyBorder="1" applyAlignment="1">
      <alignment vertical="center"/>
    </xf>
    <xf numFmtId="10" fontId="9" fillId="16" borderId="34" xfId="0" applyNumberFormat="1" applyFont="1" applyFill="1" applyBorder="1" applyAlignment="1">
      <alignment horizontal="center" vertical="center"/>
    </xf>
    <xf numFmtId="10" fontId="9" fillId="16" borderId="102" xfId="0" applyNumberFormat="1" applyFont="1" applyFill="1" applyBorder="1" applyAlignment="1">
      <alignment horizontal="center" vertical="center"/>
    </xf>
    <xf numFmtId="0" fontId="64" fillId="0" borderId="52" xfId="0" applyFont="1" applyBorder="1" applyAlignment="1">
      <alignment horizontal="left" vertical="center"/>
    </xf>
    <xf numFmtId="0" fontId="64" fillId="0" borderId="0" xfId="0" applyFont="1" applyBorder="1" applyAlignment="1">
      <alignment horizontal="left" vertical="center"/>
    </xf>
    <xf numFmtId="0" fontId="5" fillId="0" borderId="55" xfId="0" applyFont="1" applyBorder="1" applyAlignment="1">
      <alignment horizontal="left"/>
    </xf>
    <xf numFmtId="0" fontId="5" fillId="0" borderId="56" xfId="0" applyFont="1" applyBorder="1" applyAlignment="1">
      <alignment horizontal="left"/>
    </xf>
    <xf numFmtId="0" fontId="65" fillId="0" borderId="54" xfId="0" applyFont="1" applyBorder="1" applyAlignment="1">
      <alignment horizontal="center" vertical="center" wrapText="1"/>
    </xf>
    <xf numFmtId="0" fontId="65" fillId="0" borderId="57" xfId="0" applyFont="1" applyBorder="1" applyAlignment="1">
      <alignment horizontal="center" vertical="center" wrapText="1"/>
    </xf>
    <xf numFmtId="0" fontId="65" fillId="0" borderId="49" xfId="0" applyFont="1" applyBorder="1" applyAlignment="1">
      <alignment horizontal="center" vertical="center" wrapText="1"/>
    </xf>
    <xf numFmtId="0" fontId="65" fillId="0" borderId="55" xfId="0" applyFont="1" applyBorder="1" applyAlignment="1">
      <alignment horizontal="center" vertical="center" wrapText="1"/>
    </xf>
    <xf numFmtId="0" fontId="65" fillId="0" borderId="68" xfId="0" applyFont="1" applyFill="1" applyBorder="1" applyAlignment="1">
      <alignment horizontal="center" vertical="center"/>
    </xf>
    <xf numFmtId="0" fontId="65" fillId="0" borderId="37" xfId="0" applyFont="1" applyFill="1" applyBorder="1" applyAlignment="1">
      <alignment horizontal="center" vertical="center"/>
    </xf>
    <xf numFmtId="0" fontId="65" fillId="0" borderId="36" xfId="0" applyFont="1" applyFill="1" applyBorder="1" applyAlignment="1">
      <alignment horizontal="center" vertical="center"/>
    </xf>
    <xf numFmtId="14" fontId="65" fillId="11" borderId="68" xfId="0" applyNumberFormat="1" applyFont="1" applyFill="1" applyBorder="1" applyAlignment="1">
      <alignment horizontal="center" vertical="center"/>
    </xf>
    <xf numFmtId="49" fontId="61" fillId="0" borderId="49" xfId="0" applyNumberFormat="1" applyFont="1" applyBorder="1" applyAlignment="1">
      <alignment horizontal="left" vertical="center" wrapText="1"/>
    </xf>
    <xf numFmtId="49" fontId="61" fillId="0" borderId="50" xfId="0" applyNumberFormat="1" applyFont="1" applyBorder="1" applyAlignment="1">
      <alignment horizontal="left" vertical="center" wrapText="1"/>
    </xf>
    <xf numFmtId="49" fontId="61" fillId="0" borderId="52" xfId="0" applyNumberFormat="1" applyFont="1" applyBorder="1" applyAlignment="1">
      <alignment horizontal="left" vertical="center" wrapText="1"/>
    </xf>
    <xf numFmtId="49" fontId="61" fillId="0" borderId="0" xfId="0" applyNumberFormat="1" applyFont="1" applyBorder="1" applyAlignment="1">
      <alignment horizontal="left" vertical="center" wrapText="1"/>
    </xf>
    <xf numFmtId="49" fontId="62" fillId="0" borderId="50" xfId="0" applyNumberFormat="1" applyFont="1" applyBorder="1" applyAlignment="1">
      <alignment horizontal="center" vertical="center"/>
    </xf>
    <xf numFmtId="49" fontId="62" fillId="0" borderId="51" xfId="0" applyNumberFormat="1" applyFont="1" applyBorder="1" applyAlignment="1">
      <alignment horizontal="center" vertical="center"/>
    </xf>
    <xf numFmtId="49" fontId="62" fillId="0" borderId="10" xfId="0" applyNumberFormat="1" applyFont="1" applyBorder="1" applyAlignment="1">
      <alignment horizontal="center" vertical="center"/>
    </xf>
    <xf numFmtId="49" fontId="62" fillId="0" borderId="12" xfId="0" applyNumberFormat="1" applyFont="1" applyBorder="1" applyAlignment="1">
      <alignment horizontal="center" vertical="center"/>
    </xf>
    <xf numFmtId="10" fontId="62" fillId="0" borderId="68" xfId="0" applyNumberFormat="1" applyFont="1" applyBorder="1" applyAlignment="1">
      <alignment horizontal="center" vertical="center"/>
    </xf>
    <xf numFmtId="10" fontId="62" fillId="0" borderId="37" xfId="0" applyNumberFormat="1" applyFont="1" applyBorder="1" applyAlignment="1">
      <alignment horizontal="center" vertical="center"/>
    </xf>
    <xf numFmtId="49" fontId="62" fillId="0" borderId="0" xfId="0" applyNumberFormat="1" applyFont="1" applyBorder="1" applyAlignment="1">
      <alignment horizontal="center" vertical="center"/>
    </xf>
    <xf numFmtId="49" fontId="62" fillId="0" borderId="68" xfId="0" applyNumberFormat="1" applyFont="1" applyBorder="1" applyAlignment="1">
      <alignment horizontal="center" vertical="center"/>
    </xf>
    <xf numFmtId="49" fontId="62" fillId="0" borderId="37" xfId="0" applyNumberFormat="1" applyFont="1" applyBorder="1" applyAlignment="1">
      <alignment horizontal="center" vertical="center"/>
    </xf>
  </cellXfs>
  <cellStyles count="7">
    <cellStyle name="Excel Built-in Normal" xfId="5"/>
    <cellStyle name="Moeda 2" xfId="6"/>
    <cellStyle name="Normal" xfId="0" builtinId="0"/>
    <cellStyle name="Normal 2" xfId="3"/>
    <cellStyle name="Porcentagem" xfId="2" builtinId="5"/>
    <cellStyle name="Separador de milhares" xfId="1" builtinId="3"/>
    <cellStyle name="Separador de milhares 2" xfId="4"/>
  </cellStyles>
  <dxfs count="0"/>
  <tableStyles count="0" defaultTableStyle="TableStyleMedium2" defaultPivotStyle="PivotStyleLight16"/>
  <colors>
    <mruColors>
      <color rgb="FF0000FF"/>
      <color rgb="FF0AC70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295275</xdr:colOff>
      <xdr:row>0</xdr:row>
      <xdr:rowOff>57150</xdr:rowOff>
    </xdr:from>
    <xdr:to>
      <xdr:col>2</xdr:col>
      <xdr:colOff>2428875</xdr:colOff>
      <xdr:row>3</xdr:row>
      <xdr:rowOff>181719</xdr:rowOff>
    </xdr:to>
    <xdr:pic>
      <xdr:nvPicPr>
        <xdr:cNvPr id="2" name="Imagem 2" descr="Brasão Várzea Grande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72225" y="57150"/>
          <a:ext cx="2133600" cy="810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899060</xdr:colOff>
      <xdr:row>1</xdr:row>
      <xdr:rowOff>145676</xdr:rowOff>
    </xdr:from>
    <xdr:to>
      <xdr:col>8</xdr:col>
      <xdr:colOff>1092209</xdr:colOff>
      <xdr:row>4</xdr:row>
      <xdr:rowOff>33618</xdr:rowOff>
    </xdr:to>
    <xdr:pic>
      <xdr:nvPicPr>
        <xdr:cNvPr id="2" name="Imagem 3" descr="http://hotspot.pmvg.intra/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64279" y="348082"/>
          <a:ext cx="2276743" cy="7451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114218</xdr:colOff>
      <xdr:row>0</xdr:row>
      <xdr:rowOff>8986</xdr:rowOff>
    </xdr:from>
    <xdr:to>
      <xdr:col>7</xdr:col>
      <xdr:colOff>473381</xdr:colOff>
      <xdr:row>4</xdr:row>
      <xdr:rowOff>0</xdr:rowOff>
    </xdr:to>
    <xdr:pic>
      <xdr:nvPicPr>
        <xdr:cNvPr id="2" name="Imagem 3" descr="http://hotspot.pmvg.intra/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00643" y="8986"/>
          <a:ext cx="2340363" cy="6387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1628775</xdr:colOff>
      <xdr:row>443</xdr:row>
      <xdr:rowOff>0</xdr:rowOff>
    </xdr:from>
    <xdr:ext cx="184731" cy="264560"/>
    <xdr:sp macro="" textlink="">
      <xdr:nvSpPr>
        <xdr:cNvPr id="3" name="CaixaDeTexto 2"/>
        <xdr:cNvSpPr txBox="1"/>
      </xdr:nvSpPr>
      <xdr:spPr>
        <a:xfrm>
          <a:off x="3209925" y="3305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449</xdr:row>
      <xdr:rowOff>0</xdr:rowOff>
    </xdr:from>
    <xdr:ext cx="184731" cy="264560"/>
    <xdr:sp macro="" textlink="">
      <xdr:nvSpPr>
        <xdr:cNvPr id="4" name="CaixaDeTexto 3"/>
        <xdr:cNvSpPr txBox="1"/>
      </xdr:nvSpPr>
      <xdr:spPr>
        <a:xfrm>
          <a:off x="3209925" y="3568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460</xdr:row>
      <xdr:rowOff>0</xdr:rowOff>
    </xdr:from>
    <xdr:ext cx="184731" cy="264560"/>
    <xdr:sp macro="" textlink="">
      <xdr:nvSpPr>
        <xdr:cNvPr id="5" name="CaixaDeTexto 4"/>
        <xdr:cNvSpPr txBox="1"/>
      </xdr:nvSpPr>
      <xdr:spPr>
        <a:xfrm>
          <a:off x="3209925" y="3841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468</xdr:row>
      <xdr:rowOff>0</xdr:rowOff>
    </xdr:from>
    <xdr:ext cx="184731" cy="264560"/>
    <xdr:sp macro="" textlink="">
      <xdr:nvSpPr>
        <xdr:cNvPr id="6" name="CaixaDeTexto 5"/>
        <xdr:cNvSpPr txBox="1"/>
      </xdr:nvSpPr>
      <xdr:spPr>
        <a:xfrm>
          <a:off x="3209925" y="4039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480</xdr:row>
      <xdr:rowOff>0</xdr:rowOff>
    </xdr:from>
    <xdr:ext cx="184731" cy="264560"/>
    <xdr:sp macro="" textlink="">
      <xdr:nvSpPr>
        <xdr:cNvPr id="7" name="CaixaDeTexto 6"/>
        <xdr:cNvSpPr txBox="1"/>
      </xdr:nvSpPr>
      <xdr:spPr>
        <a:xfrm>
          <a:off x="3209925" y="4347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480</xdr:row>
      <xdr:rowOff>0</xdr:rowOff>
    </xdr:from>
    <xdr:ext cx="184731" cy="264560"/>
    <xdr:sp macro="" textlink="">
      <xdr:nvSpPr>
        <xdr:cNvPr id="8" name="CaixaDeTexto 7"/>
        <xdr:cNvSpPr txBox="1"/>
      </xdr:nvSpPr>
      <xdr:spPr>
        <a:xfrm>
          <a:off x="3209925" y="4347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492</xdr:row>
      <xdr:rowOff>0</xdr:rowOff>
    </xdr:from>
    <xdr:ext cx="184731" cy="264560"/>
    <xdr:sp macro="" textlink="">
      <xdr:nvSpPr>
        <xdr:cNvPr id="9" name="CaixaDeTexto 8"/>
        <xdr:cNvSpPr txBox="1"/>
      </xdr:nvSpPr>
      <xdr:spPr>
        <a:xfrm>
          <a:off x="3209925" y="4471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501</xdr:row>
      <xdr:rowOff>0</xdr:rowOff>
    </xdr:from>
    <xdr:ext cx="184731" cy="264560"/>
    <xdr:sp macro="" textlink="">
      <xdr:nvSpPr>
        <xdr:cNvPr id="10" name="CaixaDeTexto 9"/>
        <xdr:cNvSpPr txBox="1"/>
      </xdr:nvSpPr>
      <xdr:spPr>
        <a:xfrm>
          <a:off x="3209925" y="4933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509</xdr:row>
      <xdr:rowOff>0</xdr:rowOff>
    </xdr:from>
    <xdr:ext cx="184731" cy="264560"/>
    <xdr:sp macro="" textlink="">
      <xdr:nvSpPr>
        <xdr:cNvPr id="11" name="CaixaDeTexto 10"/>
        <xdr:cNvSpPr txBox="1"/>
      </xdr:nvSpPr>
      <xdr:spPr>
        <a:xfrm>
          <a:off x="3209925" y="5189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516</xdr:row>
      <xdr:rowOff>0</xdr:rowOff>
    </xdr:from>
    <xdr:ext cx="184731" cy="264560"/>
    <xdr:sp macro="" textlink="">
      <xdr:nvSpPr>
        <xdr:cNvPr id="12" name="CaixaDeTexto 11"/>
        <xdr:cNvSpPr txBox="1"/>
      </xdr:nvSpPr>
      <xdr:spPr>
        <a:xfrm>
          <a:off x="3209925" y="5351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516</xdr:row>
      <xdr:rowOff>0</xdr:rowOff>
    </xdr:from>
    <xdr:ext cx="184731" cy="264560"/>
    <xdr:sp macro="" textlink="">
      <xdr:nvSpPr>
        <xdr:cNvPr id="13" name="CaixaDeTexto 12"/>
        <xdr:cNvSpPr txBox="1"/>
      </xdr:nvSpPr>
      <xdr:spPr>
        <a:xfrm>
          <a:off x="3209925" y="569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529</xdr:row>
      <xdr:rowOff>0</xdr:rowOff>
    </xdr:from>
    <xdr:ext cx="184731" cy="264560"/>
    <xdr:sp macro="" textlink="">
      <xdr:nvSpPr>
        <xdr:cNvPr id="14" name="CaixaDeTexto 13"/>
        <xdr:cNvSpPr txBox="1"/>
      </xdr:nvSpPr>
      <xdr:spPr>
        <a:xfrm>
          <a:off x="3209925" y="6036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539</xdr:row>
      <xdr:rowOff>0</xdr:rowOff>
    </xdr:from>
    <xdr:ext cx="184731" cy="264560"/>
    <xdr:sp macro="" textlink="">
      <xdr:nvSpPr>
        <xdr:cNvPr id="15" name="CaixaDeTexto 14"/>
        <xdr:cNvSpPr txBox="1"/>
      </xdr:nvSpPr>
      <xdr:spPr>
        <a:xfrm>
          <a:off x="3209925" y="6327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549</xdr:row>
      <xdr:rowOff>0</xdr:rowOff>
    </xdr:from>
    <xdr:ext cx="184731" cy="264560"/>
    <xdr:sp macro="" textlink="">
      <xdr:nvSpPr>
        <xdr:cNvPr id="16" name="CaixaDeTexto 15"/>
        <xdr:cNvSpPr txBox="1"/>
      </xdr:nvSpPr>
      <xdr:spPr>
        <a:xfrm>
          <a:off x="3209925" y="6573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292</xdr:row>
      <xdr:rowOff>0</xdr:rowOff>
    </xdr:from>
    <xdr:ext cx="184731" cy="264560"/>
    <xdr:sp macro="" textlink="">
      <xdr:nvSpPr>
        <xdr:cNvPr id="17" name="CaixaDeTexto 16"/>
        <xdr:cNvSpPr txBox="1"/>
      </xdr:nvSpPr>
      <xdr:spPr>
        <a:xfrm>
          <a:off x="2390775" y="7800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292</xdr:row>
      <xdr:rowOff>0</xdr:rowOff>
    </xdr:from>
    <xdr:ext cx="184731" cy="264560"/>
    <xdr:sp macro="" textlink="">
      <xdr:nvSpPr>
        <xdr:cNvPr id="18" name="CaixaDeTexto 17"/>
        <xdr:cNvSpPr txBox="1"/>
      </xdr:nvSpPr>
      <xdr:spPr>
        <a:xfrm>
          <a:off x="2390775" y="7800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312</xdr:row>
      <xdr:rowOff>0</xdr:rowOff>
    </xdr:from>
    <xdr:ext cx="184731" cy="264560"/>
    <xdr:sp macro="" textlink="">
      <xdr:nvSpPr>
        <xdr:cNvPr id="19" name="CaixaDeTexto 18"/>
        <xdr:cNvSpPr txBox="1"/>
      </xdr:nvSpPr>
      <xdr:spPr>
        <a:xfrm>
          <a:off x="2390775" y="4314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321</xdr:row>
      <xdr:rowOff>0</xdr:rowOff>
    </xdr:from>
    <xdr:ext cx="184731" cy="264560"/>
    <xdr:sp macro="" textlink="">
      <xdr:nvSpPr>
        <xdr:cNvPr id="20" name="CaixaDeTexto 19"/>
        <xdr:cNvSpPr txBox="1"/>
      </xdr:nvSpPr>
      <xdr:spPr>
        <a:xfrm>
          <a:off x="2390775" y="4521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340</xdr:row>
      <xdr:rowOff>0</xdr:rowOff>
    </xdr:from>
    <xdr:ext cx="184731" cy="264560"/>
    <xdr:sp macro="" textlink="">
      <xdr:nvSpPr>
        <xdr:cNvPr id="21" name="CaixaDeTexto 20"/>
        <xdr:cNvSpPr txBox="1"/>
      </xdr:nvSpPr>
      <xdr:spPr>
        <a:xfrm>
          <a:off x="2390775" y="49329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332</xdr:row>
      <xdr:rowOff>0</xdr:rowOff>
    </xdr:from>
    <xdr:ext cx="184731" cy="264560"/>
    <xdr:sp macro="" textlink="">
      <xdr:nvSpPr>
        <xdr:cNvPr id="22" name="CaixaDeTexto 21"/>
        <xdr:cNvSpPr txBox="1"/>
      </xdr:nvSpPr>
      <xdr:spPr>
        <a:xfrm>
          <a:off x="2390775" y="4772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346</xdr:row>
      <xdr:rowOff>0</xdr:rowOff>
    </xdr:from>
    <xdr:ext cx="184731" cy="264560"/>
    <xdr:sp macro="" textlink="">
      <xdr:nvSpPr>
        <xdr:cNvPr id="23" name="CaixaDeTexto 22"/>
        <xdr:cNvSpPr txBox="1"/>
      </xdr:nvSpPr>
      <xdr:spPr>
        <a:xfrm>
          <a:off x="2390775" y="5210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346</xdr:row>
      <xdr:rowOff>0</xdr:rowOff>
    </xdr:from>
    <xdr:ext cx="184731" cy="264560"/>
    <xdr:sp macro="" textlink="">
      <xdr:nvSpPr>
        <xdr:cNvPr id="24" name="CaixaDeTexto 23"/>
        <xdr:cNvSpPr txBox="1"/>
      </xdr:nvSpPr>
      <xdr:spPr>
        <a:xfrm>
          <a:off x="2390775" y="5210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370</xdr:row>
      <xdr:rowOff>0</xdr:rowOff>
    </xdr:from>
    <xdr:ext cx="184731" cy="264560"/>
    <xdr:sp macro="" textlink="">
      <xdr:nvSpPr>
        <xdr:cNvPr id="25" name="CaixaDeTexto 24"/>
        <xdr:cNvSpPr txBox="1"/>
      </xdr:nvSpPr>
      <xdr:spPr>
        <a:xfrm>
          <a:off x="2390775" y="5485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379</xdr:row>
      <xdr:rowOff>0</xdr:rowOff>
    </xdr:from>
    <xdr:ext cx="184731" cy="264560"/>
    <xdr:sp macro="" textlink="">
      <xdr:nvSpPr>
        <xdr:cNvPr id="26" name="CaixaDeTexto 25"/>
        <xdr:cNvSpPr txBox="1"/>
      </xdr:nvSpPr>
      <xdr:spPr>
        <a:xfrm>
          <a:off x="2390775" y="56759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387</xdr:row>
      <xdr:rowOff>0</xdr:rowOff>
    </xdr:from>
    <xdr:ext cx="184731" cy="264560"/>
    <xdr:sp macro="" textlink="">
      <xdr:nvSpPr>
        <xdr:cNvPr id="27" name="CaixaDeTexto 26"/>
        <xdr:cNvSpPr txBox="1"/>
      </xdr:nvSpPr>
      <xdr:spPr>
        <a:xfrm>
          <a:off x="2390775" y="587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407</xdr:row>
      <xdr:rowOff>0</xdr:rowOff>
    </xdr:from>
    <xdr:ext cx="184731" cy="264560"/>
    <xdr:sp macro="" textlink="">
      <xdr:nvSpPr>
        <xdr:cNvPr id="28" name="CaixaDeTexto 27"/>
        <xdr:cNvSpPr txBox="1"/>
      </xdr:nvSpPr>
      <xdr:spPr>
        <a:xfrm>
          <a:off x="2390775" y="6013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411</xdr:row>
      <xdr:rowOff>0</xdr:rowOff>
    </xdr:from>
    <xdr:ext cx="184731" cy="264560"/>
    <xdr:sp macro="" textlink="">
      <xdr:nvSpPr>
        <xdr:cNvPr id="29" name="CaixaDeTexto 28"/>
        <xdr:cNvSpPr txBox="1"/>
      </xdr:nvSpPr>
      <xdr:spPr>
        <a:xfrm>
          <a:off x="2390775" y="6329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424</xdr:row>
      <xdr:rowOff>0</xdr:rowOff>
    </xdr:from>
    <xdr:ext cx="184731" cy="264560"/>
    <xdr:sp macro="" textlink="">
      <xdr:nvSpPr>
        <xdr:cNvPr id="30" name="CaixaDeTexto 29"/>
        <xdr:cNvSpPr txBox="1"/>
      </xdr:nvSpPr>
      <xdr:spPr>
        <a:xfrm>
          <a:off x="2390775" y="6630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442</xdr:row>
      <xdr:rowOff>0</xdr:rowOff>
    </xdr:from>
    <xdr:ext cx="184731" cy="264560"/>
    <xdr:sp macro="" textlink="">
      <xdr:nvSpPr>
        <xdr:cNvPr id="31" name="CaixaDeTexto 30"/>
        <xdr:cNvSpPr txBox="1"/>
      </xdr:nvSpPr>
      <xdr:spPr>
        <a:xfrm>
          <a:off x="2390775" y="6814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442</xdr:row>
      <xdr:rowOff>0</xdr:rowOff>
    </xdr:from>
    <xdr:ext cx="184731" cy="264560"/>
    <xdr:sp macro="" textlink="">
      <xdr:nvSpPr>
        <xdr:cNvPr id="32" name="CaixaDeTexto 31"/>
        <xdr:cNvSpPr txBox="1"/>
      </xdr:nvSpPr>
      <xdr:spPr>
        <a:xfrm>
          <a:off x="2390775" y="6995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394</xdr:row>
      <xdr:rowOff>0</xdr:rowOff>
    </xdr:from>
    <xdr:ext cx="184731" cy="264560"/>
    <xdr:sp macro="" textlink="">
      <xdr:nvSpPr>
        <xdr:cNvPr id="33" name="CaixaDeTexto 32"/>
        <xdr:cNvSpPr txBox="1"/>
      </xdr:nvSpPr>
      <xdr:spPr>
        <a:xfrm>
          <a:off x="3867150" y="637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300</xdr:row>
      <xdr:rowOff>0</xdr:rowOff>
    </xdr:from>
    <xdr:ext cx="184731" cy="264560"/>
    <xdr:sp macro="" textlink="">
      <xdr:nvSpPr>
        <xdr:cNvPr id="34" name="CaixaDeTexto 33"/>
        <xdr:cNvSpPr txBox="1"/>
      </xdr:nvSpPr>
      <xdr:spPr>
        <a:xfrm>
          <a:off x="3867150" y="488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300</xdr:row>
      <xdr:rowOff>0</xdr:rowOff>
    </xdr:from>
    <xdr:ext cx="184731" cy="264560"/>
    <xdr:sp macro="" textlink="">
      <xdr:nvSpPr>
        <xdr:cNvPr id="35" name="CaixaDeTexto 34"/>
        <xdr:cNvSpPr txBox="1"/>
      </xdr:nvSpPr>
      <xdr:spPr>
        <a:xfrm>
          <a:off x="3867150" y="488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434</xdr:row>
      <xdr:rowOff>0</xdr:rowOff>
    </xdr:from>
    <xdr:ext cx="184731" cy="264560"/>
    <xdr:sp macro="" textlink="">
      <xdr:nvSpPr>
        <xdr:cNvPr id="36" name="CaixaDeTexto 35"/>
        <xdr:cNvSpPr txBox="1"/>
      </xdr:nvSpPr>
      <xdr:spPr>
        <a:xfrm>
          <a:off x="3867150" y="7258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400</xdr:row>
      <xdr:rowOff>0</xdr:rowOff>
    </xdr:from>
    <xdr:ext cx="184731" cy="264560"/>
    <xdr:sp macro="" textlink="">
      <xdr:nvSpPr>
        <xdr:cNvPr id="37" name="CaixaDeTexto 36"/>
        <xdr:cNvSpPr txBox="1"/>
      </xdr:nvSpPr>
      <xdr:spPr>
        <a:xfrm>
          <a:off x="3867150" y="6812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443</xdr:row>
      <xdr:rowOff>0</xdr:rowOff>
    </xdr:from>
    <xdr:ext cx="184731" cy="264560"/>
    <xdr:sp macro="" textlink="">
      <xdr:nvSpPr>
        <xdr:cNvPr id="38" name="CaixaDeTexto 37"/>
        <xdr:cNvSpPr txBox="1"/>
      </xdr:nvSpPr>
      <xdr:spPr>
        <a:xfrm>
          <a:off x="3867150" y="798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443</xdr:row>
      <xdr:rowOff>0</xdr:rowOff>
    </xdr:from>
    <xdr:ext cx="184731" cy="264560"/>
    <xdr:sp macro="" textlink="">
      <xdr:nvSpPr>
        <xdr:cNvPr id="39" name="CaixaDeTexto 38"/>
        <xdr:cNvSpPr txBox="1"/>
      </xdr:nvSpPr>
      <xdr:spPr>
        <a:xfrm>
          <a:off x="3867150" y="6984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442</xdr:row>
      <xdr:rowOff>0</xdr:rowOff>
    </xdr:from>
    <xdr:ext cx="184731" cy="264560"/>
    <xdr:sp macro="" textlink="">
      <xdr:nvSpPr>
        <xdr:cNvPr id="40" name="CaixaDeTexto 39"/>
        <xdr:cNvSpPr txBox="1"/>
      </xdr:nvSpPr>
      <xdr:spPr>
        <a:xfrm>
          <a:off x="3867150" y="780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442</xdr:row>
      <xdr:rowOff>0</xdr:rowOff>
    </xdr:from>
    <xdr:ext cx="184731" cy="264560"/>
    <xdr:sp macro="" textlink="">
      <xdr:nvSpPr>
        <xdr:cNvPr id="41" name="CaixaDeTexto 40"/>
        <xdr:cNvSpPr txBox="1"/>
      </xdr:nvSpPr>
      <xdr:spPr>
        <a:xfrm>
          <a:off x="3867150" y="7963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443</xdr:row>
      <xdr:rowOff>0</xdr:rowOff>
    </xdr:from>
    <xdr:ext cx="184731" cy="264560"/>
    <xdr:sp macro="" textlink="">
      <xdr:nvSpPr>
        <xdr:cNvPr id="42" name="CaixaDeTexto 41"/>
        <xdr:cNvSpPr txBox="1"/>
      </xdr:nvSpPr>
      <xdr:spPr>
        <a:xfrm>
          <a:off x="3867150" y="81581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274</xdr:row>
      <xdr:rowOff>0</xdr:rowOff>
    </xdr:from>
    <xdr:ext cx="184731" cy="264560"/>
    <xdr:sp macro="" textlink="">
      <xdr:nvSpPr>
        <xdr:cNvPr id="43" name="CaixaDeTexto 42"/>
        <xdr:cNvSpPr txBox="1"/>
      </xdr:nvSpPr>
      <xdr:spPr>
        <a:xfrm>
          <a:off x="3867150" y="467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274</xdr:row>
      <xdr:rowOff>0</xdr:rowOff>
    </xdr:from>
    <xdr:ext cx="184731" cy="264560"/>
    <xdr:sp macro="" textlink="">
      <xdr:nvSpPr>
        <xdr:cNvPr id="44" name="CaixaDeTexto 43"/>
        <xdr:cNvSpPr txBox="1"/>
      </xdr:nvSpPr>
      <xdr:spPr>
        <a:xfrm>
          <a:off x="3867150" y="467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294</xdr:row>
      <xdr:rowOff>0</xdr:rowOff>
    </xdr:from>
    <xdr:ext cx="184731" cy="264560"/>
    <xdr:sp macro="" textlink="">
      <xdr:nvSpPr>
        <xdr:cNvPr id="45" name="CaixaDeTexto 44"/>
        <xdr:cNvSpPr txBox="1"/>
      </xdr:nvSpPr>
      <xdr:spPr>
        <a:xfrm>
          <a:off x="3867150" y="5017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303</xdr:row>
      <xdr:rowOff>0</xdr:rowOff>
    </xdr:from>
    <xdr:ext cx="184731" cy="264560"/>
    <xdr:sp macro="" textlink="">
      <xdr:nvSpPr>
        <xdr:cNvPr id="46" name="CaixaDeTexto 45"/>
        <xdr:cNvSpPr txBox="1"/>
      </xdr:nvSpPr>
      <xdr:spPr>
        <a:xfrm>
          <a:off x="3867150" y="5163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322</xdr:row>
      <xdr:rowOff>0</xdr:rowOff>
    </xdr:from>
    <xdr:ext cx="184731" cy="264560"/>
    <xdr:sp macro="" textlink="">
      <xdr:nvSpPr>
        <xdr:cNvPr id="47" name="CaixaDeTexto 46"/>
        <xdr:cNvSpPr txBox="1"/>
      </xdr:nvSpPr>
      <xdr:spPr>
        <a:xfrm>
          <a:off x="3867150" y="54721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314</xdr:row>
      <xdr:rowOff>0</xdr:rowOff>
    </xdr:from>
    <xdr:ext cx="184731" cy="264560"/>
    <xdr:sp macro="" textlink="">
      <xdr:nvSpPr>
        <xdr:cNvPr id="48" name="CaixaDeTexto 47"/>
        <xdr:cNvSpPr txBox="1"/>
      </xdr:nvSpPr>
      <xdr:spPr>
        <a:xfrm>
          <a:off x="3867150" y="534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328</xdr:row>
      <xdr:rowOff>0</xdr:rowOff>
    </xdr:from>
    <xdr:ext cx="184731" cy="264560"/>
    <xdr:sp macro="" textlink="">
      <xdr:nvSpPr>
        <xdr:cNvPr id="49" name="CaixaDeTexto 48"/>
        <xdr:cNvSpPr txBox="1"/>
      </xdr:nvSpPr>
      <xdr:spPr>
        <a:xfrm>
          <a:off x="3867150" y="5569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328</xdr:row>
      <xdr:rowOff>0</xdr:rowOff>
    </xdr:from>
    <xdr:ext cx="184731" cy="264560"/>
    <xdr:sp macro="" textlink="">
      <xdr:nvSpPr>
        <xdr:cNvPr id="50" name="CaixaDeTexto 49"/>
        <xdr:cNvSpPr txBox="1"/>
      </xdr:nvSpPr>
      <xdr:spPr>
        <a:xfrm>
          <a:off x="3867150" y="5569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345</xdr:row>
      <xdr:rowOff>0</xdr:rowOff>
    </xdr:from>
    <xdr:ext cx="184731" cy="264560"/>
    <xdr:sp macro="" textlink="">
      <xdr:nvSpPr>
        <xdr:cNvPr id="51" name="CaixaDeTexto 50"/>
        <xdr:cNvSpPr txBox="1"/>
      </xdr:nvSpPr>
      <xdr:spPr>
        <a:xfrm>
          <a:off x="3867150" y="5902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361</xdr:row>
      <xdr:rowOff>0</xdr:rowOff>
    </xdr:from>
    <xdr:ext cx="184731" cy="264560"/>
    <xdr:sp macro="" textlink="">
      <xdr:nvSpPr>
        <xdr:cNvPr id="52" name="CaixaDeTexto 51"/>
        <xdr:cNvSpPr txBox="1"/>
      </xdr:nvSpPr>
      <xdr:spPr>
        <a:xfrm>
          <a:off x="3867150" y="6048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369</xdr:row>
      <xdr:rowOff>0</xdr:rowOff>
    </xdr:from>
    <xdr:ext cx="184731" cy="264560"/>
    <xdr:sp macro="" textlink="">
      <xdr:nvSpPr>
        <xdr:cNvPr id="53" name="CaixaDeTexto 52"/>
        <xdr:cNvSpPr txBox="1"/>
      </xdr:nvSpPr>
      <xdr:spPr>
        <a:xfrm>
          <a:off x="3867150" y="6177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389</xdr:row>
      <xdr:rowOff>0</xdr:rowOff>
    </xdr:from>
    <xdr:ext cx="184731" cy="264560"/>
    <xdr:sp macro="" textlink="">
      <xdr:nvSpPr>
        <xdr:cNvPr id="54" name="CaixaDeTexto 53"/>
        <xdr:cNvSpPr txBox="1"/>
      </xdr:nvSpPr>
      <xdr:spPr>
        <a:xfrm>
          <a:off x="3867150" y="6517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393</xdr:row>
      <xdr:rowOff>0</xdr:rowOff>
    </xdr:from>
    <xdr:ext cx="184731" cy="264560"/>
    <xdr:sp macro="" textlink="">
      <xdr:nvSpPr>
        <xdr:cNvPr id="55" name="CaixaDeTexto 54"/>
        <xdr:cNvSpPr txBox="1"/>
      </xdr:nvSpPr>
      <xdr:spPr>
        <a:xfrm>
          <a:off x="3867150" y="65855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406</xdr:row>
      <xdr:rowOff>0</xdr:rowOff>
    </xdr:from>
    <xdr:ext cx="184731" cy="264560"/>
    <xdr:sp macro="" textlink="">
      <xdr:nvSpPr>
        <xdr:cNvPr id="56" name="CaixaDeTexto 55"/>
        <xdr:cNvSpPr txBox="1"/>
      </xdr:nvSpPr>
      <xdr:spPr>
        <a:xfrm>
          <a:off x="3867150" y="679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426</xdr:row>
      <xdr:rowOff>0</xdr:rowOff>
    </xdr:from>
    <xdr:ext cx="184731" cy="264560"/>
    <xdr:sp macro="" textlink="">
      <xdr:nvSpPr>
        <xdr:cNvPr id="57" name="CaixaDeTexto 56"/>
        <xdr:cNvSpPr txBox="1"/>
      </xdr:nvSpPr>
      <xdr:spPr>
        <a:xfrm>
          <a:off x="3867150" y="7156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436</xdr:row>
      <xdr:rowOff>0</xdr:rowOff>
    </xdr:from>
    <xdr:ext cx="184731" cy="264560"/>
    <xdr:sp macro="" textlink="">
      <xdr:nvSpPr>
        <xdr:cNvPr id="58" name="CaixaDeTexto 57"/>
        <xdr:cNvSpPr txBox="1"/>
      </xdr:nvSpPr>
      <xdr:spPr>
        <a:xfrm>
          <a:off x="3867150" y="7337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376</xdr:row>
      <xdr:rowOff>0</xdr:rowOff>
    </xdr:from>
    <xdr:ext cx="184731" cy="264560"/>
    <xdr:sp macro="" textlink="">
      <xdr:nvSpPr>
        <xdr:cNvPr id="59" name="CaixaDeTexto 58"/>
        <xdr:cNvSpPr txBox="1"/>
      </xdr:nvSpPr>
      <xdr:spPr>
        <a:xfrm>
          <a:off x="3867150" y="6291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282</xdr:row>
      <xdr:rowOff>0</xdr:rowOff>
    </xdr:from>
    <xdr:ext cx="184731" cy="264560"/>
    <xdr:sp macro="" textlink="">
      <xdr:nvSpPr>
        <xdr:cNvPr id="60" name="CaixaDeTexto 59"/>
        <xdr:cNvSpPr txBox="1"/>
      </xdr:nvSpPr>
      <xdr:spPr>
        <a:xfrm>
          <a:off x="3867150" y="4807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282</xdr:row>
      <xdr:rowOff>0</xdr:rowOff>
    </xdr:from>
    <xdr:ext cx="184731" cy="264560"/>
    <xdr:sp macro="" textlink="">
      <xdr:nvSpPr>
        <xdr:cNvPr id="61" name="CaixaDeTexto 60"/>
        <xdr:cNvSpPr txBox="1"/>
      </xdr:nvSpPr>
      <xdr:spPr>
        <a:xfrm>
          <a:off x="3867150" y="4807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416</xdr:row>
      <xdr:rowOff>0</xdr:rowOff>
    </xdr:from>
    <xdr:ext cx="184731" cy="264560"/>
    <xdr:sp macro="" textlink="">
      <xdr:nvSpPr>
        <xdr:cNvPr id="62" name="CaixaDeTexto 61"/>
        <xdr:cNvSpPr txBox="1"/>
      </xdr:nvSpPr>
      <xdr:spPr>
        <a:xfrm>
          <a:off x="3867150" y="6977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382</xdr:row>
      <xdr:rowOff>0</xdr:rowOff>
    </xdr:from>
    <xdr:ext cx="184731" cy="264560"/>
    <xdr:sp macro="" textlink="">
      <xdr:nvSpPr>
        <xdr:cNvPr id="63" name="CaixaDeTexto 62"/>
        <xdr:cNvSpPr txBox="1"/>
      </xdr:nvSpPr>
      <xdr:spPr>
        <a:xfrm>
          <a:off x="3867150" y="63884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442</xdr:row>
      <xdr:rowOff>0</xdr:rowOff>
    </xdr:from>
    <xdr:ext cx="184731" cy="264560"/>
    <xdr:sp macro="" textlink="">
      <xdr:nvSpPr>
        <xdr:cNvPr id="64" name="CaixaDeTexto 63"/>
        <xdr:cNvSpPr txBox="1"/>
      </xdr:nvSpPr>
      <xdr:spPr>
        <a:xfrm>
          <a:off x="3867150" y="7704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442</xdr:row>
      <xdr:rowOff>0</xdr:rowOff>
    </xdr:from>
    <xdr:ext cx="184731" cy="264560"/>
    <xdr:sp macro="" textlink="">
      <xdr:nvSpPr>
        <xdr:cNvPr id="65" name="CaixaDeTexto 64"/>
        <xdr:cNvSpPr txBox="1"/>
      </xdr:nvSpPr>
      <xdr:spPr>
        <a:xfrm>
          <a:off x="3867150" y="77371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442</xdr:row>
      <xdr:rowOff>0</xdr:rowOff>
    </xdr:from>
    <xdr:ext cx="184731" cy="264560"/>
    <xdr:sp macro="" textlink="">
      <xdr:nvSpPr>
        <xdr:cNvPr id="66" name="CaixaDeTexto 65"/>
        <xdr:cNvSpPr txBox="1"/>
      </xdr:nvSpPr>
      <xdr:spPr>
        <a:xfrm>
          <a:off x="3867150" y="783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443</xdr:row>
      <xdr:rowOff>0</xdr:rowOff>
    </xdr:from>
    <xdr:ext cx="184731" cy="264560"/>
    <xdr:sp macro="" textlink="">
      <xdr:nvSpPr>
        <xdr:cNvPr id="67" name="CaixaDeTexto 66"/>
        <xdr:cNvSpPr txBox="1"/>
      </xdr:nvSpPr>
      <xdr:spPr>
        <a:xfrm>
          <a:off x="3867150" y="8141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443</xdr:row>
      <xdr:rowOff>0</xdr:rowOff>
    </xdr:from>
    <xdr:ext cx="184731" cy="264560"/>
    <xdr:sp macro="" textlink="">
      <xdr:nvSpPr>
        <xdr:cNvPr id="68" name="CaixaDeTexto 67"/>
        <xdr:cNvSpPr txBox="1"/>
      </xdr:nvSpPr>
      <xdr:spPr>
        <a:xfrm>
          <a:off x="3867150" y="801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442</xdr:row>
      <xdr:rowOff>0</xdr:rowOff>
    </xdr:from>
    <xdr:ext cx="184731" cy="264560"/>
    <xdr:sp macro="" textlink="">
      <xdr:nvSpPr>
        <xdr:cNvPr id="69" name="CaixaDeTexto 68"/>
        <xdr:cNvSpPr txBox="1"/>
      </xdr:nvSpPr>
      <xdr:spPr>
        <a:xfrm>
          <a:off x="3867150" y="77371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442</xdr:row>
      <xdr:rowOff>0</xdr:rowOff>
    </xdr:from>
    <xdr:ext cx="184731" cy="264560"/>
    <xdr:sp macro="" textlink="">
      <xdr:nvSpPr>
        <xdr:cNvPr id="70" name="CaixaDeTexto 69"/>
        <xdr:cNvSpPr txBox="1"/>
      </xdr:nvSpPr>
      <xdr:spPr>
        <a:xfrm>
          <a:off x="3867150" y="77371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442</xdr:row>
      <xdr:rowOff>0</xdr:rowOff>
    </xdr:from>
    <xdr:ext cx="184731" cy="264560"/>
    <xdr:sp macro="" textlink="">
      <xdr:nvSpPr>
        <xdr:cNvPr id="71" name="CaixaDeTexto 70"/>
        <xdr:cNvSpPr txBox="1"/>
      </xdr:nvSpPr>
      <xdr:spPr>
        <a:xfrm>
          <a:off x="3867150" y="77371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442</xdr:row>
      <xdr:rowOff>0</xdr:rowOff>
    </xdr:from>
    <xdr:ext cx="184731" cy="264560"/>
    <xdr:sp macro="" textlink="">
      <xdr:nvSpPr>
        <xdr:cNvPr id="72" name="CaixaDeTexto 71"/>
        <xdr:cNvSpPr txBox="1"/>
      </xdr:nvSpPr>
      <xdr:spPr>
        <a:xfrm>
          <a:off x="3867150" y="77371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229</xdr:row>
      <xdr:rowOff>0</xdr:rowOff>
    </xdr:from>
    <xdr:ext cx="184731" cy="264560"/>
    <xdr:sp macro="" textlink="">
      <xdr:nvSpPr>
        <xdr:cNvPr id="73" name="CaixaDeTexto 72"/>
        <xdr:cNvSpPr txBox="1"/>
      </xdr:nvSpPr>
      <xdr:spPr>
        <a:xfrm>
          <a:off x="3867150" y="390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229</xdr:row>
      <xdr:rowOff>0</xdr:rowOff>
    </xdr:from>
    <xdr:ext cx="184731" cy="264560"/>
    <xdr:sp macro="" textlink="">
      <xdr:nvSpPr>
        <xdr:cNvPr id="74" name="CaixaDeTexto 73"/>
        <xdr:cNvSpPr txBox="1"/>
      </xdr:nvSpPr>
      <xdr:spPr>
        <a:xfrm>
          <a:off x="3867150" y="390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252</xdr:row>
      <xdr:rowOff>0</xdr:rowOff>
    </xdr:from>
    <xdr:ext cx="184731" cy="264560"/>
    <xdr:sp macro="" textlink="">
      <xdr:nvSpPr>
        <xdr:cNvPr id="75" name="CaixaDeTexto 74"/>
        <xdr:cNvSpPr txBox="1"/>
      </xdr:nvSpPr>
      <xdr:spPr>
        <a:xfrm>
          <a:off x="3867150" y="42995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269</xdr:row>
      <xdr:rowOff>0</xdr:rowOff>
    </xdr:from>
    <xdr:ext cx="184731" cy="264560"/>
    <xdr:sp macro="" textlink="">
      <xdr:nvSpPr>
        <xdr:cNvPr id="76" name="CaixaDeTexto 75"/>
        <xdr:cNvSpPr txBox="1"/>
      </xdr:nvSpPr>
      <xdr:spPr>
        <a:xfrm>
          <a:off x="3867150" y="4577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269</xdr:row>
      <xdr:rowOff>0</xdr:rowOff>
    </xdr:from>
    <xdr:ext cx="184731" cy="264560"/>
    <xdr:sp macro="" textlink="">
      <xdr:nvSpPr>
        <xdr:cNvPr id="77" name="CaixaDeTexto 76"/>
        <xdr:cNvSpPr txBox="1"/>
      </xdr:nvSpPr>
      <xdr:spPr>
        <a:xfrm>
          <a:off x="3867150" y="4577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243</xdr:row>
      <xdr:rowOff>0</xdr:rowOff>
    </xdr:from>
    <xdr:ext cx="184731" cy="264560"/>
    <xdr:sp macro="" textlink="">
      <xdr:nvSpPr>
        <xdr:cNvPr id="78" name="CaixaDeTexto 77"/>
        <xdr:cNvSpPr txBox="1"/>
      </xdr:nvSpPr>
      <xdr:spPr>
        <a:xfrm>
          <a:off x="3867150" y="4153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269</xdr:row>
      <xdr:rowOff>0</xdr:rowOff>
    </xdr:from>
    <xdr:ext cx="184731" cy="264560"/>
    <xdr:sp macro="" textlink="">
      <xdr:nvSpPr>
        <xdr:cNvPr id="79" name="CaixaDeTexto 78"/>
        <xdr:cNvSpPr txBox="1"/>
      </xdr:nvSpPr>
      <xdr:spPr>
        <a:xfrm>
          <a:off x="3867150" y="4577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269</xdr:row>
      <xdr:rowOff>0</xdr:rowOff>
    </xdr:from>
    <xdr:ext cx="184731" cy="264560"/>
    <xdr:sp macro="" textlink="">
      <xdr:nvSpPr>
        <xdr:cNvPr id="80" name="CaixaDeTexto 79"/>
        <xdr:cNvSpPr txBox="1"/>
      </xdr:nvSpPr>
      <xdr:spPr>
        <a:xfrm>
          <a:off x="3867150" y="4577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300</xdr:row>
      <xdr:rowOff>0</xdr:rowOff>
    </xdr:from>
    <xdr:ext cx="184731" cy="264560"/>
    <xdr:sp macro="" textlink="">
      <xdr:nvSpPr>
        <xdr:cNvPr id="81" name="CaixaDeTexto 80"/>
        <xdr:cNvSpPr txBox="1"/>
      </xdr:nvSpPr>
      <xdr:spPr>
        <a:xfrm>
          <a:off x="3867150" y="511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358</xdr:row>
      <xdr:rowOff>0</xdr:rowOff>
    </xdr:from>
    <xdr:ext cx="184731" cy="264560"/>
    <xdr:sp macro="" textlink="">
      <xdr:nvSpPr>
        <xdr:cNvPr id="82" name="CaixaDeTexto 81"/>
        <xdr:cNvSpPr txBox="1"/>
      </xdr:nvSpPr>
      <xdr:spPr>
        <a:xfrm>
          <a:off x="3867150" y="5999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366</xdr:row>
      <xdr:rowOff>0</xdr:rowOff>
    </xdr:from>
    <xdr:ext cx="184731" cy="264560"/>
    <xdr:sp macro="" textlink="">
      <xdr:nvSpPr>
        <xdr:cNvPr id="83" name="CaixaDeTexto 82"/>
        <xdr:cNvSpPr txBox="1"/>
      </xdr:nvSpPr>
      <xdr:spPr>
        <a:xfrm>
          <a:off x="3867150" y="6129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373</xdr:row>
      <xdr:rowOff>0</xdr:rowOff>
    </xdr:from>
    <xdr:ext cx="184731" cy="264560"/>
    <xdr:sp macro="" textlink="">
      <xdr:nvSpPr>
        <xdr:cNvPr id="84" name="CaixaDeTexto 83"/>
        <xdr:cNvSpPr txBox="1"/>
      </xdr:nvSpPr>
      <xdr:spPr>
        <a:xfrm>
          <a:off x="3867150" y="6242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386</xdr:row>
      <xdr:rowOff>0</xdr:rowOff>
    </xdr:from>
    <xdr:ext cx="184731" cy="264560"/>
    <xdr:sp macro="" textlink="">
      <xdr:nvSpPr>
        <xdr:cNvPr id="85" name="CaixaDeTexto 84"/>
        <xdr:cNvSpPr txBox="1"/>
      </xdr:nvSpPr>
      <xdr:spPr>
        <a:xfrm>
          <a:off x="3867150" y="6453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386</xdr:row>
      <xdr:rowOff>0</xdr:rowOff>
    </xdr:from>
    <xdr:ext cx="184731" cy="264560"/>
    <xdr:sp macro="" textlink="">
      <xdr:nvSpPr>
        <xdr:cNvPr id="86" name="CaixaDeTexto 85"/>
        <xdr:cNvSpPr txBox="1"/>
      </xdr:nvSpPr>
      <xdr:spPr>
        <a:xfrm>
          <a:off x="3867150" y="6453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406</xdr:row>
      <xdr:rowOff>0</xdr:rowOff>
    </xdr:from>
    <xdr:ext cx="184731" cy="264560"/>
    <xdr:sp macro="" textlink="">
      <xdr:nvSpPr>
        <xdr:cNvPr id="87" name="CaixaDeTexto 86"/>
        <xdr:cNvSpPr txBox="1"/>
      </xdr:nvSpPr>
      <xdr:spPr>
        <a:xfrm>
          <a:off x="3867150" y="679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416</xdr:row>
      <xdr:rowOff>0</xdr:rowOff>
    </xdr:from>
    <xdr:ext cx="184731" cy="264560"/>
    <xdr:sp macro="" textlink="">
      <xdr:nvSpPr>
        <xdr:cNvPr id="88" name="CaixaDeTexto 87"/>
        <xdr:cNvSpPr txBox="1"/>
      </xdr:nvSpPr>
      <xdr:spPr>
        <a:xfrm>
          <a:off x="3867150" y="6977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300</xdr:row>
      <xdr:rowOff>0</xdr:rowOff>
    </xdr:from>
    <xdr:ext cx="184731" cy="264560"/>
    <xdr:sp macro="" textlink="">
      <xdr:nvSpPr>
        <xdr:cNvPr id="89" name="CaixaDeTexto 88"/>
        <xdr:cNvSpPr txBox="1"/>
      </xdr:nvSpPr>
      <xdr:spPr>
        <a:xfrm>
          <a:off x="3867150" y="511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304</xdr:row>
      <xdr:rowOff>0</xdr:rowOff>
    </xdr:from>
    <xdr:ext cx="184731" cy="264560"/>
    <xdr:sp macro="" textlink="">
      <xdr:nvSpPr>
        <xdr:cNvPr id="90" name="CaixaDeTexto 89"/>
        <xdr:cNvSpPr txBox="1"/>
      </xdr:nvSpPr>
      <xdr:spPr>
        <a:xfrm>
          <a:off x="3867150" y="5179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373</xdr:row>
      <xdr:rowOff>0</xdr:rowOff>
    </xdr:from>
    <xdr:ext cx="184731" cy="264560"/>
    <xdr:sp macro="" textlink="">
      <xdr:nvSpPr>
        <xdr:cNvPr id="91" name="CaixaDeTexto 90"/>
        <xdr:cNvSpPr txBox="1"/>
      </xdr:nvSpPr>
      <xdr:spPr>
        <a:xfrm>
          <a:off x="3867150" y="6242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396</xdr:row>
      <xdr:rowOff>0</xdr:rowOff>
    </xdr:from>
    <xdr:ext cx="184731" cy="264560"/>
    <xdr:sp macro="" textlink="">
      <xdr:nvSpPr>
        <xdr:cNvPr id="92" name="CaixaDeTexto 91"/>
        <xdr:cNvSpPr txBox="1"/>
      </xdr:nvSpPr>
      <xdr:spPr>
        <a:xfrm>
          <a:off x="3867150" y="66370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396</xdr:row>
      <xdr:rowOff>0</xdr:rowOff>
    </xdr:from>
    <xdr:ext cx="184731" cy="264560"/>
    <xdr:sp macro="" textlink="">
      <xdr:nvSpPr>
        <xdr:cNvPr id="93" name="CaixaDeTexto 92"/>
        <xdr:cNvSpPr txBox="1"/>
      </xdr:nvSpPr>
      <xdr:spPr>
        <a:xfrm>
          <a:off x="3867150" y="66370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305</xdr:row>
      <xdr:rowOff>0</xdr:rowOff>
    </xdr:from>
    <xdr:ext cx="184731" cy="264560"/>
    <xdr:sp macro="" textlink="">
      <xdr:nvSpPr>
        <xdr:cNvPr id="94" name="CaixaDeTexto 93"/>
        <xdr:cNvSpPr txBox="1"/>
      </xdr:nvSpPr>
      <xdr:spPr>
        <a:xfrm>
          <a:off x="3867150" y="5195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306</xdr:row>
      <xdr:rowOff>0</xdr:rowOff>
    </xdr:from>
    <xdr:ext cx="184731" cy="264560"/>
    <xdr:sp macro="" textlink="">
      <xdr:nvSpPr>
        <xdr:cNvPr id="95" name="CaixaDeTexto 94"/>
        <xdr:cNvSpPr txBox="1"/>
      </xdr:nvSpPr>
      <xdr:spPr>
        <a:xfrm>
          <a:off x="3867150" y="5212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315</xdr:row>
      <xdr:rowOff>0</xdr:rowOff>
    </xdr:from>
    <xdr:ext cx="184731" cy="264560"/>
    <xdr:sp macro="" textlink="">
      <xdr:nvSpPr>
        <xdr:cNvPr id="96" name="CaixaDeTexto 95"/>
        <xdr:cNvSpPr txBox="1"/>
      </xdr:nvSpPr>
      <xdr:spPr>
        <a:xfrm>
          <a:off x="3867150" y="5357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300</xdr:row>
      <xdr:rowOff>0</xdr:rowOff>
    </xdr:from>
    <xdr:ext cx="184731" cy="264560"/>
    <xdr:sp macro="" textlink="">
      <xdr:nvSpPr>
        <xdr:cNvPr id="97" name="CaixaDeTexto 96"/>
        <xdr:cNvSpPr txBox="1"/>
      </xdr:nvSpPr>
      <xdr:spPr>
        <a:xfrm>
          <a:off x="3867150" y="511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1628775</xdr:colOff>
      <xdr:row>135</xdr:row>
      <xdr:rowOff>0</xdr:rowOff>
    </xdr:from>
    <xdr:ext cx="184731" cy="264560"/>
    <xdr:sp macro="" textlink="">
      <xdr:nvSpPr>
        <xdr:cNvPr id="98" name="CaixaDeTexto 97"/>
        <xdr:cNvSpPr txBox="1"/>
      </xdr:nvSpPr>
      <xdr:spPr>
        <a:xfrm>
          <a:off x="5010150" y="2336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263</xdr:row>
      <xdr:rowOff>0</xdr:rowOff>
    </xdr:from>
    <xdr:ext cx="184731" cy="264560"/>
    <xdr:sp macro="" textlink="">
      <xdr:nvSpPr>
        <xdr:cNvPr id="99" name="CaixaDeTexto 98"/>
        <xdr:cNvSpPr txBox="1"/>
      </xdr:nvSpPr>
      <xdr:spPr>
        <a:xfrm>
          <a:off x="3867150" y="4480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434</xdr:row>
      <xdr:rowOff>0</xdr:rowOff>
    </xdr:from>
    <xdr:ext cx="184731" cy="264560"/>
    <xdr:sp macro="" textlink="">
      <xdr:nvSpPr>
        <xdr:cNvPr id="100" name="CaixaDeTexto 99"/>
        <xdr:cNvSpPr txBox="1"/>
      </xdr:nvSpPr>
      <xdr:spPr>
        <a:xfrm>
          <a:off x="3867150" y="7301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237</xdr:row>
      <xdr:rowOff>0</xdr:rowOff>
    </xdr:from>
    <xdr:ext cx="184731" cy="264560"/>
    <xdr:sp macro="" textlink="">
      <xdr:nvSpPr>
        <xdr:cNvPr id="101" name="CaixaDeTexto 100"/>
        <xdr:cNvSpPr txBox="1"/>
      </xdr:nvSpPr>
      <xdr:spPr>
        <a:xfrm>
          <a:off x="3867150" y="405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284</xdr:row>
      <xdr:rowOff>0</xdr:rowOff>
    </xdr:from>
    <xdr:ext cx="184731" cy="264560"/>
    <xdr:sp macro="" textlink="">
      <xdr:nvSpPr>
        <xdr:cNvPr id="102" name="CaixaDeTexto 101"/>
        <xdr:cNvSpPr txBox="1"/>
      </xdr:nvSpPr>
      <xdr:spPr>
        <a:xfrm>
          <a:off x="3867150" y="4839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442</xdr:row>
      <xdr:rowOff>0</xdr:rowOff>
    </xdr:from>
    <xdr:ext cx="184731" cy="264560"/>
    <xdr:sp macro="" textlink="">
      <xdr:nvSpPr>
        <xdr:cNvPr id="103" name="CaixaDeTexto 102"/>
        <xdr:cNvSpPr txBox="1"/>
      </xdr:nvSpPr>
      <xdr:spPr>
        <a:xfrm>
          <a:off x="3867150" y="78828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442</xdr:row>
      <xdr:rowOff>0</xdr:rowOff>
    </xdr:from>
    <xdr:ext cx="184731" cy="264560"/>
    <xdr:sp macro="" textlink="">
      <xdr:nvSpPr>
        <xdr:cNvPr id="104" name="CaixaDeTexto 103"/>
        <xdr:cNvSpPr txBox="1"/>
      </xdr:nvSpPr>
      <xdr:spPr>
        <a:xfrm>
          <a:off x="3867150" y="78828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442</xdr:row>
      <xdr:rowOff>0</xdr:rowOff>
    </xdr:from>
    <xdr:ext cx="184731" cy="264560"/>
    <xdr:sp macro="" textlink="">
      <xdr:nvSpPr>
        <xdr:cNvPr id="105" name="CaixaDeTexto 104"/>
        <xdr:cNvSpPr txBox="1"/>
      </xdr:nvSpPr>
      <xdr:spPr>
        <a:xfrm>
          <a:off x="3867150" y="78828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442</xdr:row>
      <xdr:rowOff>0</xdr:rowOff>
    </xdr:from>
    <xdr:ext cx="184731" cy="264560"/>
    <xdr:sp macro="" textlink="">
      <xdr:nvSpPr>
        <xdr:cNvPr id="106" name="CaixaDeTexto 105"/>
        <xdr:cNvSpPr txBox="1"/>
      </xdr:nvSpPr>
      <xdr:spPr>
        <a:xfrm>
          <a:off x="3867150" y="78828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94</xdr:row>
      <xdr:rowOff>0</xdr:rowOff>
    </xdr:from>
    <xdr:ext cx="184731" cy="264560"/>
    <xdr:sp macro="" textlink="">
      <xdr:nvSpPr>
        <xdr:cNvPr id="107" name="CaixaDeTexto 106"/>
        <xdr:cNvSpPr txBox="1"/>
      </xdr:nvSpPr>
      <xdr:spPr>
        <a:xfrm>
          <a:off x="3867150" y="1672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87</xdr:row>
      <xdr:rowOff>0</xdr:rowOff>
    </xdr:from>
    <xdr:ext cx="184731" cy="264560"/>
    <xdr:sp macro="" textlink="">
      <xdr:nvSpPr>
        <xdr:cNvPr id="108" name="CaixaDeTexto 107"/>
        <xdr:cNvSpPr txBox="1"/>
      </xdr:nvSpPr>
      <xdr:spPr>
        <a:xfrm>
          <a:off x="3867150" y="1543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105</xdr:row>
      <xdr:rowOff>0</xdr:rowOff>
    </xdr:from>
    <xdr:ext cx="184731" cy="264560"/>
    <xdr:sp macro="" textlink="">
      <xdr:nvSpPr>
        <xdr:cNvPr id="109" name="CaixaDeTexto 108"/>
        <xdr:cNvSpPr txBox="1"/>
      </xdr:nvSpPr>
      <xdr:spPr>
        <a:xfrm>
          <a:off x="3867150" y="1850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104</xdr:row>
      <xdr:rowOff>0</xdr:rowOff>
    </xdr:from>
    <xdr:ext cx="184731" cy="264560"/>
    <xdr:sp macro="" textlink="">
      <xdr:nvSpPr>
        <xdr:cNvPr id="110" name="CaixaDeTexto 109"/>
        <xdr:cNvSpPr txBox="1"/>
      </xdr:nvSpPr>
      <xdr:spPr>
        <a:xfrm>
          <a:off x="3867150" y="1834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97</xdr:row>
      <xdr:rowOff>0</xdr:rowOff>
    </xdr:from>
    <xdr:ext cx="184731" cy="264560"/>
    <xdr:sp macro="" textlink="">
      <xdr:nvSpPr>
        <xdr:cNvPr id="111" name="CaixaDeTexto 110"/>
        <xdr:cNvSpPr txBox="1"/>
      </xdr:nvSpPr>
      <xdr:spPr>
        <a:xfrm>
          <a:off x="3867150" y="1721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272</xdr:row>
      <xdr:rowOff>0</xdr:rowOff>
    </xdr:from>
    <xdr:ext cx="184731" cy="264560"/>
    <xdr:sp macro="" textlink="">
      <xdr:nvSpPr>
        <xdr:cNvPr id="112" name="CaixaDeTexto 111"/>
        <xdr:cNvSpPr txBox="1"/>
      </xdr:nvSpPr>
      <xdr:spPr>
        <a:xfrm>
          <a:off x="3867150" y="46262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272</xdr:row>
      <xdr:rowOff>0</xdr:rowOff>
    </xdr:from>
    <xdr:ext cx="184731" cy="264560"/>
    <xdr:sp macro="" textlink="">
      <xdr:nvSpPr>
        <xdr:cNvPr id="113" name="CaixaDeTexto 112"/>
        <xdr:cNvSpPr txBox="1"/>
      </xdr:nvSpPr>
      <xdr:spPr>
        <a:xfrm>
          <a:off x="3867150" y="46262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340</xdr:row>
      <xdr:rowOff>0</xdr:rowOff>
    </xdr:from>
    <xdr:ext cx="184731" cy="264560"/>
    <xdr:sp macro="" textlink="">
      <xdr:nvSpPr>
        <xdr:cNvPr id="114" name="CaixaDeTexto 113"/>
        <xdr:cNvSpPr txBox="1"/>
      </xdr:nvSpPr>
      <xdr:spPr>
        <a:xfrm>
          <a:off x="3867150" y="5802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353</xdr:row>
      <xdr:rowOff>0</xdr:rowOff>
    </xdr:from>
    <xdr:ext cx="184731" cy="264560"/>
    <xdr:sp macro="" textlink="">
      <xdr:nvSpPr>
        <xdr:cNvPr id="115" name="CaixaDeTexto 114"/>
        <xdr:cNvSpPr txBox="1"/>
      </xdr:nvSpPr>
      <xdr:spPr>
        <a:xfrm>
          <a:off x="3867150" y="6032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351</xdr:row>
      <xdr:rowOff>0</xdr:rowOff>
    </xdr:from>
    <xdr:ext cx="184731" cy="264560"/>
    <xdr:sp macro="" textlink="">
      <xdr:nvSpPr>
        <xdr:cNvPr id="116" name="CaixaDeTexto 115"/>
        <xdr:cNvSpPr txBox="1"/>
      </xdr:nvSpPr>
      <xdr:spPr>
        <a:xfrm>
          <a:off x="3867150" y="5999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495300</xdr:colOff>
      <xdr:row>0</xdr:row>
      <xdr:rowOff>114299</xdr:rowOff>
    </xdr:from>
    <xdr:to>
      <xdr:col>1</xdr:col>
      <xdr:colOff>3105150</xdr:colOff>
      <xdr:row>3</xdr:row>
      <xdr:rowOff>57149</xdr:rowOff>
    </xdr:to>
    <xdr:pic>
      <xdr:nvPicPr>
        <xdr:cNvPr id="2" name="Imagem 2" descr="LOGO PREF-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4450" y="114299"/>
          <a:ext cx="26098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207890</xdr:colOff>
      <xdr:row>2</xdr:row>
      <xdr:rowOff>76863</xdr:rowOff>
    </xdr:from>
    <xdr:to>
      <xdr:col>11</xdr:col>
      <xdr:colOff>901701</xdr:colOff>
      <xdr:row>6</xdr:row>
      <xdr:rowOff>91011</xdr:rowOff>
    </xdr:to>
    <xdr:pic>
      <xdr:nvPicPr>
        <xdr:cNvPr id="2" name="Imagem 1" descr="Brasão Várzea Grand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13615" y="419763"/>
          <a:ext cx="2249560" cy="7189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7"/>
  <sheetViews>
    <sheetView view="pageBreakPreview" zoomScale="70" zoomScaleNormal="80" zoomScaleSheetLayoutView="70" workbookViewId="0">
      <selection activeCell="D28" sqref="D28"/>
    </sheetView>
  </sheetViews>
  <sheetFormatPr defaultRowHeight="12.75"/>
  <cols>
    <col min="1" max="1" width="20" customWidth="1"/>
    <col min="2" max="2" width="77.42578125" customWidth="1"/>
    <col min="3" max="3" width="47.5703125" customWidth="1"/>
  </cols>
  <sheetData>
    <row r="1" spans="1:3" ht="18">
      <c r="A1" s="201" t="s">
        <v>509</v>
      </c>
      <c r="B1" s="202"/>
      <c r="C1" s="203"/>
    </row>
    <row r="2" spans="1:3" ht="18">
      <c r="A2" s="204" t="s">
        <v>510</v>
      </c>
      <c r="B2" s="205"/>
      <c r="C2" s="206"/>
    </row>
    <row r="3" spans="1:3" ht="18">
      <c r="A3" s="204" t="s">
        <v>511</v>
      </c>
      <c r="B3" s="205"/>
      <c r="C3" s="206"/>
    </row>
    <row r="4" spans="1:3" ht="16.5" customHeight="1">
      <c r="A4" s="207" t="s">
        <v>971</v>
      </c>
      <c r="B4" s="208"/>
      <c r="C4" s="209"/>
    </row>
    <row r="5" spans="1:3" ht="15" thickBot="1">
      <c r="A5" s="696" t="s">
        <v>868</v>
      </c>
      <c r="B5" s="697"/>
      <c r="C5" s="698"/>
    </row>
    <row r="6" spans="1:3" ht="15">
      <c r="A6" s="699" t="s">
        <v>867</v>
      </c>
      <c r="B6" s="700"/>
      <c r="C6" s="210" t="s">
        <v>512</v>
      </c>
    </row>
    <row r="7" spans="1:3" ht="18.75" thickBot="1">
      <c r="A7" s="701" t="s">
        <v>513</v>
      </c>
      <c r="B7" s="702"/>
      <c r="C7" s="211" t="s">
        <v>532</v>
      </c>
    </row>
    <row r="8" spans="1:3">
      <c r="A8" s="703" t="s">
        <v>5</v>
      </c>
      <c r="B8" s="703" t="s">
        <v>514</v>
      </c>
      <c r="C8" s="703" t="s">
        <v>1291</v>
      </c>
    </row>
    <row r="9" spans="1:3" ht="13.5" thickBot="1">
      <c r="A9" s="704"/>
      <c r="B9" s="704"/>
      <c r="C9" s="706"/>
    </row>
    <row r="10" spans="1:3" ht="18">
      <c r="A10" s="704"/>
      <c r="B10" s="705"/>
      <c r="C10" s="212" t="s">
        <v>515</v>
      </c>
    </row>
    <row r="11" spans="1:3" ht="18">
      <c r="A11" s="688" t="s">
        <v>516</v>
      </c>
      <c r="B11" s="689"/>
      <c r="C11" s="213"/>
    </row>
    <row r="12" spans="1:3" ht="18">
      <c r="A12" s="214" t="s">
        <v>517</v>
      </c>
      <c r="B12" s="215" t="s">
        <v>18</v>
      </c>
      <c r="C12" s="216">
        <f>'CABO MICHEL'!I8</f>
        <v>39757.387767579996</v>
      </c>
    </row>
    <row r="13" spans="1:3" ht="18">
      <c r="A13" s="214" t="s">
        <v>518</v>
      </c>
      <c r="B13" s="217" t="s">
        <v>21</v>
      </c>
      <c r="C13" s="216">
        <f>'CABO MICHEL'!I21</f>
        <v>67537.426819046566</v>
      </c>
    </row>
    <row r="14" spans="1:3" ht="18">
      <c r="A14" s="214" t="s">
        <v>519</v>
      </c>
      <c r="B14" s="218" t="s">
        <v>23</v>
      </c>
      <c r="C14" s="219">
        <f>'CABO MICHEL'!I32</f>
        <v>50017.246429963379</v>
      </c>
    </row>
    <row r="15" spans="1:3" ht="18">
      <c r="A15" s="214" t="s">
        <v>520</v>
      </c>
      <c r="B15" s="218" t="s">
        <v>420</v>
      </c>
      <c r="C15" s="219">
        <f>'CABO MICHEL'!I41</f>
        <v>51691.811277545596</v>
      </c>
    </row>
    <row r="16" spans="1:3" ht="18">
      <c r="A16" s="214" t="s">
        <v>305</v>
      </c>
      <c r="B16" s="218" t="s">
        <v>25</v>
      </c>
      <c r="C16" s="219">
        <f>'CABO MICHEL'!I50</f>
        <v>171.46098368</v>
      </c>
    </row>
    <row r="17" spans="1:3" ht="18">
      <c r="A17" s="214" t="s">
        <v>521</v>
      </c>
      <c r="B17" s="218" t="s">
        <v>26</v>
      </c>
      <c r="C17" s="219">
        <f>'CABO MICHEL'!I53</f>
        <v>214716.87445278847</v>
      </c>
    </row>
    <row r="18" spans="1:3" ht="18">
      <c r="A18" s="214" t="s">
        <v>522</v>
      </c>
      <c r="B18" s="218" t="s">
        <v>40</v>
      </c>
      <c r="C18" s="219">
        <f>'CABO MICHEL'!I77</f>
        <v>114165.56645033065</v>
      </c>
    </row>
    <row r="19" spans="1:3" ht="18">
      <c r="A19" s="214" t="s">
        <v>523</v>
      </c>
      <c r="B19" s="218" t="s">
        <v>45</v>
      </c>
      <c r="C19" s="219">
        <f>'CABO MICHEL'!I91</f>
        <v>72496.906104000009</v>
      </c>
    </row>
    <row r="20" spans="1:3" ht="18">
      <c r="A20" s="214" t="s">
        <v>524</v>
      </c>
      <c r="B20" s="218" t="s">
        <v>527</v>
      </c>
      <c r="C20" s="219">
        <f>'CABO MICHEL'!I131</f>
        <v>94810.94275133012</v>
      </c>
    </row>
    <row r="21" spans="1:3" ht="18">
      <c r="A21" s="214" t="s">
        <v>525</v>
      </c>
      <c r="B21" s="218" t="s">
        <v>89</v>
      </c>
      <c r="C21" s="219">
        <f>'CABO MICHEL'!I210</f>
        <v>15621.580806854399</v>
      </c>
    </row>
    <row r="22" spans="1:3" ht="18">
      <c r="A22" s="214" t="s">
        <v>526</v>
      </c>
      <c r="B22" s="218" t="s">
        <v>90</v>
      </c>
      <c r="C22" s="219">
        <f>'CABO MICHEL'!I217</f>
        <v>2390.9301561599996</v>
      </c>
    </row>
    <row r="23" spans="1:3" ht="23.25">
      <c r="A23" s="220"/>
      <c r="B23" s="221" t="s">
        <v>528</v>
      </c>
      <c r="C23" s="222">
        <f>SUM(C12:C22)</f>
        <v>723378.13399927923</v>
      </c>
    </row>
    <row r="24" spans="1:3" ht="15.75" thickBot="1">
      <c r="A24" s="223"/>
      <c r="B24" s="224"/>
      <c r="C24" s="225"/>
    </row>
    <row r="25" spans="1:3" ht="18">
      <c r="A25" s="226" t="s">
        <v>529</v>
      </c>
      <c r="B25" s="227"/>
      <c r="C25" s="228"/>
    </row>
    <row r="26" spans="1:3">
      <c r="A26" s="690" t="s">
        <v>1292</v>
      </c>
      <c r="B26" s="691"/>
      <c r="C26" s="692"/>
    </row>
    <row r="27" spans="1:3" ht="13.5" thickBot="1">
      <c r="A27" s="693"/>
      <c r="B27" s="694"/>
      <c r="C27" s="695"/>
    </row>
  </sheetData>
  <mergeCells count="8">
    <mergeCell ref="A11:B11"/>
    <mergeCell ref="A26:C27"/>
    <mergeCell ref="A5:C5"/>
    <mergeCell ref="A6:B6"/>
    <mergeCell ref="A7:B7"/>
    <mergeCell ref="A8:A10"/>
    <mergeCell ref="B8:B10"/>
    <mergeCell ref="C8:C9"/>
  </mergeCells>
  <pageMargins left="0.511811024" right="0.511811024" top="0.78740157499999996" bottom="0.78740157499999996" header="0.31496062000000002" footer="0.31496062000000002"/>
  <pageSetup paperSize="9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25"/>
  <sheetViews>
    <sheetView view="pageBreakPreview" zoomScale="80" zoomScaleNormal="85" zoomScaleSheetLayoutView="80" workbookViewId="0">
      <selection activeCell="D105" sqref="D105"/>
    </sheetView>
  </sheetViews>
  <sheetFormatPr defaultRowHeight="15"/>
  <cols>
    <col min="1" max="1" width="7.5703125" style="18" customWidth="1"/>
    <col min="2" max="2" width="10.85546875" style="18" customWidth="1"/>
    <col min="3" max="3" width="9.28515625" style="18" customWidth="1"/>
    <col min="4" max="4" width="62.5703125" style="19" customWidth="1"/>
    <col min="5" max="5" width="8" style="18" customWidth="1"/>
    <col min="6" max="6" width="13.7109375" style="233" customWidth="1"/>
    <col min="7" max="7" width="13.7109375" style="240" customWidth="1"/>
    <col min="8" max="8" width="17.5703125" style="240" customWidth="1"/>
    <col min="9" max="9" width="17.7109375" style="240" customWidth="1"/>
    <col min="10" max="16384" width="9.140625" style="1"/>
  </cols>
  <sheetData>
    <row r="1" spans="1:9" s="48" customFormat="1" ht="15.75">
      <c r="A1" s="386" t="s">
        <v>509</v>
      </c>
      <c r="B1" s="231"/>
      <c r="C1" s="231"/>
      <c r="D1" s="231"/>
      <c r="E1" s="231"/>
      <c r="F1" s="402"/>
      <c r="G1" s="403"/>
      <c r="H1" s="233"/>
      <c r="I1" s="234"/>
    </row>
    <row r="2" spans="1:9" s="48" customFormat="1" ht="15.75">
      <c r="A2" s="386" t="s">
        <v>510</v>
      </c>
      <c r="B2" s="231"/>
      <c r="C2" s="231"/>
      <c r="D2" s="231"/>
      <c r="E2" s="231"/>
      <c r="F2" s="402"/>
      <c r="G2" s="403"/>
      <c r="H2" s="233"/>
      <c r="I2" s="234"/>
    </row>
    <row r="3" spans="1:9" s="48" customFormat="1" ht="15.75">
      <c r="A3" s="387" t="s">
        <v>511</v>
      </c>
      <c r="B3" s="232"/>
      <c r="C3" s="232"/>
      <c r="D3" s="232"/>
      <c r="E3" s="231"/>
      <c r="F3" s="404" t="s">
        <v>964</v>
      </c>
      <c r="G3" s="434">
        <v>0.28239999999999998</v>
      </c>
      <c r="H3" s="233"/>
      <c r="I3" s="234"/>
    </row>
    <row r="4" spans="1:9" s="48" customFormat="1" ht="35.25" customHeight="1">
      <c r="A4" s="709" t="s">
        <v>966</v>
      </c>
      <c r="B4" s="709"/>
      <c r="C4" s="709"/>
      <c r="D4" s="709"/>
      <c r="E4" s="709"/>
      <c r="F4" s="405" t="s">
        <v>965</v>
      </c>
      <c r="G4" s="435">
        <v>43009</v>
      </c>
      <c r="H4" s="235"/>
      <c r="I4" s="235"/>
    </row>
    <row r="5" spans="1:9" s="48" customFormat="1" ht="17.25" customHeight="1">
      <c r="A5" s="709" t="s">
        <v>968</v>
      </c>
      <c r="B5" s="709"/>
      <c r="C5" s="709"/>
      <c r="D5" s="709"/>
      <c r="E5" s="710"/>
      <c r="F5" s="402"/>
      <c r="G5" s="406"/>
      <c r="H5" s="236"/>
      <c r="I5" s="236" t="s">
        <v>539</v>
      </c>
    </row>
    <row r="6" spans="1:9" ht="17.25" customHeight="1">
      <c r="A6" s="711" t="s">
        <v>967</v>
      </c>
      <c r="B6" s="711"/>
      <c r="C6" s="711"/>
      <c r="D6" s="711"/>
      <c r="E6" s="711"/>
      <c r="F6" s="237"/>
      <c r="G6" s="238"/>
      <c r="H6" s="238"/>
      <c r="I6" s="238"/>
    </row>
    <row r="7" spans="1:9" ht="35.25" customHeight="1">
      <c r="A7" s="409"/>
      <c r="B7" s="21" t="s">
        <v>2</v>
      </c>
      <c r="C7" s="21" t="s">
        <v>5</v>
      </c>
      <c r="D7" s="298" t="s">
        <v>36</v>
      </c>
      <c r="E7" s="21" t="s">
        <v>51</v>
      </c>
      <c r="F7" s="426" t="s">
        <v>54</v>
      </c>
      <c r="G7" s="427" t="s">
        <v>96</v>
      </c>
      <c r="H7" s="427" t="s">
        <v>117</v>
      </c>
      <c r="I7" s="427" t="s">
        <v>97</v>
      </c>
    </row>
    <row r="8" spans="1:9" ht="15.75">
      <c r="A8" s="707"/>
      <c r="B8" s="708"/>
      <c r="C8" s="407" t="s">
        <v>517</v>
      </c>
      <c r="D8" s="408" t="s">
        <v>18</v>
      </c>
      <c r="E8" s="410"/>
      <c r="F8" s="413"/>
      <c r="G8" s="425"/>
      <c r="H8" s="425"/>
      <c r="I8" s="415">
        <f>SUM(I9:I20)</f>
        <v>39757.387767579996</v>
      </c>
    </row>
    <row r="9" spans="1:9" s="305" customFormat="1" ht="25.5">
      <c r="A9" s="300" t="s">
        <v>0</v>
      </c>
      <c r="B9" s="307" t="s">
        <v>3</v>
      </c>
      <c r="C9" s="300" t="s">
        <v>6</v>
      </c>
      <c r="D9" s="301" t="s">
        <v>19</v>
      </c>
      <c r="E9" s="300" t="s">
        <v>28</v>
      </c>
      <c r="F9" s="600">
        <v>4.5</v>
      </c>
      <c r="G9" s="303">
        <v>422.9</v>
      </c>
      <c r="H9" s="318">
        <f>G9*1.2824</f>
        <v>542.32695999999999</v>
      </c>
      <c r="I9" s="601">
        <f t="shared" ref="I9:I15" si="0">H9*F9</f>
        <v>2440.4713200000001</v>
      </c>
    </row>
    <row r="10" spans="1:9" s="305" customFormat="1" ht="25.5">
      <c r="A10" s="300" t="s">
        <v>0</v>
      </c>
      <c r="B10" s="299" t="s">
        <v>4</v>
      </c>
      <c r="C10" s="300" t="s">
        <v>553</v>
      </c>
      <c r="D10" s="306" t="s">
        <v>342</v>
      </c>
      <c r="E10" s="300" t="s">
        <v>28</v>
      </c>
      <c r="F10" s="600">
        <f>'MEMORIAL DE CALCULO'!D9</f>
        <v>204.67</v>
      </c>
      <c r="G10" s="303">
        <v>49.05</v>
      </c>
      <c r="H10" s="318">
        <f t="shared" ref="H10:H76" si="1">G10*1.2824</f>
        <v>62.901719999999997</v>
      </c>
      <c r="I10" s="601">
        <f>H10*F10</f>
        <v>12874.095032399999</v>
      </c>
    </row>
    <row r="11" spans="1:9" s="305" customFormat="1" ht="25.5">
      <c r="A11" s="300" t="s">
        <v>0</v>
      </c>
      <c r="B11" s="311" t="s">
        <v>340</v>
      </c>
      <c r="C11" s="300" t="s">
        <v>7</v>
      </c>
      <c r="D11" s="306" t="s">
        <v>341</v>
      </c>
      <c r="E11" s="300" t="s">
        <v>28</v>
      </c>
      <c r="F11" s="600">
        <f>'MEMORIAL DE CALCULO'!D8</f>
        <v>1008.5</v>
      </c>
      <c r="G11" s="303">
        <v>0.51</v>
      </c>
      <c r="H11" s="318">
        <f t="shared" si="1"/>
        <v>0.65402400000000005</v>
      </c>
      <c r="I11" s="601">
        <f t="shared" si="0"/>
        <v>659.58320400000002</v>
      </c>
    </row>
    <row r="12" spans="1:9" s="305" customFormat="1" ht="38.25">
      <c r="A12" s="300" t="s">
        <v>1</v>
      </c>
      <c r="B12" s="309" t="s">
        <v>1255</v>
      </c>
      <c r="C12" s="300" t="s">
        <v>8</v>
      </c>
      <c r="D12" s="306" t="s">
        <v>98</v>
      </c>
      <c r="E12" s="300" t="s">
        <v>29</v>
      </c>
      <c r="F12" s="600" t="s">
        <v>33</v>
      </c>
      <c r="G12" s="602">
        <f>COMPOSIÇÃO!H14</f>
        <v>1731.28</v>
      </c>
      <c r="H12" s="318">
        <f t="shared" si="1"/>
        <v>2220.1934719999999</v>
      </c>
      <c r="I12" s="601">
        <f t="shared" si="0"/>
        <v>2220.1934719999999</v>
      </c>
    </row>
    <row r="13" spans="1:9" s="305" customFormat="1" ht="51">
      <c r="A13" s="300" t="s">
        <v>0</v>
      </c>
      <c r="B13" s="299">
        <v>73658</v>
      </c>
      <c r="C13" s="300" t="s">
        <v>9</v>
      </c>
      <c r="D13" s="306" t="s">
        <v>343</v>
      </c>
      <c r="E13" s="300" t="s">
        <v>29</v>
      </c>
      <c r="F13" s="600" t="s">
        <v>33</v>
      </c>
      <c r="G13" s="602">
        <v>483.82</v>
      </c>
      <c r="H13" s="318">
        <f t="shared" si="1"/>
        <v>620.45076800000004</v>
      </c>
      <c r="I13" s="601">
        <f t="shared" si="0"/>
        <v>620.45076800000004</v>
      </c>
    </row>
    <row r="14" spans="1:9" s="305" customFormat="1">
      <c r="A14" s="300" t="s">
        <v>1</v>
      </c>
      <c r="B14" s="309" t="s">
        <v>1256</v>
      </c>
      <c r="C14" s="300" t="s">
        <v>10</v>
      </c>
      <c r="D14" s="301" t="s">
        <v>20</v>
      </c>
      <c r="E14" s="300" t="s">
        <v>29</v>
      </c>
      <c r="F14" s="600" t="s">
        <v>33</v>
      </c>
      <c r="G14" s="602">
        <f>COMPOSIÇÃO!H30</f>
        <v>1309.972</v>
      </c>
      <c r="H14" s="318">
        <f t="shared" si="1"/>
        <v>1679.9080927999998</v>
      </c>
      <c r="I14" s="601">
        <f t="shared" si="0"/>
        <v>1679.9080927999998</v>
      </c>
    </row>
    <row r="15" spans="1:9" s="305" customFormat="1" ht="38.25">
      <c r="A15" s="300" t="s">
        <v>1</v>
      </c>
      <c r="B15" s="309" t="s">
        <v>1257</v>
      </c>
      <c r="C15" s="300" t="s">
        <v>11</v>
      </c>
      <c r="D15" s="301" t="s">
        <v>99</v>
      </c>
      <c r="E15" s="300" t="s">
        <v>28</v>
      </c>
      <c r="F15" s="600">
        <v>14</v>
      </c>
      <c r="G15" s="602">
        <f>COMPOSIÇÃO!H70</f>
        <v>162.72810000000001</v>
      </c>
      <c r="H15" s="318">
        <f t="shared" si="1"/>
        <v>208.68251544</v>
      </c>
      <c r="I15" s="601">
        <f t="shared" si="0"/>
        <v>2921.5552161599999</v>
      </c>
    </row>
    <row r="16" spans="1:9" s="305" customFormat="1">
      <c r="A16" s="307" t="s">
        <v>0</v>
      </c>
      <c r="B16" s="309" t="s">
        <v>544</v>
      </c>
      <c r="C16" s="300" t="s">
        <v>742</v>
      </c>
      <c r="D16" s="306" t="s">
        <v>543</v>
      </c>
      <c r="E16" s="307" t="s">
        <v>28</v>
      </c>
      <c r="F16" s="600">
        <f>'MEMORIAL DE CALCULO'!D14</f>
        <v>130.25</v>
      </c>
      <c r="G16" s="602">
        <v>22.89</v>
      </c>
      <c r="H16" s="318">
        <f t="shared" si="1"/>
        <v>29.354136</v>
      </c>
      <c r="I16" s="601">
        <f>F16*H16</f>
        <v>3823.3762139999999</v>
      </c>
    </row>
    <row r="17" spans="1:9" s="305" customFormat="1">
      <c r="A17" s="307" t="s">
        <v>0</v>
      </c>
      <c r="B17" s="309" t="s">
        <v>546</v>
      </c>
      <c r="C17" s="300" t="s">
        <v>12</v>
      </c>
      <c r="D17" s="306" t="s">
        <v>780</v>
      </c>
      <c r="E17" s="307" t="s">
        <v>28</v>
      </c>
      <c r="F17" s="600">
        <v>429.17</v>
      </c>
      <c r="G17" s="602">
        <v>9.15</v>
      </c>
      <c r="H17" s="318">
        <f t="shared" si="1"/>
        <v>11.73396</v>
      </c>
      <c r="I17" s="601">
        <f>F17*H17</f>
        <v>5035.8636132000001</v>
      </c>
    </row>
    <row r="18" spans="1:9" s="305" customFormat="1" ht="25.5">
      <c r="A18" s="307" t="s">
        <v>0</v>
      </c>
      <c r="B18" s="309" t="s">
        <v>778</v>
      </c>
      <c r="C18" s="300" t="s">
        <v>542</v>
      </c>
      <c r="D18" s="306" t="s">
        <v>779</v>
      </c>
      <c r="E18" s="307" t="s">
        <v>28</v>
      </c>
      <c r="F18" s="600">
        <v>429.17</v>
      </c>
      <c r="G18" s="602">
        <v>10.16</v>
      </c>
      <c r="H18" s="318">
        <f t="shared" si="1"/>
        <v>13.029184000000001</v>
      </c>
      <c r="I18" s="601">
        <f t="shared" ref="I18" si="2">F18*H18</f>
        <v>5591.734897280001</v>
      </c>
    </row>
    <row r="19" spans="1:9" s="305" customFormat="1" ht="42.75" customHeight="1">
      <c r="A19" s="307" t="s">
        <v>0</v>
      </c>
      <c r="B19" s="309" t="s">
        <v>743</v>
      </c>
      <c r="C19" s="300" t="s">
        <v>545</v>
      </c>
      <c r="D19" s="306" t="s">
        <v>744</v>
      </c>
      <c r="E19" s="307" t="s">
        <v>30</v>
      </c>
      <c r="F19" s="600">
        <f>'MEMORIAL DE CALCULO'!D17</f>
        <v>29.273499999999999</v>
      </c>
      <c r="G19" s="602">
        <v>19.45</v>
      </c>
      <c r="H19" s="318">
        <f t="shared" si="1"/>
        <v>24.942679999999999</v>
      </c>
      <c r="I19" s="601">
        <f>F19*H19</f>
        <v>730.15954297999997</v>
      </c>
    </row>
    <row r="20" spans="1:9" s="305" customFormat="1" ht="42.75" customHeight="1">
      <c r="A20" s="307" t="s">
        <v>0</v>
      </c>
      <c r="B20" s="309" t="s">
        <v>745</v>
      </c>
      <c r="C20" s="300" t="s">
        <v>1263</v>
      </c>
      <c r="D20" s="306" t="s">
        <v>746</v>
      </c>
      <c r="E20" s="307" t="s">
        <v>747</v>
      </c>
      <c r="F20" s="600">
        <f>'MEMORIAL DE CALCULO'!D18</f>
        <v>878.20499999999993</v>
      </c>
      <c r="G20" s="602">
        <v>1.03</v>
      </c>
      <c r="H20" s="318">
        <f t="shared" si="1"/>
        <v>1.320872</v>
      </c>
      <c r="I20" s="601">
        <f>F20*H20</f>
        <v>1159.9963947599999</v>
      </c>
    </row>
    <row r="21" spans="1:9" s="2" customFormat="1" ht="18.75" customHeight="1">
      <c r="A21" s="407"/>
      <c r="B21" s="407"/>
      <c r="C21" s="407" t="s">
        <v>518</v>
      </c>
      <c r="D21" s="416" t="s">
        <v>21</v>
      </c>
      <c r="E21" s="407"/>
      <c r="F21" s="417"/>
      <c r="G21" s="424"/>
      <c r="H21" s="418"/>
      <c r="I21" s="415">
        <f>SUM(I22:I31)</f>
        <v>67537.426819046566</v>
      </c>
    </row>
    <row r="22" spans="1:9" s="305" customFormat="1" ht="40.5" customHeight="1">
      <c r="A22" s="300" t="s">
        <v>1</v>
      </c>
      <c r="B22" s="309" t="s">
        <v>1258</v>
      </c>
      <c r="C22" s="307" t="s">
        <v>300</v>
      </c>
      <c r="D22" s="306" t="s">
        <v>22</v>
      </c>
      <c r="E22" s="300" t="s">
        <v>28</v>
      </c>
      <c r="F22" s="302" t="s">
        <v>100</v>
      </c>
      <c r="G22" s="602">
        <f>COMPOSIÇÃO!H79</f>
        <v>51.878699999999995</v>
      </c>
      <c r="H22" s="318">
        <f t="shared" si="1"/>
        <v>66.529244879999993</v>
      </c>
      <c r="I22" s="601">
        <f>H22*F22</f>
        <v>32299.948389239995</v>
      </c>
    </row>
    <row r="23" spans="1:9" s="305" customFormat="1" ht="40.5" customHeight="1">
      <c r="A23" s="300" t="s">
        <v>0</v>
      </c>
      <c r="B23" s="603" t="s">
        <v>547</v>
      </c>
      <c r="C23" s="307" t="s">
        <v>551</v>
      </c>
      <c r="D23" s="306" t="s">
        <v>740</v>
      </c>
      <c r="E23" s="300" t="s">
        <v>28</v>
      </c>
      <c r="F23" s="302">
        <v>429.17</v>
      </c>
      <c r="G23" s="602">
        <v>9.9700000000000006</v>
      </c>
      <c r="H23" s="318">
        <v>12.785528000000001</v>
      </c>
      <c r="I23" s="601">
        <v>5487.165051760001</v>
      </c>
    </row>
    <row r="24" spans="1:9" s="305" customFormat="1" ht="26.25" customHeight="1">
      <c r="A24" s="300" t="s">
        <v>1</v>
      </c>
      <c r="B24" s="309" t="s">
        <v>1259</v>
      </c>
      <c r="C24" s="307" t="s">
        <v>552</v>
      </c>
      <c r="D24" s="306" t="s">
        <v>404</v>
      </c>
      <c r="E24" s="300" t="s">
        <v>28</v>
      </c>
      <c r="F24" s="302">
        <f>F22-F23</f>
        <v>56.329999999999984</v>
      </c>
      <c r="G24" s="602">
        <f>COMPOSIÇÃO!H85</f>
        <v>36.159999999999997</v>
      </c>
      <c r="H24" s="318">
        <f t="shared" si="1"/>
        <v>46.371583999999999</v>
      </c>
      <c r="I24" s="601">
        <f>H24*F24</f>
        <v>2612.1113267199994</v>
      </c>
    </row>
    <row r="25" spans="1:9" s="305" customFormat="1" ht="38.25" customHeight="1">
      <c r="A25" s="300" t="s">
        <v>0</v>
      </c>
      <c r="B25" s="299">
        <v>94219</v>
      </c>
      <c r="C25" s="307" t="s">
        <v>13</v>
      </c>
      <c r="D25" s="306" t="s">
        <v>354</v>
      </c>
      <c r="E25" s="300" t="s">
        <v>31</v>
      </c>
      <c r="F25" s="302" t="s">
        <v>101</v>
      </c>
      <c r="G25" s="303">
        <v>30.12</v>
      </c>
      <c r="H25" s="318">
        <f t="shared" si="1"/>
        <v>38.625888000000003</v>
      </c>
      <c r="I25" s="601">
        <f>H25*F25</f>
        <v>1689.8826000000001</v>
      </c>
    </row>
    <row r="26" spans="1:9" s="305" customFormat="1" ht="27.75" customHeight="1">
      <c r="A26" s="300" t="s">
        <v>0</v>
      </c>
      <c r="B26" s="299">
        <v>94228</v>
      </c>
      <c r="C26" s="307" t="s">
        <v>665</v>
      </c>
      <c r="D26" s="306" t="s">
        <v>353</v>
      </c>
      <c r="E26" s="300" t="s">
        <v>31</v>
      </c>
      <c r="F26" s="302">
        <v>119.56</v>
      </c>
      <c r="G26" s="303">
        <v>62.71</v>
      </c>
      <c r="H26" s="318">
        <f t="shared" si="1"/>
        <v>80.419303999999997</v>
      </c>
      <c r="I26" s="601">
        <f>H26*F26</f>
        <v>9614.9319862400007</v>
      </c>
    </row>
    <row r="27" spans="1:9" s="305" customFormat="1" ht="28.5" customHeight="1">
      <c r="A27" s="300" t="s">
        <v>0</v>
      </c>
      <c r="B27" s="299">
        <v>94231</v>
      </c>
      <c r="C27" s="307" t="s">
        <v>754</v>
      </c>
      <c r="D27" s="308" t="s">
        <v>152</v>
      </c>
      <c r="E27" s="300" t="s">
        <v>31</v>
      </c>
      <c r="F27" s="302">
        <v>276.63</v>
      </c>
      <c r="G27" s="303">
        <v>34.22</v>
      </c>
      <c r="H27" s="318">
        <f t="shared" si="1"/>
        <v>43.883727999999998</v>
      </c>
      <c r="I27" s="601">
        <f>H27*F27</f>
        <v>12139.555676639999</v>
      </c>
    </row>
    <row r="28" spans="1:9" s="305" customFormat="1" ht="28.5" customHeight="1">
      <c r="A28" s="300" t="s">
        <v>0</v>
      </c>
      <c r="B28" s="299">
        <v>72110</v>
      </c>
      <c r="C28" s="307" t="s">
        <v>755</v>
      </c>
      <c r="D28" s="308" t="s">
        <v>750</v>
      </c>
      <c r="E28" s="300" t="s">
        <v>28</v>
      </c>
      <c r="F28" s="302">
        <v>21.34</v>
      </c>
      <c r="G28" s="303">
        <v>56.74</v>
      </c>
      <c r="H28" s="318">
        <f t="shared" si="1"/>
        <v>72.763376000000008</v>
      </c>
      <c r="I28" s="601">
        <f t="shared" ref="I28:I31" si="3">H28*F28</f>
        <v>1552.7704438400001</v>
      </c>
    </row>
    <row r="29" spans="1:9" s="305" customFormat="1" ht="28.5" customHeight="1">
      <c r="A29" s="307" t="s">
        <v>1</v>
      </c>
      <c r="B29" s="299">
        <v>6</v>
      </c>
      <c r="C29" s="307" t="s">
        <v>756</v>
      </c>
      <c r="D29" s="308" t="s">
        <v>751</v>
      </c>
      <c r="E29" s="300" t="s">
        <v>28</v>
      </c>
      <c r="F29" s="302">
        <v>18.739999999999998</v>
      </c>
      <c r="G29" s="303">
        <v>36.480666999999997</v>
      </c>
      <c r="H29" s="318">
        <f t="shared" si="1"/>
        <v>46.782807360799993</v>
      </c>
      <c r="I29" s="601">
        <f t="shared" si="3"/>
        <v>876.70980994139177</v>
      </c>
    </row>
    <row r="30" spans="1:9" s="305" customFormat="1" ht="28.5" customHeight="1">
      <c r="A30" s="307" t="s">
        <v>1</v>
      </c>
      <c r="B30" s="299">
        <v>7</v>
      </c>
      <c r="C30" s="307" t="s">
        <v>757</v>
      </c>
      <c r="D30" s="308" t="s">
        <v>752</v>
      </c>
      <c r="E30" s="300" t="s">
        <v>28</v>
      </c>
      <c r="F30" s="302">
        <v>6.68</v>
      </c>
      <c r="G30" s="303">
        <v>45.238386999999996</v>
      </c>
      <c r="H30" s="318">
        <f t="shared" si="1"/>
        <v>58.013707488799994</v>
      </c>
      <c r="I30" s="601">
        <f t="shared" si="3"/>
        <v>387.53156602518396</v>
      </c>
    </row>
    <row r="31" spans="1:9" s="305" customFormat="1" ht="28.5" customHeight="1">
      <c r="A31" s="300" t="s">
        <v>0</v>
      </c>
      <c r="B31" s="299">
        <v>96111</v>
      </c>
      <c r="C31" s="307" t="s">
        <v>1253</v>
      </c>
      <c r="D31" s="308" t="s">
        <v>753</v>
      </c>
      <c r="E31" s="300" t="s">
        <v>28</v>
      </c>
      <c r="F31" s="302">
        <v>21.34</v>
      </c>
      <c r="G31" s="303">
        <v>32.04</v>
      </c>
      <c r="H31" s="318">
        <f t="shared" si="1"/>
        <v>41.088096</v>
      </c>
      <c r="I31" s="601">
        <f t="shared" si="3"/>
        <v>876.81996863999996</v>
      </c>
    </row>
    <row r="32" spans="1:9" s="2" customFormat="1" ht="18.75" customHeight="1">
      <c r="A32" s="407"/>
      <c r="B32" s="407"/>
      <c r="C32" s="407" t="s">
        <v>519</v>
      </c>
      <c r="D32" s="416" t="s">
        <v>23</v>
      </c>
      <c r="E32" s="407"/>
      <c r="F32" s="417"/>
      <c r="G32" s="424"/>
      <c r="H32" s="418"/>
      <c r="I32" s="415">
        <f>SUM(I33:I40)</f>
        <v>50017.246429963379</v>
      </c>
    </row>
    <row r="33" spans="1:9" s="305" customFormat="1" ht="38.25">
      <c r="A33" s="300" t="s">
        <v>0</v>
      </c>
      <c r="B33" s="299">
        <v>1347</v>
      </c>
      <c r="C33" s="307" t="s">
        <v>14</v>
      </c>
      <c r="D33" s="308" t="s">
        <v>771</v>
      </c>
      <c r="E33" s="300" t="s">
        <v>28</v>
      </c>
      <c r="F33" s="302">
        <f>'MEMORIAL DE CALCULO'!D25</f>
        <v>65.956006849999994</v>
      </c>
      <c r="G33" s="303">
        <v>26.17</v>
      </c>
      <c r="H33" s="318">
        <f t="shared" si="1"/>
        <v>33.560408000000002</v>
      </c>
      <c r="I33" s="601">
        <f t="shared" ref="I33:I40" si="4">H33*F33</f>
        <v>2213.510499936795</v>
      </c>
    </row>
    <row r="34" spans="1:9" s="305" customFormat="1" ht="51">
      <c r="A34" s="300" t="s">
        <v>0</v>
      </c>
      <c r="B34" s="299">
        <v>92510</v>
      </c>
      <c r="C34" s="307" t="s">
        <v>15</v>
      </c>
      <c r="D34" s="308" t="s">
        <v>760</v>
      </c>
      <c r="E34" s="300" t="s">
        <v>28</v>
      </c>
      <c r="F34" s="302">
        <f>'MEMORIAL DE CALCULO'!D26</f>
        <v>143.42325</v>
      </c>
      <c r="G34" s="303">
        <v>32.75</v>
      </c>
      <c r="H34" s="318">
        <f>G34*1.2824</f>
        <v>41.998599999999996</v>
      </c>
      <c r="I34" s="601">
        <f>H34*F34</f>
        <v>6023.5757074499988</v>
      </c>
    </row>
    <row r="35" spans="1:9" s="305" customFormat="1" ht="38.25">
      <c r="A35" s="300" t="s">
        <v>0</v>
      </c>
      <c r="B35" s="299">
        <v>92916</v>
      </c>
      <c r="C35" s="307" t="s">
        <v>663</v>
      </c>
      <c r="D35" s="308" t="s">
        <v>355</v>
      </c>
      <c r="E35" s="300" t="s">
        <v>32</v>
      </c>
      <c r="F35" s="302">
        <f>'MEMORIAL DE CALCULO'!D27</f>
        <v>1209.6267900639996</v>
      </c>
      <c r="G35" s="303">
        <v>8.7100000000000009</v>
      </c>
      <c r="H35" s="318">
        <f t="shared" si="1"/>
        <v>11.169704000000001</v>
      </c>
      <c r="I35" s="601">
        <f t="shared" si="4"/>
        <v>13511.173195485018</v>
      </c>
    </row>
    <row r="36" spans="1:9" s="305" customFormat="1" ht="40.5" customHeight="1">
      <c r="A36" s="300" t="s">
        <v>0</v>
      </c>
      <c r="B36" s="311">
        <v>92775</v>
      </c>
      <c r="C36" s="307" t="s">
        <v>16</v>
      </c>
      <c r="D36" s="306" t="s">
        <v>356</v>
      </c>
      <c r="E36" s="300" t="s">
        <v>32</v>
      </c>
      <c r="F36" s="302">
        <f>'MEMORIAL DE CALCULO'!D28</f>
        <v>197.86628966079999</v>
      </c>
      <c r="G36" s="604">
        <v>11.17</v>
      </c>
      <c r="H36" s="318">
        <f t="shared" si="1"/>
        <v>14.324408</v>
      </c>
      <c r="I36" s="601">
        <f t="shared" si="4"/>
        <v>2834.3174625474808</v>
      </c>
    </row>
    <row r="37" spans="1:9" s="305" customFormat="1" ht="38.25">
      <c r="A37" s="300" t="s">
        <v>0</v>
      </c>
      <c r="B37" s="299">
        <v>34481</v>
      </c>
      <c r="C37" s="307" t="s">
        <v>17</v>
      </c>
      <c r="D37" s="306" t="s">
        <v>772</v>
      </c>
      <c r="E37" s="300" t="s">
        <v>30</v>
      </c>
      <c r="F37" s="302">
        <f>'MEMORIAL DE CALCULO'!D29</f>
        <v>4.5119999999999996</v>
      </c>
      <c r="G37" s="604">
        <v>403.54</v>
      </c>
      <c r="H37" s="318">
        <f t="shared" si="1"/>
        <v>517.49969599999997</v>
      </c>
      <c r="I37" s="601">
        <f t="shared" si="4"/>
        <v>2334.9586283519998</v>
      </c>
    </row>
    <row r="38" spans="1:9" s="305" customFormat="1" ht="51">
      <c r="A38" s="307" t="s">
        <v>0</v>
      </c>
      <c r="B38" s="299" t="s">
        <v>758</v>
      </c>
      <c r="C38" s="307" t="s">
        <v>769</v>
      </c>
      <c r="D38" s="306" t="s">
        <v>759</v>
      </c>
      <c r="E38" s="300" t="s">
        <v>30</v>
      </c>
      <c r="F38" s="302">
        <f>'MEMORIAL DE CALCULO'!D30</f>
        <v>13.905601027499999</v>
      </c>
      <c r="G38" s="604">
        <v>362.26</v>
      </c>
      <c r="H38" s="318">
        <f>G38*1.2824</f>
        <v>464.56222399999996</v>
      </c>
      <c r="I38" s="601">
        <f>H38*F38</f>
        <v>6460.0169393920842</v>
      </c>
    </row>
    <row r="39" spans="1:9" s="305" customFormat="1" ht="25.5">
      <c r="A39" s="300" t="s">
        <v>0</v>
      </c>
      <c r="B39" s="300">
        <v>93182</v>
      </c>
      <c r="C39" s="307" t="s">
        <v>770</v>
      </c>
      <c r="D39" s="308" t="s">
        <v>409</v>
      </c>
      <c r="E39" s="300" t="s">
        <v>31</v>
      </c>
      <c r="F39" s="302">
        <v>138.9</v>
      </c>
      <c r="G39" s="303">
        <v>19.13</v>
      </c>
      <c r="H39" s="318">
        <f t="shared" ref="H39" si="5">G39*1.2824</f>
        <v>24.532311999999997</v>
      </c>
      <c r="I39" s="601">
        <f t="shared" ref="I39" si="6">H39*F39</f>
        <v>3407.5381367999998</v>
      </c>
    </row>
    <row r="40" spans="1:9" s="305" customFormat="1" ht="38.25">
      <c r="A40" s="300" t="s">
        <v>0</v>
      </c>
      <c r="B40" s="307" t="s">
        <v>549</v>
      </c>
      <c r="C40" s="307" t="s">
        <v>1254</v>
      </c>
      <c r="D40" s="308" t="s">
        <v>550</v>
      </c>
      <c r="E40" s="307" t="s">
        <v>30</v>
      </c>
      <c r="F40" s="302">
        <f>'MEMORIAL DE CALCULO'!D31</f>
        <v>41.25</v>
      </c>
      <c r="G40" s="303">
        <v>250.14</v>
      </c>
      <c r="H40" s="318">
        <f t="shared" si="1"/>
        <v>320.77953599999995</v>
      </c>
      <c r="I40" s="601">
        <f t="shared" si="4"/>
        <v>13232.155859999997</v>
      </c>
    </row>
    <row r="41" spans="1:9" ht="21" customHeight="1">
      <c r="A41" s="410"/>
      <c r="B41" s="410"/>
      <c r="C41" s="407" t="s">
        <v>520</v>
      </c>
      <c r="D41" s="416" t="s">
        <v>420</v>
      </c>
      <c r="E41" s="410"/>
      <c r="F41" s="413"/>
      <c r="G41" s="420"/>
      <c r="H41" s="418"/>
      <c r="I41" s="415">
        <f>SUM(I42:I49)</f>
        <v>51691.811277545596</v>
      </c>
    </row>
    <row r="42" spans="1:9" s="305" customFormat="1" ht="63.75">
      <c r="A42" s="300" t="s">
        <v>0</v>
      </c>
      <c r="B42" s="299">
        <v>87504</v>
      </c>
      <c r="C42" s="307" t="s">
        <v>304</v>
      </c>
      <c r="D42" s="605" t="s">
        <v>411</v>
      </c>
      <c r="E42" s="300" t="s">
        <v>28</v>
      </c>
      <c r="F42" s="600">
        <f>'MEMORIAL DE CALCULO'!D33</f>
        <v>265.90049999999997</v>
      </c>
      <c r="G42" s="303">
        <v>56.9</v>
      </c>
      <c r="H42" s="318">
        <f t="shared" si="1"/>
        <v>72.968559999999997</v>
      </c>
      <c r="I42" s="601">
        <f>H42*F42</f>
        <v>19402.376588279996</v>
      </c>
    </row>
    <row r="43" spans="1:9" ht="19.5" customHeight="1">
      <c r="A43" s="20"/>
      <c r="B43" s="20"/>
      <c r="C43" s="20"/>
      <c r="D43" s="22" t="s">
        <v>24</v>
      </c>
      <c r="E43" s="20"/>
      <c r="F43" s="244"/>
      <c r="G43" s="244"/>
      <c r="H43" s="319"/>
      <c r="I43" s="239"/>
    </row>
    <row r="44" spans="1:9" s="305" customFormat="1">
      <c r="A44" s="307" t="s">
        <v>1</v>
      </c>
      <c r="B44" s="309" t="s">
        <v>1260</v>
      </c>
      <c r="C44" s="307" t="s">
        <v>1264</v>
      </c>
      <c r="D44" s="306" t="s">
        <v>664</v>
      </c>
      <c r="E44" s="307" t="s">
        <v>31</v>
      </c>
      <c r="F44" s="302">
        <f>'MEMORIAL DE CALCULO'!D35</f>
        <v>88.83</v>
      </c>
      <c r="G44" s="606">
        <f>COMPOSIÇÃO!H131</f>
        <v>132.81980000000001</v>
      </c>
      <c r="H44" s="318">
        <f t="shared" si="1"/>
        <v>170.32811152000002</v>
      </c>
      <c r="I44" s="607">
        <f t="shared" ref="I44:I49" si="7">H44*F44</f>
        <v>15130.246146321602</v>
      </c>
    </row>
    <row r="45" spans="1:9" s="305" customFormat="1" ht="38.25">
      <c r="A45" s="307" t="s">
        <v>0</v>
      </c>
      <c r="B45" s="309" t="s">
        <v>413</v>
      </c>
      <c r="C45" s="307" t="s">
        <v>787</v>
      </c>
      <c r="D45" s="306" t="s">
        <v>414</v>
      </c>
      <c r="E45" s="307" t="s">
        <v>31</v>
      </c>
      <c r="F45" s="302">
        <f>'MEMORIAL DE CALCULO'!D35</f>
        <v>88.83</v>
      </c>
      <c r="G45" s="606">
        <v>100.7</v>
      </c>
      <c r="H45" s="318">
        <f t="shared" si="1"/>
        <v>129.13767999999999</v>
      </c>
      <c r="I45" s="607">
        <f t="shared" si="7"/>
        <v>11471.300114399999</v>
      </c>
    </row>
    <row r="46" spans="1:9" s="305" customFormat="1">
      <c r="A46" s="307" t="s">
        <v>0</v>
      </c>
      <c r="B46" s="309" t="s">
        <v>416</v>
      </c>
      <c r="C46" s="307" t="s">
        <v>788</v>
      </c>
      <c r="D46" s="306" t="s">
        <v>415</v>
      </c>
      <c r="E46" s="307" t="s">
        <v>28</v>
      </c>
      <c r="F46" s="302">
        <v>2.4</v>
      </c>
      <c r="G46" s="606">
        <v>383.34</v>
      </c>
      <c r="H46" s="318">
        <f t="shared" si="1"/>
        <v>491.59521599999994</v>
      </c>
      <c r="I46" s="607">
        <f t="shared" si="7"/>
        <v>1179.8285183999999</v>
      </c>
    </row>
    <row r="47" spans="1:9" s="305" customFormat="1">
      <c r="A47" s="307" t="s">
        <v>0</v>
      </c>
      <c r="B47" s="309" t="s">
        <v>416</v>
      </c>
      <c r="C47" s="307" t="s">
        <v>789</v>
      </c>
      <c r="D47" s="306" t="s">
        <v>415</v>
      </c>
      <c r="E47" s="307" t="s">
        <v>28</v>
      </c>
      <c r="F47" s="302">
        <v>6</v>
      </c>
      <c r="G47" s="606">
        <v>383.34</v>
      </c>
      <c r="H47" s="318">
        <f t="shared" si="1"/>
        <v>491.59521599999994</v>
      </c>
      <c r="I47" s="607">
        <f t="shared" si="7"/>
        <v>2949.5712959999996</v>
      </c>
    </row>
    <row r="48" spans="1:9" s="305" customFormat="1" ht="38.25" customHeight="1">
      <c r="A48" s="307" t="s">
        <v>0</v>
      </c>
      <c r="B48" s="309" t="s">
        <v>417</v>
      </c>
      <c r="C48" s="307" t="s">
        <v>790</v>
      </c>
      <c r="D48" s="306" t="s">
        <v>418</v>
      </c>
      <c r="E48" s="307" t="s">
        <v>28</v>
      </c>
      <c r="F48" s="302">
        <f>'MEMORIAL DE CALCULO'!D36</f>
        <v>141.28</v>
      </c>
      <c r="G48" s="606">
        <v>5.05</v>
      </c>
      <c r="H48" s="318">
        <f t="shared" si="1"/>
        <v>6.4761199999999999</v>
      </c>
      <c r="I48" s="607">
        <f t="shared" si="7"/>
        <v>914.94623360000003</v>
      </c>
    </row>
    <row r="49" spans="1:9" s="305" customFormat="1">
      <c r="A49" s="307" t="s">
        <v>1</v>
      </c>
      <c r="B49" s="309" t="s">
        <v>1261</v>
      </c>
      <c r="C49" s="307" t="s">
        <v>791</v>
      </c>
      <c r="D49" s="306" t="s">
        <v>419</v>
      </c>
      <c r="E49" s="307" t="s">
        <v>28</v>
      </c>
      <c r="F49" s="302">
        <f>F48</f>
        <v>141.28</v>
      </c>
      <c r="G49" s="606">
        <f>COMPOSIÇÃO!H138</f>
        <v>3.5519999999999996</v>
      </c>
      <c r="H49" s="318">
        <f t="shared" si="1"/>
        <v>4.5550847999999995</v>
      </c>
      <c r="I49" s="607">
        <f t="shared" si="7"/>
        <v>643.54238054399991</v>
      </c>
    </row>
    <row r="50" spans="1:9" ht="19.5" customHeight="1">
      <c r="A50" s="410"/>
      <c r="B50" s="410"/>
      <c r="C50" s="411" t="s">
        <v>305</v>
      </c>
      <c r="D50" s="416" t="s">
        <v>25</v>
      </c>
      <c r="E50" s="410"/>
      <c r="F50" s="423"/>
      <c r="G50" s="423"/>
      <c r="H50" s="418"/>
      <c r="I50" s="415">
        <f>SUM(I51:I52)</f>
        <v>171.46098368</v>
      </c>
    </row>
    <row r="51" spans="1:9" s="305" customFormat="1" ht="25.5">
      <c r="A51" s="307" t="s">
        <v>0</v>
      </c>
      <c r="B51" s="309">
        <v>83737</v>
      </c>
      <c r="C51" s="307" t="s">
        <v>792</v>
      </c>
      <c r="D51" s="306" t="s">
        <v>775</v>
      </c>
      <c r="E51" s="307" t="s">
        <v>28</v>
      </c>
      <c r="F51" s="302" t="s">
        <v>776</v>
      </c>
      <c r="G51" s="606">
        <v>58.64</v>
      </c>
      <c r="H51" s="318">
        <v>75.199935999999994</v>
      </c>
      <c r="I51" s="304">
        <f>F51*H51</f>
        <v>120.31989759999999</v>
      </c>
    </row>
    <row r="52" spans="1:9" s="305" customFormat="1" ht="25.5">
      <c r="A52" s="307" t="s">
        <v>1</v>
      </c>
      <c r="B52" s="309">
        <v>10</v>
      </c>
      <c r="C52" s="307" t="s">
        <v>793</v>
      </c>
      <c r="D52" s="306" t="s">
        <v>777</v>
      </c>
      <c r="E52" s="307" t="s">
        <v>28</v>
      </c>
      <c r="F52" s="302" t="s">
        <v>776</v>
      </c>
      <c r="G52" s="606">
        <v>24.924499999999998</v>
      </c>
      <c r="H52" s="318">
        <v>31.963178799999998</v>
      </c>
      <c r="I52" s="304">
        <f>F52*H52</f>
        <v>51.141086080000001</v>
      </c>
    </row>
    <row r="53" spans="1:9" ht="18" customHeight="1">
      <c r="A53" s="410"/>
      <c r="B53" s="410"/>
      <c r="C53" s="407" t="s">
        <v>521</v>
      </c>
      <c r="D53" s="416" t="s">
        <v>26</v>
      </c>
      <c r="E53" s="410"/>
      <c r="F53" s="413"/>
      <c r="G53" s="420"/>
      <c r="H53" s="418"/>
      <c r="I53" s="415">
        <f>SUM(I55:I76)</f>
        <v>214716.87445278847</v>
      </c>
    </row>
    <row r="54" spans="1:9">
      <c r="A54" s="410"/>
      <c r="B54" s="410"/>
      <c r="C54" s="410"/>
      <c r="D54" s="416" t="s">
        <v>27</v>
      </c>
      <c r="E54" s="410"/>
      <c r="F54" s="413"/>
      <c r="G54" s="420"/>
      <c r="H54" s="418"/>
      <c r="I54" s="422"/>
    </row>
    <row r="55" spans="1:9" s="305" customFormat="1" ht="34.5" customHeight="1">
      <c r="A55" s="300" t="s">
        <v>0</v>
      </c>
      <c r="B55" s="299">
        <v>94993</v>
      </c>
      <c r="C55" s="307" t="s">
        <v>773</v>
      </c>
      <c r="D55" s="306" t="s">
        <v>660</v>
      </c>
      <c r="E55" s="300" t="s">
        <v>28</v>
      </c>
      <c r="F55" s="302">
        <f>'MEMORIAL DE CALCULO'!D38</f>
        <v>418.26150000000013</v>
      </c>
      <c r="G55" s="604">
        <v>50.81</v>
      </c>
      <c r="H55" s="318">
        <f t="shared" si="1"/>
        <v>65.158743999999999</v>
      </c>
      <c r="I55" s="304">
        <f t="shared" ref="I55:I61" si="8">H55*F55</f>
        <v>27253.394003556008</v>
      </c>
    </row>
    <row r="56" spans="1:9" s="305" customFormat="1" ht="38.25">
      <c r="A56" s="300" t="s">
        <v>0</v>
      </c>
      <c r="B56" s="299">
        <v>94993</v>
      </c>
      <c r="C56" s="307" t="s">
        <v>774</v>
      </c>
      <c r="D56" s="608" t="s">
        <v>659</v>
      </c>
      <c r="E56" s="300" t="s">
        <v>28</v>
      </c>
      <c r="F56" s="302">
        <f>'MEMORIAL DE CALCULO'!D39</f>
        <v>259.74</v>
      </c>
      <c r="G56" s="604">
        <v>50.81</v>
      </c>
      <c r="H56" s="318">
        <f t="shared" si="1"/>
        <v>65.158743999999999</v>
      </c>
      <c r="I56" s="304">
        <f t="shared" si="8"/>
        <v>16924.332166560001</v>
      </c>
    </row>
    <row r="57" spans="1:9" s="305" customFormat="1" ht="38.25">
      <c r="A57" s="300" t="s">
        <v>0</v>
      </c>
      <c r="B57" s="299">
        <v>4720</v>
      </c>
      <c r="C57" s="307" t="s">
        <v>794</v>
      </c>
      <c r="D57" s="308" t="s">
        <v>360</v>
      </c>
      <c r="E57" s="300" t="s">
        <v>30</v>
      </c>
      <c r="F57" s="302" t="s">
        <v>102</v>
      </c>
      <c r="G57" s="310">
        <v>63.46</v>
      </c>
      <c r="H57" s="318">
        <f t="shared" si="1"/>
        <v>81.381103999999993</v>
      </c>
      <c r="I57" s="304">
        <f t="shared" si="8"/>
        <v>1707.3755619199999</v>
      </c>
    </row>
    <row r="58" spans="1:9" s="305" customFormat="1" ht="27" customHeight="1">
      <c r="A58" s="300" t="s">
        <v>0</v>
      </c>
      <c r="B58" s="299">
        <v>94263</v>
      </c>
      <c r="C58" s="307" t="s">
        <v>795</v>
      </c>
      <c r="D58" s="306" t="s">
        <v>361</v>
      </c>
      <c r="E58" s="300" t="s">
        <v>31</v>
      </c>
      <c r="F58" s="302">
        <f>'MEMORIAL DE CALCULO'!D42</f>
        <v>75.819999999999993</v>
      </c>
      <c r="G58" s="604">
        <v>21.79</v>
      </c>
      <c r="H58" s="318">
        <f t="shared" si="1"/>
        <v>27.943496</v>
      </c>
      <c r="I58" s="304">
        <f t="shared" si="8"/>
        <v>2118.6758667199997</v>
      </c>
    </row>
    <row r="59" spans="1:9" s="305" customFormat="1" ht="28.5" customHeight="1">
      <c r="A59" s="300" t="s">
        <v>0</v>
      </c>
      <c r="B59" s="299">
        <v>94289</v>
      </c>
      <c r="C59" s="307" t="s">
        <v>796</v>
      </c>
      <c r="D59" s="306" t="s">
        <v>362</v>
      </c>
      <c r="E59" s="300" t="s">
        <v>28</v>
      </c>
      <c r="F59" s="302">
        <f>'MEMORIAL DE CALCULO'!D43</f>
        <v>34.119</v>
      </c>
      <c r="G59" s="604">
        <v>33.44</v>
      </c>
      <c r="H59" s="318">
        <f t="shared" si="1"/>
        <v>42.883455999999995</v>
      </c>
      <c r="I59" s="304">
        <f t="shared" si="8"/>
        <v>1463.1406352639999</v>
      </c>
    </row>
    <row r="60" spans="1:9" s="305" customFormat="1" ht="25.5">
      <c r="A60" s="299" t="s">
        <v>0</v>
      </c>
      <c r="B60" s="299">
        <v>84191</v>
      </c>
      <c r="C60" s="307" t="s">
        <v>797</v>
      </c>
      <c r="D60" s="308" t="s">
        <v>363</v>
      </c>
      <c r="E60" s="307" t="s">
        <v>28</v>
      </c>
      <c r="F60" s="302">
        <f>'MEMORIAL DE CALCULO'!D38</f>
        <v>418.26150000000013</v>
      </c>
      <c r="G60" s="604">
        <v>107.3</v>
      </c>
      <c r="H60" s="318">
        <f t="shared" si="1"/>
        <v>137.60151999999999</v>
      </c>
      <c r="I60" s="304">
        <f t="shared" si="8"/>
        <v>57553.418157480017</v>
      </c>
    </row>
    <row r="61" spans="1:9" s="305" customFormat="1">
      <c r="A61" s="299" t="s">
        <v>0</v>
      </c>
      <c r="B61" s="299">
        <v>73850</v>
      </c>
      <c r="C61" s="307" t="s">
        <v>798</v>
      </c>
      <c r="D61" s="308" t="s">
        <v>410</v>
      </c>
      <c r="E61" s="300" t="s">
        <v>31</v>
      </c>
      <c r="F61" s="302">
        <v>342.44</v>
      </c>
      <c r="G61" s="604">
        <v>22.88</v>
      </c>
      <c r="H61" s="318">
        <f t="shared" si="1"/>
        <v>29.341311999999999</v>
      </c>
      <c r="I61" s="304">
        <f t="shared" si="8"/>
        <v>10047.63888128</v>
      </c>
    </row>
    <row r="62" spans="1:9" ht="19.5" customHeight="1">
      <c r="A62" s="410"/>
      <c r="B62" s="410"/>
      <c r="C62" s="410"/>
      <c r="D62" s="416" t="s">
        <v>37</v>
      </c>
      <c r="E62" s="410"/>
      <c r="F62" s="413"/>
      <c r="G62" s="420"/>
      <c r="H62" s="418"/>
      <c r="I62" s="415"/>
    </row>
    <row r="63" spans="1:9" s="305" customFormat="1" ht="38.25">
      <c r="A63" s="307" t="s">
        <v>0</v>
      </c>
      <c r="B63" s="311">
        <v>87879</v>
      </c>
      <c r="C63" s="307" t="s">
        <v>799</v>
      </c>
      <c r="D63" s="306" t="s">
        <v>661</v>
      </c>
      <c r="E63" s="307" t="s">
        <v>28</v>
      </c>
      <c r="F63" s="302">
        <f>'MEMORIAL DE CALCULO'!D45</f>
        <v>841.55499999999995</v>
      </c>
      <c r="G63" s="604">
        <v>2.82</v>
      </c>
      <c r="H63" s="318">
        <f t="shared" si="1"/>
        <v>3.6163679999999996</v>
      </c>
      <c r="I63" s="304">
        <f t="shared" ref="I63:I70" si="9">H63*F63</f>
        <v>3043.3725722399995</v>
      </c>
    </row>
    <row r="64" spans="1:9" s="305" customFormat="1" ht="63.75">
      <c r="A64" s="307" t="s">
        <v>0</v>
      </c>
      <c r="B64" s="311">
        <v>87535</v>
      </c>
      <c r="C64" s="307" t="s">
        <v>800</v>
      </c>
      <c r="D64" s="306" t="s">
        <v>970</v>
      </c>
      <c r="E64" s="307" t="s">
        <v>28</v>
      </c>
      <c r="F64" s="302">
        <f>'MEMORIAL DE CALCULO'!D46</f>
        <v>841.55499999999995</v>
      </c>
      <c r="G64" s="604">
        <v>21.18</v>
      </c>
      <c r="H64" s="318">
        <f t="shared" si="1"/>
        <v>27.161231999999998</v>
      </c>
      <c r="I64" s="609">
        <f t="shared" si="9"/>
        <v>22857.670595759999</v>
      </c>
    </row>
    <row r="65" spans="1:9" s="305" customFormat="1" ht="25.5">
      <c r="A65" s="300" t="s">
        <v>1</v>
      </c>
      <c r="B65" s="299">
        <v>11</v>
      </c>
      <c r="C65" s="307" t="s">
        <v>801</v>
      </c>
      <c r="D65" s="306" t="s">
        <v>430</v>
      </c>
      <c r="E65" s="300" t="s">
        <v>28</v>
      </c>
      <c r="F65" s="302">
        <f>'MEMORIAL DE CALCULO'!D47</f>
        <v>187.36999999999995</v>
      </c>
      <c r="G65" s="604">
        <f>COMPOSIÇÃO!H156</f>
        <v>45.668499999999995</v>
      </c>
      <c r="H65" s="318">
        <f t="shared" si="1"/>
        <v>58.565284399999989</v>
      </c>
      <c r="I65" s="304">
        <f t="shared" si="9"/>
        <v>10973.377338027994</v>
      </c>
    </row>
    <row r="66" spans="1:9" s="305" customFormat="1" ht="25.5">
      <c r="A66" s="300" t="s">
        <v>1</v>
      </c>
      <c r="B66" s="299">
        <v>12</v>
      </c>
      <c r="C66" s="307" t="s">
        <v>802</v>
      </c>
      <c r="D66" s="306" t="s">
        <v>103</v>
      </c>
      <c r="E66" s="300" t="s">
        <v>28</v>
      </c>
      <c r="F66" s="302">
        <f>'MEMORIAL DE CALCULO'!D48</f>
        <v>963.06200000000001</v>
      </c>
      <c r="G66" s="604">
        <f>COMPOSIÇÃO!H164</f>
        <v>9.3309999999999995</v>
      </c>
      <c r="H66" s="318">
        <f t="shared" si="1"/>
        <v>11.9660744</v>
      </c>
      <c r="I66" s="304">
        <f t="shared" si="9"/>
        <v>11524.071543812801</v>
      </c>
    </row>
    <row r="67" spans="1:9" s="305" customFormat="1" ht="25.5">
      <c r="A67" s="300" t="s">
        <v>0</v>
      </c>
      <c r="B67" s="300">
        <v>88489</v>
      </c>
      <c r="C67" s="307" t="s">
        <v>803</v>
      </c>
      <c r="D67" s="306" t="s">
        <v>364</v>
      </c>
      <c r="E67" s="300" t="s">
        <v>28</v>
      </c>
      <c r="F67" s="302">
        <f>F66</f>
        <v>963.06200000000001</v>
      </c>
      <c r="G67" s="310">
        <v>9.86</v>
      </c>
      <c r="H67" s="318">
        <f t="shared" si="1"/>
        <v>12.644463999999999</v>
      </c>
      <c r="I67" s="304">
        <f t="shared" si="9"/>
        <v>12177.402788767999</v>
      </c>
    </row>
    <row r="68" spans="1:9" s="305" customFormat="1" ht="38.25">
      <c r="A68" s="300" t="s">
        <v>0</v>
      </c>
      <c r="B68" s="299">
        <v>84088</v>
      </c>
      <c r="C68" s="307" t="s">
        <v>804</v>
      </c>
      <c r="D68" s="308" t="s">
        <v>153</v>
      </c>
      <c r="E68" s="300" t="s">
        <v>31</v>
      </c>
      <c r="F68" s="302">
        <v>52.5</v>
      </c>
      <c r="G68" s="604">
        <v>64.959999999999994</v>
      </c>
      <c r="H68" s="318">
        <f t="shared" si="1"/>
        <v>83.304703999999987</v>
      </c>
      <c r="I68" s="304">
        <f t="shared" si="9"/>
        <v>4373.4969599999995</v>
      </c>
    </row>
    <row r="69" spans="1:9" s="305" customFormat="1" ht="26.25" customHeight="1">
      <c r="A69" s="300" t="s">
        <v>0</v>
      </c>
      <c r="B69" s="299">
        <v>88423</v>
      </c>
      <c r="C69" s="307" t="s">
        <v>805</v>
      </c>
      <c r="D69" s="306" t="s">
        <v>365</v>
      </c>
      <c r="E69" s="300" t="s">
        <v>28</v>
      </c>
      <c r="F69" s="302">
        <f>'MEMORIAL DE CALCULO'!D49</f>
        <v>608.54999999999995</v>
      </c>
      <c r="G69" s="604">
        <v>13.56</v>
      </c>
      <c r="H69" s="318">
        <f t="shared" si="1"/>
        <v>17.389344000000001</v>
      </c>
      <c r="I69" s="304">
        <f t="shared" si="9"/>
        <v>10582.2852912</v>
      </c>
    </row>
    <row r="70" spans="1:9" s="305" customFormat="1">
      <c r="A70" s="307" t="s">
        <v>0</v>
      </c>
      <c r="B70" s="299">
        <v>79460</v>
      </c>
      <c r="C70" s="307" t="s">
        <v>806</v>
      </c>
      <c r="D70" s="308" t="s">
        <v>431</v>
      </c>
      <c r="E70" s="307" t="s">
        <v>28</v>
      </c>
      <c r="F70" s="302">
        <f>'MEMORIAL DE CALCULO'!D50</f>
        <v>161.98999999999998</v>
      </c>
      <c r="G70" s="604">
        <v>35.03</v>
      </c>
      <c r="H70" s="318">
        <f t="shared" si="1"/>
        <v>44.922471999999999</v>
      </c>
      <c r="I70" s="304">
        <f t="shared" si="9"/>
        <v>7276.9912392799988</v>
      </c>
    </row>
    <row r="71" spans="1:9" ht="15.75">
      <c r="A71" s="410"/>
      <c r="B71" s="410"/>
      <c r="C71" s="410"/>
      <c r="D71" s="416" t="s">
        <v>38</v>
      </c>
      <c r="E71" s="410"/>
      <c r="F71" s="413"/>
      <c r="G71" s="420"/>
      <c r="H71" s="418"/>
      <c r="I71" s="415"/>
    </row>
    <row r="72" spans="1:9" s="305" customFormat="1" ht="38.25">
      <c r="A72" s="300" t="s">
        <v>0</v>
      </c>
      <c r="B72" s="299">
        <v>87885</v>
      </c>
      <c r="C72" s="307" t="s">
        <v>807</v>
      </c>
      <c r="D72" s="306" t="s">
        <v>366</v>
      </c>
      <c r="E72" s="300" t="s">
        <v>28</v>
      </c>
      <c r="F72" s="302">
        <f>'MEMORIAL DE CALCULO'!D52</f>
        <v>71.67</v>
      </c>
      <c r="G72" s="604">
        <v>8.75</v>
      </c>
      <c r="H72" s="318">
        <f t="shared" si="1"/>
        <v>11.221</v>
      </c>
      <c r="I72" s="304">
        <f t="shared" ref="I72:I76" si="10">H72*F72</f>
        <v>804.20907</v>
      </c>
    </row>
    <row r="73" spans="1:9" s="305" customFormat="1" ht="63.75">
      <c r="A73" s="300" t="s">
        <v>0</v>
      </c>
      <c r="B73" s="299">
        <v>87527</v>
      </c>
      <c r="C73" s="307" t="s">
        <v>808</v>
      </c>
      <c r="D73" s="306" t="s">
        <v>970</v>
      </c>
      <c r="E73" s="300" t="s">
        <v>28</v>
      </c>
      <c r="F73" s="302">
        <f>F72</f>
        <v>71.67</v>
      </c>
      <c r="G73" s="604">
        <v>21.18</v>
      </c>
      <c r="H73" s="318">
        <f t="shared" si="1"/>
        <v>27.161231999999998</v>
      </c>
      <c r="I73" s="609">
        <f t="shared" si="10"/>
        <v>1946.6454974399999</v>
      </c>
    </row>
    <row r="74" spans="1:9" s="305" customFormat="1" ht="25.5">
      <c r="A74" s="300" t="s">
        <v>1</v>
      </c>
      <c r="B74" s="300">
        <v>12</v>
      </c>
      <c r="C74" s="307" t="s">
        <v>809</v>
      </c>
      <c r="D74" s="306" t="s">
        <v>39</v>
      </c>
      <c r="E74" s="300" t="s">
        <v>28</v>
      </c>
      <c r="F74" s="302">
        <f>'MEMORIAL DE CALCULO'!D54</f>
        <v>418.26150000000013</v>
      </c>
      <c r="G74" s="310">
        <f>COMPOSIÇÃO!H164</f>
        <v>9.3309999999999995</v>
      </c>
      <c r="H74" s="318">
        <f t="shared" si="1"/>
        <v>11.9660744</v>
      </c>
      <c r="I74" s="304">
        <f t="shared" si="10"/>
        <v>5004.9482276556018</v>
      </c>
    </row>
    <row r="75" spans="1:9" s="305" customFormat="1" ht="25.5">
      <c r="A75" s="300" t="s">
        <v>0</v>
      </c>
      <c r="B75" s="299">
        <v>88488</v>
      </c>
      <c r="C75" s="307" t="s">
        <v>810</v>
      </c>
      <c r="D75" s="308" t="s">
        <v>367</v>
      </c>
      <c r="E75" s="300" t="s">
        <v>28</v>
      </c>
      <c r="F75" s="302">
        <f>F74</f>
        <v>418.26150000000013</v>
      </c>
      <c r="G75" s="604">
        <v>11.24</v>
      </c>
      <c r="H75" s="318">
        <f t="shared" si="1"/>
        <v>14.414175999999999</v>
      </c>
      <c r="I75" s="304">
        <f t="shared" si="10"/>
        <v>6028.8948750240015</v>
      </c>
    </row>
    <row r="76" spans="1:9" s="305" customFormat="1" ht="26.25" customHeight="1">
      <c r="A76" s="300" t="s">
        <v>0</v>
      </c>
      <c r="B76" s="299">
        <v>88423</v>
      </c>
      <c r="C76" s="307" t="s">
        <v>811</v>
      </c>
      <c r="D76" s="308" t="s">
        <v>368</v>
      </c>
      <c r="E76" s="300" t="s">
        <v>28</v>
      </c>
      <c r="F76" s="302">
        <f>'MEMORIAL DE CALCULO'!D56</f>
        <v>60.7</v>
      </c>
      <c r="G76" s="604">
        <v>13.56</v>
      </c>
      <c r="H76" s="318">
        <f t="shared" si="1"/>
        <v>17.389344000000001</v>
      </c>
      <c r="I76" s="304">
        <f t="shared" si="10"/>
        <v>1055.5331808000001</v>
      </c>
    </row>
    <row r="77" spans="1:9" ht="17.25" customHeight="1">
      <c r="A77" s="410"/>
      <c r="B77" s="410"/>
      <c r="C77" s="407" t="s">
        <v>522</v>
      </c>
      <c r="D77" s="416" t="s">
        <v>40</v>
      </c>
      <c r="E77" s="410"/>
      <c r="F77" s="413"/>
      <c r="G77" s="420"/>
      <c r="H77" s="418"/>
      <c r="I77" s="415">
        <f>SUM(I79:I90)</f>
        <v>114165.56645033065</v>
      </c>
    </row>
    <row r="78" spans="1:9" ht="15.75" customHeight="1">
      <c r="A78" s="410"/>
      <c r="B78" s="410"/>
      <c r="C78" s="410"/>
      <c r="D78" s="416" t="s">
        <v>41</v>
      </c>
      <c r="E78" s="410"/>
      <c r="F78" s="413"/>
      <c r="G78" s="420"/>
      <c r="H78" s="418"/>
      <c r="I78" s="422"/>
    </row>
    <row r="79" spans="1:9" s="305" customFormat="1" ht="51.75" customHeight="1">
      <c r="A79" s="300" t="s">
        <v>0</v>
      </c>
      <c r="B79" s="299">
        <v>90822</v>
      </c>
      <c r="C79" s="307" t="s">
        <v>812</v>
      </c>
      <c r="D79" s="306" t="s">
        <v>369</v>
      </c>
      <c r="E79" s="300" t="s">
        <v>29</v>
      </c>
      <c r="F79" s="302">
        <v>9</v>
      </c>
      <c r="G79" s="303">
        <v>278.85000000000002</v>
      </c>
      <c r="H79" s="318">
        <f t="shared" ref="H79:H140" si="11">G79*1.2824</f>
        <v>357.59724</v>
      </c>
      <c r="I79" s="304">
        <f t="shared" ref="I79:I84" si="12">H79*F79</f>
        <v>3218.3751600000001</v>
      </c>
    </row>
    <row r="80" spans="1:9" s="305" customFormat="1" ht="52.5" customHeight="1">
      <c r="A80" s="300" t="s">
        <v>0</v>
      </c>
      <c r="B80" s="299">
        <v>90823</v>
      </c>
      <c r="C80" s="307" t="s">
        <v>813</v>
      </c>
      <c r="D80" s="306" t="s">
        <v>370</v>
      </c>
      <c r="E80" s="300" t="s">
        <v>29</v>
      </c>
      <c r="F80" s="302" t="s">
        <v>79</v>
      </c>
      <c r="G80" s="303">
        <v>295.44</v>
      </c>
      <c r="H80" s="318">
        <f t="shared" si="11"/>
        <v>378.87225599999999</v>
      </c>
      <c r="I80" s="304">
        <f t="shared" si="12"/>
        <v>6440.8283519999995</v>
      </c>
    </row>
    <row r="81" spans="1:9" s="305" customFormat="1" ht="32.25" customHeight="1">
      <c r="A81" s="307" t="s">
        <v>405</v>
      </c>
      <c r="B81" s="299">
        <v>13</v>
      </c>
      <c r="C81" s="307" t="s">
        <v>814</v>
      </c>
      <c r="D81" s="306" t="s">
        <v>535</v>
      </c>
      <c r="E81" s="300" t="s">
        <v>29</v>
      </c>
      <c r="F81" s="302">
        <v>2</v>
      </c>
      <c r="G81" s="303">
        <f>COMPOSIÇÃO!H178</f>
        <v>436.80838</v>
      </c>
      <c r="H81" s="318">
        <f t="shared" si="11"/>
        <v>560.163066512</v>
      </c>
      <c r="I81" s="304">
        <f t="shared" si="12"/>
        <v>1120.326133024</v>
      </c>
    </row>
    <row r="82" spans="1:9" s="305" customFormat="1" ht="52.5" customHeight="1">
      <c r="A82" s="300" t="s">
        <v>0</v>
      </c>
      <c r="B82" s="299">
        <v>91307</v>
      </c>
      <c r="C82" s="307" t="s">
        <v>815</v>
      </c>
      <c r="D82" s="306" t="s">
        <v>371</v>
      </c>
      <c r="E82" s="300" t="s">
        <v>29</v>
      </c>
      <c r="F82" s="302">
        <v>28</v>
      </c>
      <c r="G82" s="303">
        <v>52.51</v>
      </c>
      <c r="H82" s="318">
        <f t="shared" si="11"/>
        <v>67.338824000000002</v>
      </c>
      <c r="I82" s="304">
        <f t="shared" si="12"/>
        <v>1885.4870720000001</v>
      </c>
    </row>
    <row r="83" spans="1:9" s="305" customFormat="1" ht="25.5">
      <c r="A83" s="307" t="s">
        <v>405</v>
      </c>
      <c r="B83" s="300">
        <v>14</v>
      </c>
      <c r="C83" s="307" t="s">
        <v>816</v>
      </c>
      <c r="D83" s="306" t="s">
        <v>536</v>
      </c>
      <c r="E83" s="307" t="s">
        <v>28</v>
      </c>
      <c r="F83" s="302">
        <v>6.3</v>
      </c>
      <c r="G83" s="303">
        <f>COMPOSIÇÃO!H195</f>
        <v>268.81369699999993</v>
      </c>
      <c r="H83" s="318">
        <f t="shared" si="11"/>
        <v>344.72668503279994</v>
      </c>
      <c r="I83" s="304">
        <f t="shared" si="12"/>
        <v>2171.7781157066397</v>
      </c>
    </row>
    <row r="84" spans="1:9" s="305" customFormat="1" ht="28.5" customHeight="1">
      <c r="A84" s="300" t="s">
        <v>0</v>
      </c>
      <c r="B84" s="299" t="s">
        <v>154</v>
      </c>
      <c r="C84" s="307" t="s">
        <v>817</v>
      </c>
      <c r="D84" s="306" t="s">
        <v>372</v>
      </c>
      <c r="E84" s="300" t="s">
        <v>28</v>
      </c>
      <c r="F84" s="302">
        <v>129</v>
      </c>
      <c r="G84" s="310">
        <v>20.34</v>
      </c>
      <c r="H84" s="318">
        <f t="shared" si="11"/>
        <v>26.084015999999998</v>
      </c>
      <c r="I84" s="304">
        <f t="shared" si="12"/>
        <v>3364.8380639999996</v>
      </c>
    </row>
    <row r="85" spans="1:9" ht="15.75">
      <c r="A85" s="410"/>
      <c r="B85" s="410"/>
      <c r="C85" s="410"/>
      <c r="D85" s="416" t="s">
        <v>42</v>
      </c>
      <c r="E85" s="410"/>
      <c r="F85" s="413"/>
      <c r="G85" s="420"/>
      <c r="H85" s="418"/>
      <c r="I85" s="415"/>
    </row>
    <row r="86" spans="1:9" s="305" customFormat="1">
      <c r="A86" s="300" t="s">
        <v>1</v>
      </c>
      <c r="B86" s="300">
        <v>15</v>
      </c>
      <c r="C86" s="307" t="s">
        <v>818</v>
      </c>
      <c r="D86" s="605" t="s">
        <v>43</v>
      </c>
      <c r="E86" s="300" t="s">
        <v>28</v>
      </c>
      <c r="F86" s="600">
        <v>44</v>
      </c>
      <c r="G86" s="602">
        <f>COMPOSIÇÃO!H204</f>
        <v>731.63020000000006</v>
      </c>
      <c r="H86" s="318">
        <f t="shared" si="11"/>
        <v>938.24256848000005</v>
      </c>
      <c r="I86" s="601">
        <f t="shared" ref="I86:I90" si="13">H86*F86</f>
        <v>41282.673013120002</v>
      </c>
    </row>
    <row r="87" spans="1:9" s="305" customFormat="1">
      <c r="A87" s="307" t="s">
        <v>0</v>
      </c>
      <c r="B87" s="300">
        <v>85010</v>
      </c>
      <c r="C87" s="307" t="s">
        <v>819</v>
      </c>
      <c r="D87" s="605" t="s">
        <v>438</v>
      </c>
      <c r="E87" s="300" t="s">
        <v>28</v>
      </c>
      <c r="F87" s="600">
        <v>20.190000000000001</v>
      </c>
      <c r="G87" s="602">
        <v>739.55</v>
      </c>
      <c r="H87" s="318">
        <f t="shared" si="11"/>
        <v>948.39891999999998</v>
      </c>
      <c r="I87" s="601">
        <f t="shared" si="13"/>
        <v>19148.174194800002</v>
      </c>
    </row>
    <row r="88" spans="1:9" s="305" customFormat="1" ht="27.75" customHeight="1">
      <c r="A88" s="307" t="s">
        <v>0</v>
      </c>
      <c r="B88" s="299">
        <v>91338</v>
      </c>
      <c r="C88" s="307" t="s">
        <v>820</v>
      </c>
      <c r="D88" s="605" t="s">
        <v>373</v>
      </c>
      <c r="E88" s="300" t="s">
        <v>28</v>
      </c>
      <c r="F88" s="600">
        <v>13.47</v>
      </c>
      <c r="G88" s="602">
        <v>1422.02</v>
      </c>
      <c r="H88" s="318">
        <f t="shared" si="11"/>
        <v>1823.598448</v>
      </c>
      <c r="I88" s="601">
        <f t="shared" si="13"/>
        <v>24563.87109456</v>
      </c>
    </row>
    <row r="89" spans="1:9" s="305" customFormat="1">
      <c r="A89" s="300" t="s">
        <v>0</v>
      </c>
      <c r="B89" s="300" t="s">
        <v>35</v>
      </c>
      <c r="C89" s="307" t="s">
        <v>821</v>
      </c>
      <c r="D89" s="605" t="s">
        <v>44</v>
      </c>
      <c r="E89" s="300" t="s">
        <v>28</v>
      </c>
      <c r="F89" s="600">
        <v>64.19</v>
      </c>
      <c r="G89" s="602">
        <v>100.21</v>
      </c>
      <c r="H89" s="318">
        <f t="shared" si="11"/>
        <v>128.50930399999999</v>
      </c>
      <c r="I89" s="601">
        <f t="shared" si="13"/>
        <v>8249.012223759999</v>
      </c>
    </row>
    <row r="90" spans="1:9" s="305" customFormat="1" ht="27" customHeight="1">
      <c r="A90" s="307" t="s">
        <v>405</v>
      </c>
      <c r="B90" s="307">
        <v>16</v>
      </c>
      <c r="C90" s="307" t="s">
        <v>822</v>
      </c>
      <c r="D90" s="605" t="s">
        <v>408</v>
      </c>
      <c r="E90" s="307" t="s">
        <v>29</v>
      </c>
      <c r="F90" s="600">
        <v>1</v>
      </c>
      <c r="G90" s="602">
        <f>COMPOSIÇÃO!H213</f>
        <v>2121.1813999999999</v>
      </c>
      <c r="H90" s="318">
        <f t="shared" si="11"/>
        <v>2720.2030273599999</v>
      </c>
      <c r="I90" s="601">
        <f t="shared" si="13"/>
        <v>2720.2030273599999</v>
      </c>
    </row>
    <row r="91" spans="1:9" ht="15.75">
      <c r="A91" s="410"/>
      <c r="B91" s="410"/>
      <c r="C91" s="407" t="s">
        <v>523</v>
      </c>
      <c r="D91" s="416" t="s">
        <v>45</v>
      </c>
      <c r="E91" s="410"/>
      <c r="F91" s="413"/>
      <c r="G91" s="420"/>
      <c r="H91" s="418"/>
      <c r="I91" s="415">
        <f>SUM(I92:I130)</f>
        <v>72496.906104000009</v>
      </c>
    </row>
    <row r="92" spans="1:9" s="305" customFormat="1" ht="29.25" customHeight="1">
      <c r="A92" s="300" t="s">
        <v>1</v>
      </c>
      <c r="B92" s="300">
        <v>17</v>
      </c>
      <c r="C92" s="307" t="s">
        <v>823</v>
      </c>
      <c r="D92" s="605" t="s">
        <v>46</v>
      </c>
      <c r="E92" s="300" t="s">
        <v>52</v>
      </c>
      <c r="F92" s="600" t="s">
        <v>33</v>
      </c>
      <c r="G92" s="602">
        <f>COMPOSIÇÃO!H228</f>
        <v>944.54</v>
      </c>
      <c r="H92" s="318">
        <f t="shared" si="11"/>
        <v>1211.278096</v>
      </c>
      <c r="I92" s="601">
        <f>H92*F92</f>
        <v>1211.278096</v>
      </c>
    </row>
    <row r="93" spans="1:9" ht="15.75">
      <c r="A93" s="410" t="s">
        <v>1</v>
      </c>
      <c r="B93" s="410"/>
      <c r="C93" s="410"/>
      <c r="D93" s="416" t="s">
        <v>47</v>
      </c>
      <c r="E93" s="410"/>
      <c r="F93" s="413"/>
      <c r="G93" s="419"/>
      <c r="H93" s="418"/>
      <c r="I93" s="415"/>
    </row>
    <row r="94" spans="1:9" s="305" customFormat="1" ht="43.5" customHeight="1">
      <c r="A94" s="300" t="s">
        <v>0</v>
      </c>
      <c r="B94" s="299" t="s">
        <v>170</v>
      </c>
      <c r="C94" s="307" t="s">
        <v>824</v>
      </c>
      <c r="D94" s="308" t="s">
        <v>374</v>
      </c>
      <c r="E94" s="300" t="s">
        <v>29</v>
      </c>
      <c r="F94" s="302" t="s">
        <v>106</v>
      </c>
      <c r="G94" s="303">
        <v>106.48</v>
      </c>
      <c r="H94" s="318">
        <f t="shared" si="11"/>
        <v>136.54995199999999</v>
      </c>
      <c r="I94" s="304">
        <f t="shared" ref="I94:I111" si="14">H94*F94</f>
        <v>8329.5470719999994</v>
      </c>
    </row>
    <row r="95" spans="1:9" s="305" customFormat="1" ht="38.25">
      <c r="A95" s="300" t="s">
        <v>0</v>
      </c>
      <c r="B95" s="299" t="s">
        <v>171</v>
      </c>
      <c r="C95" s="307" t="s">
        <v>825</v>
      </c>
      <c r="D95" s="308" t="s">
        <v>421</v>
      </c>
      <c r="E95" s="300" t="s">
        <v>29</v>
      </c>
      <c r="F95" s="302" t="s">
        <v>57</v>
      </c>
      <c r="G95" s="303">
        <v>80.58</v>
      </c>
      <c r="H95" s="318">
        <f t="shared" si="11"/>
        <v>103.335792</v>
      </c>
      <c r="I95" s="304">
        <f t="shared" si="14"/>
        <v>1136.693712</v>
      </c>
    </row>
    <row r="96" spans="1:9" s="305" customFormat="1" ht="29.25" customHeight="1">
      <c r="A96" s="307" t="s">
        <v>405</v>
      </c>
      <c r="B96" s="309" t="s">
        <v>1266</v>
      </c>
      <c r="C96" s="307" t="s">
        <v>826</v>
      </c>
      <c r="D96" s="306" t="s">
        <v>48</v>
      </c>
      <c r="E96" s="300" t="s">
        <v>29</v>
      </c>
      <c r="F96" s="302" t="s">
        <v>104</v>
      </c>
      <c r="G96" s="303">
        <f>COMPOSIÇÃO!H236</f>
        <v>54.73</v>
      </c>
      <c r="H96" s="318">
        <f t="shared" si="11"/>
        <v>70.185751999999994</v>
      </c>
      <c r="I96" s="304">
        <f t="shared" si="14"/>
        <v>1824.8295519999999</v>
      </c>
    </row>
    <row r="97" spans="1:9" s="305" customFormat="1" ht="25.5">
      <c r="A97" s="307" t="s">
        <v>405</v>
      </c>
      <c r="B97" s="309" t="s">
        <v>1262</v>
      </c>
      <c r="C97" s="307" t="s">
        <v>827</v>
      </c>
      <c r="D97" s="306" t="s">
        <v>455</v>
      </c>
      <c r="E97" s="300" t="s">
        <v>29</v>
      </c>
      <c r="F97" s="302" t="s">
        <v>58</v>
      </c>
      <c r="G97" s="303">
        <f>COMPOSIÇÃO!H242</f>
        <v>33.79</v>
      </c>
      <c r="H97" s="318">
        <f t="shared" si="11"/>
        <v>43.332295999999999</v>
      </c>
      <c r="I97" s="304">
        <f t="shared" si="14"/>
        <v>129.99688800000001</v>
      </c>
    </row>
    <row r="98" spans="1:9" s="305" customFormat="1" ht="25.5">
      <c r="A98" s="300" t="s">
        <v>1</v>
      </c>
      <c r="B98" s="300">
        <v>20</v>
      </c>
      <c r="C98" s="307" t="s">
        <v>828</v>
      </c>
      <c r="D98" s="306" t="s">
        <v>49</v>
      </c>
      <c r="E98" s="300" t="s">
        <v>29</v>
      </c>
      <c r="F98" s="302" t="s">
        <v>56</v>
      </c>
      <c r="G98" s="303">
        <f>COMPOSIÇÃO!H251</f>
        <v>163.44</v>
      </c>
      <c r="H98" s="318">
        <f t="shared" si="11"/>
        <v>209.59545599999998</v>
      </c>
      <c r="I98" s="304">
        <f t="shared" si="14"/>
        <v>419.19091199999997</v>
      </c>
    </row>
    <row r="99" spans="1:9" s="305" customFormat="1" ht="25.5">
      <c r="A99" s="300" t="s">
        <v>0</v>
      </c>
      <c r="B99" s="299">
        <v>83399</v>
      </c>
      <c r="C99" s="307" t="s">
        <v>829</v>
      </c>
      <c r="D99" s="306" t="s">
        <v>375</v>
      </c>
      <c r="E99" s="300" t="s">
        <v>29</v>
      </c>
      <c r="F99" s="302" t="s">
        <v>56</v>
      </c>
      <c r="G99" s="303">
        <v>24.06</v>
      </c>
      <c r="H99" s="318">
        <f t="shared" si="11"/>
        <v>30.854543999999997</v>
      </c>
      <c r="I99" s="304">
        <f t="shared" si="14"/>
        <v>61.709087999999994</v>
      </c>
    </row>
    <row r="100" spans="1:9" s="305" customFormat="1" ht="22.5" customHeight="1">
      <c r="A100" s="300" t="s">
        <v>1</v>
      </c>
      <c r="B100" s="300">
        <v>21</v>
      </c>
      <c r="C100" s="307" t="s">
        <v>830</v>
      </c>
      <c r="D100" s="306" t="s">
        <v>50</v>
      </c>
      <c r="E100" s="300" t="s">
        <v>53</v>
      </c>
      <c r="F100" s="302" t="s">
        <v>107</v>
      </c>
      <c r="G100" s="310">
        <f>COMPOSIÇÃO!H262</f>
        <v>158.30500000000001</v>
      </c>
      <c r="H100" s="318">
        <f t="shared" si="11"/>
        <v>203.01033200000001</v>
      </c>
      <c r="I100" s="304">
        <f t="shared" si="14"/>
        <v>20910.064195999999</v>
      </c>
    </row>
    <row r="101" spans="1:9" s="305" customFormat="1" ht="38.25">
      <c r="A101" s="299" t="s">
        <v>0</v>
      </c>
      <c r="B101" s="299">
        <v>91945</v>
      </c>
      <c r="C101" s="307" t="s">
        <v>831</v>
      </c>
      <c r="D101" s="306" t="s">
        <v>376</v>
      </c>
      <c r="E101" s="300" t="s">
        <v>29</v>
      </c>
      <c r="F101" s="302" t="s">
        <v>58</v>
      </c>
      <c r="G101" s="303">
        <v>6.02</v>
      </c>
      <c r="H101" s="318">
        <f t="shared" si="11"/>
        <v>7.7200479999999994</v>
      </c>
      <c r="I101" s="304">
        <f t="shared" si="14"/>
        <v>23.160143999999999</v>
      </c>
    </row>
    <row r="102" spans="1:9" s="305" customFormat="1" ht="26.25" customHeight="1">
      <c r="A102" s="299" t="s">
        <v>0</v>
      </c>
      <c r="B102" s="299">
        <v>91995</v>
      </c>
      <c r="C102" s="307" t="s">
        <v>832</v>
      </c>
      <c r="D102" s="308" t="s">
        <v>377</v>
      </c>
      <c r="E102" s="300" t="s">
        <v>29</v>
      </c>
      <c r="F102" s="302" t="s">
        <v>108</v>
      </c>
      <c r="G102" s="303">
        <v>16.47</v>
      </c>
      <c r="H102" s="318">
        <f t="shared" si="11"/>
        <v>21.121127999999999</v>
      </c>
      <c r="I102" s="304">
        <f t="shared" si="14"/>
        <v>1541.8423439999999</v>
      </c>
    </row>
    <row r="103" spans="1:9" s="305" customFormat="1" ht="30.75" customHeight="1">
      <c r="A103" s="299" t="s">
        <v>0</v>
      </c>
      <c r="B103" s="299">
        <v>91993</v>
      </c>
      <c r="C103" s="307" t="s">
        <v>833</v>
      </c>
      <c r="D103" s="308" t="s">
        <v>378</v>
      </c>
      <c r="E103" s="300" t="s">
        <v>29</v>
      </c>
      <c r="F103" s="302" t="s">
        <v>76</v>
      </c>
      <c r="G103" s="303">
        <v>28.03</v>
      </c>
      <c r="H103" s="318">
        <f t="shared" si="11"/>
        <v>35.945672000000002</v>
      </c>
      <c r="I103" s="304">
        <f t="shared" si="14"/>
        <v>179.72836000000001</v>
      </c>
    </row>
    <row r="104" spans="1:9" s="305" customFormat="1">
      <c r="A104" s="300" t="s">
        <v>1</v>
      </c>
      <c r="B104" s="300">
        <v>22</v>
      </c>
      <c r="C104" s="307" t="s">
        <v>834</v>
      </c>
      <c r="D104" s="312" t="s">
        <v>65</v>
      </c>
      <c r="E104" s="300" t="s">
        <v>29</v>
      </c>
      <c r="F104" s="302" t="s">
        <v>94</v>
      </c>
      <c r="G104" s="310">
        <f>COMPOSIÇÃO!H270</f>
        <v>50.599999999999994</v>
      </c>
      <c r="H104" s="318">
        <f t="shared" si="11"/>
        <v>64.889439999999993</v>
      </c>
      <c r="I104" s="304">
        <f t="shared" si="14"/>
        <v>908.45215999999994</v>
      </c>
    </row>
    <row r="105" spans="1:9" s="305" customFormat="1" ht="38.25">
      <c r="A105" s="307" t="s">
        <v>0</v>
      </c>
      <c r="B105" s="300">
        <v>93141</v>
      </c>
      <c r="C105" s="307" t="s">
        <v>835</v>
      </c>
      <c r="D105" s="306" t="s">
        <v>437</v>
      </c>
      <c r="E105" s="300" t="s">
        <v>53</v>
      </c>
      <c r="F105" s="302">
        <v>135</v>
      </c>
      <c r="G105" s="606">
        <v>117.13</v>
      </c>
      <c r="H105" s="318">
        <f t="shared" si="11"/>
        <v>150.20751199999998</v>
      </c>
      <c r="I105" s="304">
        <f t="shared" si="14"/>
        <v>20278.014119999996</v>
      </c>
    </row>
    <row r="106" spans="1:9" s="305" customFormat="1" ht="38.25">
      <c r="A106" s="300" t="s">
        <v>0</v>
      </c>
      <c r="B106" s="299">
        <v>91953</v>
      </c>
      <c r="C106" s="307" t="s">
        <v>836</v>
      </c>
      <c r="D106" s="308" t="s">
        <v>379</v>
      </c>
      <c r="E106" s="300" t="s">
        <v>29</v>
      </c>
      <c r="F106" s="302" t="s">
        <v>80</v>
      </c>
      <c r="G106" s="303">
        <v>16.670000000000002</v>
      </c>
      <c r="H106" s="318">
        <f t="shared" si="11"/>
        <v>21.377608000000002</v>
      </c>
      <c r="I106" s="304">
        <f t="shared" si="14"/>
        <v>384.79694400000005</v>
      </c>
    </row>
    <row r="107" spans="1:9" s="305" customFormat="1" ht="29.25" customHeight="1">
      <c r="A107" s="300" t="s">
        <v>0</v>
      </c>
      <c r="B107" s="299">
        <v>91965</v>
      </c>
      <c r="C107" s="307" t="s">
        <v>837</v>
      </c>
      <c r="D107" s="308" t="s">
        <v>436</v>
      </c>
      <c r="E107" s="300" t="s">
        <v>29</v>
      </c>
      <c r="F107" s="302" t="s">
        <v>109</v>
      </c>
      <c r="G107" s="303">
        <v>40.06</v>
      </c>
      <c r="H107" s="318">
        <f t="shared" si="11"/>
        <v>51.372944000000004</v>
      </c>
      <c r="I107" s="304">
        <f t="shared" si="14"/>
        <v>667.84827200000007</v>
      </c>
    </row>
    <row r="108" spans="1:9" s="305" customFormat="1" ht="27" customHeight="1">
      <c r="A108" s="300" t="s">
        <v>0</v>
      </c>
      <c r="B108" s="299">
        <v>91966</v>
      </c>
      <c r="C108" s="307" t="s">
        <v>838</v>
      </c>
      <c r="D108" s="308" t="s">
        <v>426</v>
      </c>
      <c r="E108" s="300" t="s">
        <v>29</v>
      </c>
      <c r="F108" s="302" t="s">
        <v>75</v>
      </c>
      <c r="G108" s="303">
        <v>31.12</v>
      </c>
      <c r="H108" s="318">
        <f t="shared" si="11"/>
        <v>39.908287999999999</v>
      </c>
      <c r="I108" s="304">
        <f t="shared" si="14"/>
        <v>159.633152</v>
      </c>
    </row>
    <row r="109" spans="1:9" s="305" customFormat="1" ht="25.5">
      <c r="A109" s="300" t="s">
        <v>0</v>
      </c>
      <c r="B109" s="299">
        <v>91975</v>
      </c>
      <c r="C109" s="307" t="s">
        <v>839</v>
      </c>
      <c r="D109" s="308" t="s">
        <v>435</v>
      </c>
      <c r="E109" s="300" t="s">
        <v>29</v>
      </c>
      <c r="F109" s="302" t="s">
        <v>58</v>
      </c>
      <c r="G109" s="303">
        <v>48.52</v>
      </c>
      <c r="H109" s="318">
        <f t="shared" si="11"/>
        <v>62.222048000000001</v>
      </c>
      <c r="I109" s="304">
        <f t="shared" si="14"/>
        <v>186.666144</v>
      </c>
    </row>
    <row r="110" spans="1:9" s="305" customFormat="1" ht="38.25">
      <c r="A110" s="300" t="s">
        <v>0</v>
      </c>
      <c r="B110" s="299">
        <v>91953</v>
      </c>
      <c r="C110" s="307" t="s">
        <v>840</v>
      </c>
      <c r="D110" s="308" t="s">
        <v>379</v>
      </c>
      <c r="E110" s="300" t="s">
        <v>29</v>
      </c>
      <c r="F110" s="302" t="s">
        <v>56</v>
      </c>
      <c r="G110" s="303">
        <v>16.670000000000002</v>
      </c>
      <c r="H110" s="318">
        <f t="shared" si="11"/>
        <v>21.377608000000002</v>
      </c>
      <c r="I110" s="304">
        <f t="shared" si="14"/>
        <v>42.755216000000004</v>
      </c>
    </row>
    <row r="111" spans="1:9" s="305" customFormat="1">
      <c r="A111" s="300" t="s">
        <v>1</v>
      </c>
      <c r="B111" s="300">
        <v>23</v>
      </c>
      <c r="C111" s="307" t="s">
        <v>841</v>
      </c>
      <c r="D111" s="306" t="s">
        <v>66</v>
      </c>
      <c r="E111" s="300" t="s">
        <v>53</v>
      </c>
      <c r="F111" s="302">
        <v>40</v>
      </c>
      <c r="G111" s="310">
        <f>COMPOSIÇÃO!H283</f>
        <v>114.25999999999999</v>
      </c>
      <c r="H111" s="318">
        <f t="shared" si="11"/>
        <v>146.52702399999998</v>
      </c>
      <c r="I111" s="304">
        <f t="shared" si="14"/>
        <v>5861.0809599999993</v>
      </c>
    </row>
    <row r="112" spans="1:9" ht="15.75">
      <c r="A112" s="410" t="s">
        <v>0</v>
      </c>
      <c r="B112" s="410"/>
      <c r="C112" s="410"/>
      <c r="D112" s="416" t="s">
        <v>67</v>
      </c>
      <c r="E112" s="410"/>
      <c r="F112" s="413"/>
      <c r="G112" s="419"/>
      <c r="H112" s="418"/>
      <c r="I112" s="415"/>
    </row>
    <row r="113" spans="1:9" s="305" customFormat="1" ht="51">
      <c r="A113" s="300" t="s">
        <v>0</v>
      </c>
      <c r="B113" s="311" t="s">
        <v>59</v>
      </c>
      <c r="C113" s="307" t="s">
        <v>842</v>
      </c>
      <c r="D113" s="314" t="s">
        <v>187</v>
      </c>
      <c r="E113" s="300" t="s">
        <v>29</v>
      </c>
      <c r="F113" s="302" t="s">
        <v>33</v>
      </c>
      <c r="G113" s="303">
        <v>418.51</v>
      </c>
      <c r="H113" s="318">
        <f t="shared" si="11"/>
        <v>536.69722400000001</v>
      </c>
      <c r="I113" s="304">
        <f>H113*F113</f>
        <v>536.69722400000001</v>
      </c>
    </row>
    <row r="114" spans="1:9" s="305" customFormat="1" ht="38.25">
      <c r="A114" s="300" t="s">
        <v>0</v>
      </c>
      <c r="B114" s="299" t="s">
        <v>60</v>
      </c>
      <c r="C114" s="307" t="s">
        <v>843</v>
      </c>
      <c r="D114" s="308" t="s">
        <v>380</v>
      </c>
      <c r="E114" s="300" t="s">
        <v>29</v>
      </c>
      <c r="F114" s="302" t="s">
        <v>33</v>
      </c>
      <c r="G114" s="303">
        <v>243.41</v>
      </c>
      <c r="H114" s="318">
        <f t="shared" si="11"/>
        <v>312.14898399999998</v>
      </c>
      <c r="I114" s="304">
        <f>H114*F114</f>
        <v>312.14898399999998</v>
      </c>
    </row>
    <row r="115" spans="1:9" s="305" customFormat="1">
      <c r="A115" s="300" t="s">
        <v>0</v>
      </c>
      <c r="B115" s="299" t="s">
        <v>61</v>
      </c>
      <c r="C115" s="307" t="s">
        <v>844</v>
      </c>
      <c r="D115" s="312" t="s">
        <v>381</v>
      </c>
      <c r="E115" s="300" t="s">
        <v>29</v>
      </c>
      <c r="F115" s="302" t="s">
        <v>33</v>
      </c>
      <c r="G115" s="303">
        <v>87.48</v>
      </c>
      <c r="H115" s="318">
        <f t="shared" si="11"/>
        <v>112.184352</v>
      </c>
      <c r="I115" s="304">
        <f>H115*F115</f>
        <v>112.184352</v>
      </c>
    </row>
    <row r="116" spans="1:9" s="305" customFormat="1">
      <c r="A116" s="300" t="s">
        <v>0</v>
      </c>
      <c r="B116" s="299">
        <v>83641</v>
      </c>
      <c r="C116" s="307" t="s">
        <v>845</v>
      </c>
      <c r="D116" s="610" t="s">
        <v>188</v>
      </c>
      <c r="E116" s="300" t="s">
        <v>29</v>
      </c>
      <c r="F116" s="302" t="s">
        <v>33</v>
      </c>
      <c r="G116" s="303">
        <v>420.86</v>
      </c>
      <c r="H116" s="318">
        <f t="shared" si="11"/>
        <v>539.71086400000002</v>
      </c>
      <c r="I116" s="304">
        <f>H116*F116</f>
        <v>539.71086400000002</v>
      </c>
    </row>
    <row r="117" spans="1:9" ht="15.75">
      <c r="A117" s="410" t="s">
        <v>0</v>
      </c>
      <c r="B117" s="410"/>
      <c r="C117" s="410"/>
      <c r="D117" s="416" t="s">
        <v>68</v>
      </c>
      <c r="E117" s="410"/>
      <c r="F117" s="413"/>
      <c r="G117" s="419"/>
      <c r="H117" s="418"/>
      <c r="I117" s="415"/>
    </row>
    <row r="118" spans="1:9" s="305" customFormat="1" ht="51">
      <c r="A118" s="300" t="s">
        <v>0</v>
      </c>
      <c r="B118" s="299" t="s">
        <v>59</v>
      </c>
      <c r="C118" s="307" t="s">
        <v>846</v>
      </c>
      <c r="D118" s="314" t="s">
        <v>187</v>
      </c>
      <c r="E118" s="300" t="s">
        <v>29</v>
      </c>
      <c r="F118" s="302" t="s">
        <v>33</v>
      </c>
      <c r="G118" s="303">
        <v>418.51</v>
      </c>
      <c r="H118" s="318">
        <f t="shared" si="11"/>
        <v>536.69722400000001</v>
      </c>
      <c r="I118" s="304">
        <f t="shared" ref="I118:I124" si="15">H118*F118</f>
        <v>536.69722400000001</v>
      </c>
    </row>
    <row r="119" spans="1:9" s="305" customFormat="1">
      <c r="A119" s="307" t="s">
        <v>1</v>
      </c>
      <c r="B119" s="309" t="s">
        <v>1267</v>
      </c>
      <c r="C119" s="307" t="s">
        <v>847</v>
      </c>
      <c r="D119" s="301" t="s">
        <v>110</v>
      </c>
      <c r="E119" s="300" t="s">
        <v>29</v>
      </c>
      <c r="F119" s="302" t="s">
        <v>56</v>
      </c>
      <c r="G119" s="310">
        <f>COMPOSIÇÃO!H290</f>
        <v>107.46</v>
      </c>
      <c r="H119" s="318">
        <f t="shared" si="11"/>
        <v>137.806704</v>
      </c>
      <c r="I119" s="304">
        <f t="shared" si="15"/>
        <v>275.61340799999999</v>
      </c>
    </row>
    <row r="120" spans="1:9" s="305" customFormat="1">
      <c r="A120" s="300" t="s">
        <v>0</v>
      </c>
      <c r="B120" s="299">
        <v>83641</v>
      </c>
      <c r="C120" s="307" t="s">
        <v>848</v>
      </c>
      <c r="D120" s="610" t="s">
        <v>189</v>
      </c>
      <c r="E120" s="300" t="s">
        <v>29</v>
      </c>
      <c r="F120" s="302" t="s">
        <v>58</v>
      </c>
      <c r="G120" s="303">
        <v>420.86</v>
      </c>
      <c r="H120" s="318">
        <f t="shared" si="11"/>
        <v>539.71086400000002</v>
      </c>
      <c r="I120" s="304">
        <f t="shared" si="15"/>
        <v>1619.1325919999999</v>
      </c>
    </row>
    <row r="121" spans="1:9" s="305" customFormat="1">
      <c r="A121" s="300" t="s">
        <v>0</v>
      </c>
      <c r="B121" s="299" t="s">
        <v>61</v>
      </c>
      <c r="C121" s="307" t="s">
        <v>849</v>
      </c>
      <c r="D121" s="312" t="s">
        <v>381</v>
      </c>
      <c r="E121" s="300" t="s">
        <v>29</v>
      </c>
      <c r="F121" s="302" t="s">
        <v>56</v>
      </c>
      <c r="G121" s="303">
        <v>87.48</v>
      </c>
      <c r="H121" s="318">
        <f t="shared" si="11"/>
        <v>112.184352</v>
      </c>
      <c r="I121" s="304">
        <f t="shared" si="15"/>
        <v>224.36870400000001</v>
      </c>
    </row>
    <row r="122" spans="1:9" s="305" customFormat="1" ht="25.5">
      <c r="A122" s="300" t="s">
        <v>0</v>
      </c>
      <c r="B122" s="299" t="s">
        <v>62</v>
      </c>
      <c r="C122" s="307" t="s">
        <v>850</v>
      </c>
      <c r="D122" s="308" t="s">
        <v>382</v>
      </c>
      <c r="E122" s="300" t="s">
        <v>29</v>
      </c>
      <c r="F122" s="302" t="s">
        <v>34</v>
      </c>
      <c r="G122" s="303">
        <v>10.199999999999999</v>
      </c>
      <c r="H122" s="318">
        <f t="shared" si="11"/>
        <v>13.08048</v>
      </c>
      <c r="I122" s="304">
        <f t="shared" si="15"/>
        <v>130.8048</v>
      </c>
    </row>
    <row r="123" spans="1:9" s="305" customFormat="1">
      <c r="A123" s="300" t="s">
        <v>0</v>
      </c>
      <c r="B123" s="299" t="s">
        <v>63</v>
      </c>
      <c r="C123" s="307" t="s">
        <v>851</v>
      </c>
      <c r="D123" s="312" t="s">
        <v>383</v>
      </c>
      <c r="E123" s="300" t="s">
        <v>29</v>
      </c>
      <c r="F123" s="302" t="s">
        <v>34</v>
      </c>
      <c r="G123" s="303">
        <v>15.45</v>
      </c>
      <c r="H123" s="318">
        <f t="shared" si="11"/>
        <v>19.813079999999999</v>
      </c>
      <c r="I123" s="304">
        <f t="shared" si="15"/>
        <v>198.13079999999999</v>
      </c>
    </row>
    <row r="124" spans="1:9" s="305" customFormat="1" ht="25.5">
      <c r="A124" s="300" t="s">
        <v>0</v>
      </c>
      <c r="B124" s="311" t="s">
        <v>384</v>
      </c>
      <c r="C124" s="307" t="s">
        <v>852</v>
      </c>
      <c r="D124" s="308" t="s">
        <v>385</v>
      </c>
      <c r="E124" s="300" t="s">
        <v>29</v>
      </c>
      <c r="F124" s="302" t="s">
        <v>76</v>
      </c>
      <c r="G124" s="303">
        <v>44.65</v>
      </c>
      <c r="H124" s="318">
        <f t="shared" si="11"/>
        <v>57.259159999999994</v>
      </c>
      <c r="I124" s="304">
        <f t="shared" si="15"/>
        <v>286.29579999999999</v>
      </c>
    </row>
    <row r="125" spans="1:9" ht="20.25" customHeight="1">
      <c r="A125" s="410" t="s">
        <v>1</v>
      </c>
      <c r="B125" s="410"/>
      <c r="C125" s="407"/>
      <c r="D125" s="416" t="s">
        <v>69</v>
      </c>
      <c r="E125" s="410"/>
      <c r="F125" s="413"/>
      <c r="G125" s="419"/>
      <c r="H125" s="418"/>
      <c r="I125" s="415"/>
    </row>
    <row r="126" spans="1:9" s="305" customFormat="1">
      <c r="A126" s="299" t="s">
        <v>1</v>
      </c>
      <c r="B126" s="299">
        <v>25</v>
      </c>
      <c r="C126" s="307" t="s">
        <v>1265</v>
      </c>
      <c r="D126" s="306" t="s">
        <v>70</v>
      </c>
      <c r="E126" s="300" t="s">
        <v>53</v>
      </c>
      <c r="F126" s="302" t="s">
        <v>79</v>
      </c>
      <c r="G126" s="310">
        <f>COMPOSIÇÃO!H299</f>
        <v>91.995000000000005</v>
      </c>
      <c r="H126" s="318">
        <f t="shared" si="11"/>
        <v>117.974388</v>
      </c>
      <c r="I126" s="304">
        <f t="shared" ref="I126:I130" si="16">H126*F126</f>
        <v>2005.5645960000002</v>
      </c>
    </row>
    <row r="127" spans="1:9" s="305" customFormat="1" ht="25.5">
      <c r="A127" s="299" t="s">
        <v>0</v>
      </c>
      <c r="B127" s="299">
        <v>72337</v>
      </c>
      <c r="C127" s="307" t="s">
        <v>869</v>
      </c>
      <c r="D127" s="306" t="s">
        <v>386</v>
      </c>
      <c r="E127" s="300" t="s">
        <v>53</v>
      </c>
      <c r="F127" s="302" t="s">
        <v>77</v>
      </c>
      <c r="G127" s="303">
        <v>17.98</v>
      </c>
      <c r="H127" s="318">
        <f t="shared" si="11"/>
        <v>23.057552000000001</v>
      </c>
      <c r="I127" s="304">
        <f t="shared" si="16"/>
        <v>276.69062400000001</v>
      </c>
    </row>
    <row r="128" spans="1:9" s="305" customFormat="1" ht="27.75" customHeight="1">
      <c r="A128" s="311" t="s">
        <v>1268</v>
      </c>
      <c r="B128" s="311">
        <v>1</v>
      </c>
      <c r="C128" s="307" t="s">
        <v>870</v>
      </c>
      <c r="D128" s="306" t="s">
        <v>456</v>
      </c>
      <c r="E128" s="307" t="s">
        <v>29</v>
      </c>
      <c r="F128" s="302">
        <v>1</v>
      </c>
      <c r="G128" s="303">
        <f>COMPOSIÇÃO!E441</f>
        <v>477</v>
      </c>
      <c r="H128" s="318">
        <f t="shared" si="11"/>
        <v>611.70479999999998</v>
      </c>
      <c r="I128" s="304">
        <f t="shared" si="16"/>
        <v>611.70479999999998</v>
      </c>
    </row>
    <row r="129" spans="1:9" s="305" customFormat="1" ht="38.25">
      <c r="A129" s="299" t="s">
        <v>0</v>
      </c>
      <c r="B129" s="299">
        <v>83370</v>
      </c>
      <c r="C129" s="307" t="s">
        <v>871</v>
      </c>
      <c r="D129" s="306" t="s">
        <v>387</v>
      </c>
      <c r="E129" s="300" t="s">
        <v>29</v>
      </c>
      <c r="F129" s="302" t="s">
        <v>33</v>
      </c>
      <c r="G129" s="303">
        <v>175.07</v>
      </c>
      <c r="H129" s="318">
        <f t="shared" si="11"/>
        <v>224.50976799999998</v>
      </c>
      <c r="I129" s="304">
        <f t="shared" si="16"/>
        <v>224.50976799999998</v>
      </c>
    </row>
    <row r="130" spans="1:9" s="305" customFormat="1" ht="25.5">
      <c r="A130" s="299" t="s">
        <v>0</v>
      </c>
      <c r="B130" s="299">
        <v>83366</v>
      </c>
      <c r="C130" s="307" t="s">
        <v>872</v>
      </c>
      <c r="D130" s="306" t="s">
        <v>388</v>
      </c>
      <c r="E130" s="300" t="s">
        <v>29</v>
      </c>
      <c r="F130" s="302" t="s">
        <v>58</v>
      </c>
      <c r="G130" s="303">
        <v>90.81</v>
      </c>
      <c r="H130" s="318">
        <f t="shared" si="11"/>
        <v>116.45474400000001</v>
      </c>
      <c r="I130" s="304">
        <f t="shared" si="16"/>
        <v>349.36423200000002</v>
      </c>
    </row>
    <row r="131" spans="1:9" ht="21.75" customHeight="1">
      <c r="A131" s="410"/>
      <c r="B131" s="410"/>
      <c r="C131" s="407" t="s">
        <v>524</v>
      </c>
      <c r="D131" s="416" t="s">
        <v>531</v>
      </c>
      <c r="E131" s="410"/>
      <c r="F131" s="413"/>
      <c r="G131" s="420"/>
      <c r="H131" s="418"/>
      <c r="I131" s="421">
        <f>SUM(I133:I209)</f>
        <v>94810.94275133012</v>
      </c>
    </row>
    <row r="132" spans="1:9" ht="15" customHeight="1">
      <c r="A132" s="410" t="s">
        <v>0</v>
      </c>
      <c r="B132" s="410"/>
      <c r="C132" s="410"/>
      <c r="D132" s="416" t="s">
        <v>71</v>
      </c>
      <c r="E132" s="410"/>
      <c r="F132" s="413"/>
      <c r="G132" s="419"/>
      <c r="H132" s="418"/>
      <c r="I132" s="415"/>
    </row>
    <row r="133" spans="1:9" s="305" customFormat="1" ht="25.5">
      <c r="A133" s="299" t="s">
        <v>0</v>
      </c>
      <c r="B133" s="311">
        <v>95469</v>
      </c>
      <c r="C133" s="307" t="s">
        <v>853</v>
      </c>
      <c r="D133" s="308" t="s">
        <v>389</v>
      </c>
      <c r="E133" s="300" t="s">
        <v>29</v>
      </c>
      <c r="F133" s="302">
        <v>4</v>
      </c>
      <c r="G133" s="303">
        <v>166.29</v>
      </c>
      <c r="H133" s="318">
        <f t="shared" si="11"/>
        <v>213.25029599999999</v>
      </c>
      <c r="I133" s="304">
        <f t="shared" ref="I133:I150" si="17">H133*F133</f>
        <v>853.00118399999997</v>
      </c>
    </row>
    <row r="134" spans="1:9" s="305" customFormat="1">
      <c r="A134" s="299" t="s">
        <v>0</v>
      </c>
      <c r="B134" s="299">
        <v>377</v>
      </c>
      <c r="C134" s="307" t="s">
        <v>854</v>
      </c>
      <c r="D134" s="312" t="s">
        <v>390</v>
      </c>
      <c r="E134" s="300" t="s">
        <v>29</v>
      </c>
      <c r="F134" s="302" t="s">
        <v>58</v>
      </c>
      <c r="G134" s="303">
        <v>21.95</v>
      </c>
      <c r="H134" s="318">
        <f t="shared" si="11"/>
        <v>28.148679999999999</v>
      </c>
      <c r="I134" s="304">
        <f t="shared" si="17"/>
        <v>84.446039999999996</v>
      </c>
    </row>
    <row r="135" spans="1:9" s="305" customFormat="1" ht="51">
      <c r="A135" s="299" t="s">
        <v>0</v>
      </c>
      <c r="B135" s="299">
        <v>36519</v>
      </c>
      <c r="C135" s="307" t="s">
        <v>855</v>
      </c>
      <c r="D135" s="308" t="s">
        <v>391</v>
      </c>
      <c r="E135" s="300" t="s">
        <v>29</v>
      </c>
      <c r="F135" s="302" t="s">
        <v>76</v>
      </c>
      <c r="G135" s="303">
        <v>626.17999999999995</v>
      </c>
      <c r="H135" s="318">
        <f t="shared" si="11"/>
        <v>803.0132319999999</v>
      </c>
      <c r="I135" s="304">
        <f t="shared" si="17"/>
        <v>4015.0661599999994</v>
      </c>
    </row>
    <row r="136" spans="1:9" s="305" customFormat="1" ht="24.75" customHeight="1">
      <c r="A136" s="311" t="s">
        <v>1</v>
      </c>
      <c r="B136" s="299">
        <v>26</v>
      </c>
      <c r="C136" s="307" t="s">
        <v>856</v>
      </c>
      <c r="D136" s="312" t="s">
        <v>193</v>
      </c>
      <c r="E136" s="300" t="s">
        <v>29</v>
      </c>
      <c r="F136" s="302">
        <v>8</v>
      </c>
      <c r="G136" s="303">
        <f>COMPOSIÇÃO!H305</f>
        <v>33.817</v>
      </c>
      <c r="H136" s="318">
        <f t="shared" si="11"/>
        <v>43.366920800000003</v>
      </c>
      <c r="I136" s="304">
        <f t="shared" si="17"/>
        <v>346.93536640000002</v>
      </c>
    </row>
    <row r="137" spans="1:9" s="305" customFormat="1" ht="38.25">
      <c r="A137" s="299" t="s">
        <v>0</v>
      </c>
      <c r="B137" s="299">
        <v>86904</v>
      </c>
      <c r="C137" s="307" t="s">
        <v>857</v>
      </c>
      <c r="D137" s="308" t="s">
        <v>392</v>
      </c>
      <c r="E137" s="300" t="s">
        <v>29</v>
      </c>
      <c r="F137" s="302" t="s">
        <v>92</v>
      </c>
      <c r="G137" s="303">
        <v>103.15</v>
      </c>
      <c r="H137" s="318">
        <f t="shared" si="11"/>
        <v>132.27956</v>
      </c>
      <c r="I137" s="304">
        <f t="shared" si="17"/>
        <v>2645.5911999999998</v>
      </c>
    </row>
    <row r="138" spans="1:9" s="305" customFormat="1" ht="25.5">
      <c r="A138" s="311" t="s">
        <v>1</v>
      </c>
      <c r="B138" s="317" t="s">
        <v>1269</v>
      </c>
      <c r="C138" s="307" t="s">
        <v>858</v>
      </c>
      <c r="D138" s="308" t="s">
        <v>424</v>
      </c>
      <c r="E138" s="300" t="s">
        <v>29</v>
      </c>
      <c r="F138" s="302" t="s">
        <v>33</v>
      </c>
      <c r="G138" s="303">
        <f>COMPOSIÇÃO!H316</f>
        <v>581.07999999999993</v>
      </c>
      <c r="H138" s="318">
        <f t="shared" si="11"/>
        <v>745.17699199999993</v>
      </c>
      <c r="I138" s="304">
        <f t="shared" si="17"/>
        <v>745.17699199999993</v>
      </c>
    </row>
    <row r="139" spans="1:9" s="305" customFormat="1" ht="38.25">
      <c r="A139" s="311" t="s">
        <v>1</v>
      </c>
      <c r="B139" s="300">
        <v>28</v>
      </c>
      <c r="C139" s="307" t="s">
        <v>873</v>
      </c>
      <c r="D139" s="308" t="s">
        <v>194</v>
      </c>
      <c r="E139" s="300" t="s">
        <v>29</v>
      </c>
      <c r="F139" s="302" t="s">
        <v>95</v>
      </c>
      <c r="G139" s="303">
        <f>COMPOSIÇÃO!H405</f>
        <v>135.48999999999998</v>
      </c>
      <c r="H139" s="318">
        <f t="shared" si="11"/>
        <v>173.75237599999997</v>
      </c>
      <c r="I139" s="304">
        <f t="shared" si="17"/>
        <v>3648.7998959999995</v>
      </c>
    </row>
    <row r="140" spans="1:9" s="305" customFormat="1">
      <c r="A140" s="311" t="s">
        <v>1</v>
      </c>
      <c r="B140" s="300">
        <v>29</v>
      </c>
      <c r="C140" s="307" t="s">
        <v>874</v>
      </c>
      <c r="D140" s="308" t="s">
        <v>537</v>
      </c>
      <c r="E140" s="300" t="s">
        <v>29</v>
      </c>
      <c r="F140" s="302" t="s">
        <v>95</v>
      </c>
      <c r="G140" s="303">
        <f>COMPOSIÇÃO!H328</f>
        <v>33.817</v>
      </c>
      <c r="H140" s="318">
        <f t="shared" si="11"/>
        <v>43.366920800000003</v>
      </c>
      <c r="I140" s="304">
        <f t="shared" ref="I140" si="18">H140*F140</f>
        <v>910.70533680000005</v>
      </c>
    </row>
    <row r="141" spans="1:9" s="305" customFormat="1" ht="51">
      <c r="A141" s="300" t="s">
        <v>0</v>
      </c>
      <c r="B141" s="299">
        <v>86921</v>
      </c>
      <c r="C141" s="307" t="s">
        <v>875</v>
      </c>
      <c r="D141" s="308" t="s">
        <v>393</v>
      </c>
      <c r="E141" s="300" t="s">
        <v>29</v>
      </c>
      <c r="F141" s="302" t="s">
        <v>33</v>
      </c>
      <c r="G141" s="303">
        <v>641.26</v>
      </c>
      <c r="H141" s="318">
        <f t="shared" ref="H141:H205" si="19">G141*1.2824</f>
        <v>822.35182399999997</v>
      </c>
      <c r="I141" s="304">
        <f t="shared" si="17"/>
        <v>822.35182399999997</v>
      </c>
    </row>
    <row r="142" spans="1:9" s="305" customFormat="1" ht="70.5" customHeight="1">
      <c r="A142" s="300" t="s">
        <v>0</v>
      </c>
      <c r="B142" s="299">
        <v>93441</v>
      </c>
      <c r="C142" s="307" t="s">
        <v>876</v>
      </c>
      <c r="D142" s="308" t="s">
        <v>473</v>
      </c>
      <c r="E142" s="307" t="s">
        <v>29</v>
      </c>
      <c r="F142" s="302">
        <v>5</v>
      </c>
      <c r="G142" s="303">
        <v>752.92</v>
      </c>
      <c r="H142" s="318">
        <f t="shared" si="19"/>
        <v>965.54460799999993</v>
      </c>
      <c r="I142" s="304">
        <f t="shared" si="17"/>
        <v>4827.7230399999999</v>
      </c>
    </row>
    <row r="143" spans="1:9" s="305" customFormat="1" ht="25.5">
      <c r="A143" s="311" t="s">
        <v>1</v>
      </c>
      <c r="B143" s="299">
        <v>30</v>
      </c>
      <c r="C143" s="307" t="s">
        <v>877</v>
      </c>
      <c r="D143" s="308" t="s">
        <v>1270</v>
      </c>
      <c r="E143" s="625" t="s">
        <v>29</v>
      </c>
      <c r="F143" s="302">
        <v>1</v>
      </c>
      <c r="G143" s="303">
        <f>COMPOSIÇÃO!H339</f>
        <v>721.36647600000003</v>
      </c>
      <c r="H143" s="318">
        <f t="shared" ref="H143:H145" si="20">G143*1.2824</f>
        <v>925.08036882240003</v>
      </c>
      <c r="I143" s="304">
        <f t="shared" ref="I143:I145" si="21">H143*F143</f>
        <v>925.08036882240003</v>
      </c>
    </row>
    <row r="144" spans="1:9" s="305" customFormat="1" ht="25.5">
      <c r="A144" s="311" t="s">
        <v>1</v>
      </c>
      <c r="B144" s="299">
        <v>31</v>
      </c>
      <c r="C144" s="307" t="s">
        <v>878</v>
      </c>
      <c r="D144" s="308" t="s">
        <v>1207</v>
      </c>
      <c r="E144" s="625" t="s">
        <v>29</v>
      </c>
      <c r="F144" s="302">
        <v>3</v>
      </c>
      <c r="G144" s="303">
        <f>COMPOSIÇÃO!H350</f>
        <v>841.36647600000003</v>
      </c>
      <c r="H144" s="318">
        <f t="shared" si="20"/>
        <v>1078.9683688224</v>
      </c>
      <c r="I144" s="304">
        <f t="shared" si="21"/>
        <v>3236.9051064671999</v>
      </c>
    </row>
    <row r="145" spans="1:9" s="305" customFormat="1" ht="38.25">
      <c r="A145" s="311" t="s">
        <v>1</v>
      </c>
      <c r="B145" s="299">
        <v>32</v>
      </c>
      <c r="C145" s="307" t="s">
        <v>879</v>
      </c>
      <c r="D145" s="308" t="s">
        <v>1271</v>
      </c>
      <c r="E145" s="625" t="s">
        <v>28</v>
      </c>
      <c r="F145" s="302">
        <v>3.24</v>
      </c>
      <c r="G145" s="303">
        <f>COMPOSIÇÃO!H357</f>
        <v>431.21247599999998</v>
      </c>
      <c r="H145" s="318">
        <f t="shared" si="20"/>
        <v>552.98687922239992</v>
      </c>
      <c r="I145" s="304">
        <f t="shared" si="21"/>
        <v>1791.6774886805758</v>
      </c>
    </row>
    <row r="146" spans="1:9" s="305" customFormat="1">
      <c r="A146" s="300" t="s">
        <v>1</v>
      </c>
      <c r="B146" s="300">
        <v>33</v>
      </c>
      <c r="C146" s="307" t="s">
        <v>880</v>
      </c>
      <c r="D146" s="306" t="s">
        <v>72</v>
      </c>
      <c r="E146" s="307" t="s">
        <v>423</v>
      </c>
      <c r="F146" s="302">
        <v>10</v>
      </c>
      <c r="G146" s="310">
        <f>COMPOSIÇÃO!H365</f>
        <v>234.98</v>
      </c>
      <c r="H146" s="318">
        <f t="shared" si="19"/>
        <v>301.33835199999999</v>
      </c>
      <c r="I146" s="304">
        <f t="shared" si="17"/>
        <v>3013.3835199999999</v>
      </c>
    </row>
    <row r="147" spans="1:9" s="305" customFormat="1" ht="34.5" customHeight="1">
      <c r="A147" s="300" t="s">
        <v>1</v>
      </c>
      <c r="B147" s="300">
        <v>34</v>
      </c>
      <c r="C147" s="307" t="s">
        <v>881</v>
      </c>
      <c r="D147" s="306" t="s">
        <v>73</v>
      </c>
      <c r="E147" s="300" t="s">
        <v>29</v>
      </c>
      <c r="F147" s="302" t="s">
        <v>92</v>
      </c>
      <c r="G147" s="303">
        <f>COMPOSIÇÃO!H372</f>
        <v>127.91499999999999</v>
      </c>
      <c r="H147" s="318">
        <f t="shared" si="19"/>
        <v>164.038196</v>
      </c>
      <c r="I147" s="304">
        <f t="shared" si="17"/>
        <v>3280.7639199999999</v>
      </c>
    </row>
    <row r="148" spans="1:9" s="305" customFormat="1" ht="27" customHeight="1">
      <c r="A148" s="300" t="s">
        <v>0</v>
      </c>
      <c r="B148" s="299">
        <v>86906</v>
      </c>
      <c r="C148" s="307" t="s">
        <v>882</v>
      </c>
      <c r="D148" s="306" t="s">
        <v>433</v>
      </c>
      <c r="E148" s="300" t="s">
        <v>29</v>
      </c>
      <c r="F148" s="302" t="s">
        <v>76</v>
      </c>
      <c r="G148" s="303">
        <v>47.37</v>
      </c>
      <c r="H148" s="318">
        <f t="shared" si="19"/>
        <v>60.747287999999998</v>
      </c>
      <c r="I148" s="304">
        <f t="shared" si="17"/>
        <v>303.73644000000002</v>
      </c>
    </row>
    <row r="149" spans="1:9" s="305" customFormat="1" ht="36.75" customHeight="1">
      <c r="A149" s="300" t="s">
        <v>1</v>
      </c>
      <c r="B149" s="300">
        <v>34</v>
      </c>
      <c r="C149" s="307" t="s">
        <v>883</v>
      </c>
      <c r="D149" s="306" t="s">
        <v>74</v>
      </c>
      <c r="E149" s="300" t="s">
        <v>29</v>
      </c>
      <c r="F149" s="302" t="s">
        <v>109</v>
      </c>
      <c r="G149" s="310">
        <f>G147</f>
        <v>127.91499999999999</v>
      </c>
      <c r="H149" s="318">
        <f t="shared" si="19"/>
        <v>164.038196</v>
      </c>
      <c r="I149" s="304">
        <f t="shared" si="17"/>
        <v>2132.4965480000001</v>
      </c>
    </row>
    <row r="150" spans="1:9" s="305" customFormat="1" ht="25.5">
      <c r="A150" s="299" t="s">
        <v>0</v>
      </c>
      <c r="B150" s="299" t="s">
        <v>64</v>
      </c>
      <c r="C150" s="307" t="s">
        <v>884</v>
      </c>
      <c r="D150" s="306" t="s">
        <v>394</v>
      </c>
      <c r="E150" s="300" t="s">
        <v>29</v>
      </c>
      <c r="F150" s="302" t="s">
        <v>58</v>
      </c>
      <c r="G150" s="303">
        <v>66.599999999999994</v>
      </c>
      <c r="H150" s="318">
        <f t="shared" si="19"/>
        <v>85.407839999999993</v>
      </c>
      <c r="I150" s="304">
        <f t="shared" si="17"/>
        <v>256.22352000000001</v>
      </c>
    </row>
    <row r="151" spans="1:9" ht="20.25" customHeight="1">
      <c r="A151" s="410"/>
      <c r="B151" s="410"/>
      <c r="C151" s="410"/>
      <c r="D151" s="416" t="s">
        <v>83</v>
      </c>
      <c r="E151" s="410"/>
      <c r="F151" s="413"/>
      <c r="G151" s="419"/>
      <c r="H151" s="418"/>
      <c r="I151" s="415"/>
    </row>
    <row r="152" spans="1:9" s="305" customFormat="1" ht="38.25">
      <c r="A152" s="300" t="s">
        <v>0</v>
      </c>
      <c r="B152" s="300">
        <v>89985</v>
      </c>
      <c r="C152" s="307" t="s">
        <v>885</v>
      </c>
      <c r="D152" s="308" t="s">
        <v>432</v>
      </c>
      <c r="E152" s="300" t="s">
        <v>29</v>
      </c>
      <c r="F152" s="302" t="s">
        <v>58</v>
      </c>
      <c r="G152" s="303">
        <v>46.25</v>
      </c>
      <c r="H152" s="318">
        <f t="shared" si="19"/>
        <v>59.311</v>
      </c>
      <c r="I152" s="304">
        <f t="shared" ref="I152:I158" si="22">H152*F152</f>
        <v>177.93299999999999</v>
      </c>
    </row>
    <row r="153" spans="1:9" s="305" customFormat="1" ht="18" customHeight="1">
      <c r="A153" s="300" t="s">
        <v>0</v>
      </c>
      <c r="B153" s="300" t="s">
        <v>81</v>
      </c>
      <c r="C153" s="307" t="s">
        <v>886</v>
      </c>
      <c r="D153" s="312" t="s">
        <v>395</v>
      </c>
      <c r="E153" s="300" t="s">
        <v>29</v>
      </c>
      <c r="F153" s="302" t="s">
        <v>78</v>
      </c>
      <c r="G153" s="303">
        <v>151.07</v>
      </c>
      <c r="H153" s="318">
        <f t="shared" si="19"/>
        <v>193.732168</v>
      </c>
      <c r="I153" s="304">
        <f t="shared" si="22"/>
        <v>1743.589512</v>
      </c>
    </row>
    <row r="154" spans="1:9" s="305" customFormat="1" ht="38.25">
      <c r="A154" s="313" t="s">
        <v>0</v>
      </c>
      <c r="B154" s="300">
        <v>89987</v>
      </c>
      <c r="C154" s="307" t="s">
        <v>887</v>
      </c>
      <c r="D154" s="314" t="s">
        <v>210</v>
      </c>
      <c r="E154" s="300" t="s">
        <v>29</v>
      </c>
      <c r="F154" s="302" t="s">
        <v>55</v>
      </c>
      <c r="G154" s="303">
        <v>48.46</v>
      </c>
      <c r="H154" s="318">
        <f t="shared" si="19"/>
        <v>62.145104000000003</v>
      </c>
      <c r="I154" s="304">
        <f t="shared" si="22"/>
        <v>1429.3373920000001</v>
      </c>
    </row>
    <row r="155" spans="1:9" s="305" customFormat="1">
      <c r="A155" s="300" t="s">
        <v>1</v>
      </c>
      <c r="B155" s="315">
        <v>35</v>
      </c>
      <c r="C155" s="307" t="s">
        <v>888</v>
      </c>
      <c r="D155" s="312" t="s">
        <v>211</v>
      </c>
      <c r="E155" s="300" t="s">
        <v>29</v>
      </c>
      <c r="F155" s="302" t="s">
        <v>56</v>
      </c>
      <c r="G155" s="303">
        <f>COMPOSIÇÃO!H385</f>
        <v>1853.9407000000001</v>
      </c>
      <c r="H155" s="318">
        <f t="shared" si="19"/>
        <v>2377.4935536800003</v>
      </c>
      <c r="I155" s="304">
        <f t="shared" si="22"/>
        <v>4754.9871073600007</v>
      </c>
    </row>
    <row r="156" spans="1:9" s="305" customFormat="1" ht="25.5">
      <c r="A156" s="316" t="s">
        <v>0</v>
      </c>
      <c r="B156" s="300">
        <v>94796</v>
      </c>
      <c r="C156" s="307" t="s">
        <v>889</v>
      </c>
      <c r="D156" s="314" t="s">
        <v>212</v>
      </c>
      <c r="E156" s="300" t="s">
        <v>29</v>
      </c>
      <c r="F156" s="302" t="s">
        <v>33</v>
      </c>
      <c r="G156" s="303">
        <v>34.49</v>
      </c>
      <c r="H156" s="318">
        <f t="shared" si="19"/>
        <v>44.229976000000001</v>
      </c>
      <c r="I156" s="304">
        <f t="shared" si="22"/>
        <v>44.229976000000001</v>
      </c>
    </row>
    <row r="157" spans="1:9" s="305" customFormat="1" ht="25.5">
      <c r="A157" s="300" t="s">
        <v>0</v>
      </c>
      <c r="B157" s="300">
        <v>89353</v>
      </c>
      <c r="C157" s="307" t="s">
        <v>890</v>
      </c>
      <c r="D157" s="314" t="s">
        <v>213</v>
      </c>
      <c r="E157" s="300" t="s">
        <v>29</v>
      </c>
      <c r="F157" s="302" t="s">
        <v>56</v>
      </c>
      <c r="G157" s="303">
        <v>23.09</v>
      </c>
      <c r="H157" s="318">
        <f t="shared" si="19"/>
        <v>29.610616</v>
      </c>
      <c r="I157" s="304">
        <f t="shared" si="22"/>
        <v>59.221232000000001</v>
      </c>
    </row>
    <row r="158" spans="1:9" s="305" customFormat="1" ht="38.25" customHeight="1">
      <c r="A158" s="300" t="s">
        <v>0</v>
      </c>
      <c r="B158" s="300">
        <v>89482</v>
      </c>
      <c r="C158" s="307" t="s">
        <v>891</v>
      </c>
      <c r="D158" s="314" t="s">
        <v>214</v>
      </c>
      <c r="E158" s="300" t="s">
        <v>29</v>
      </c>
      <c r="F158" s="302" t="s">
        <v>77</v>
      </c>
      <c r="G158" s="303">
        <v>16.23</v>
      </c>
      <c r="H158" s="318">
        <f t="shared" si="19"/>
        <v>20.813352000000002</v>
      </c>
      <c r="I158" s="304">
        <f t="shared" si="22"/>
        <v>249.76022400000002</v>
      </c>
    </row>
    <row r="159" spans="1:9" ht="18" customHeight="1">
      <c r="A159" s="410"/>
      <c r="B159" s="410"/>
      <c r="C159" s="410"/>
      <c r="D159" s="416" t="s">
        <v>530</v>
      </c>
      <c r="E159" s="410"/>
      <c r="F159" s="413"/>
      <c r="G159" s="419"/>
      <c r="H159" s="418"/>
      <c r="I159" s="415"/>
    </row>
    <row r="160" spans="1:9" s="305" customFormat="1">
      <c r="A160" s="300" t="s">
        <v>1</v>
      </c>
      <c r="B160" s="300">
        <v>36</v>
      </c>
      <c r="C160" s="307" t="s">
        <v>892</v>
      </c>
      <c r="D160" s="306" t="s">
        <v>84</v>
      </c>
      <c r="E160" s="300" t="s">
        <v>53</v>
      </c>
      <c r="F160" s="302" t="s">
        <v>105</v>
      </c>
      <c r="G160" s="310">
        <f>COMPOSIÇÃO!H395</f>
        <v>110.20999999999998</v>
      </c>
      <c r="H160" s="318">
        <f t="shared" si="19"/>
        <v>141.33330399999997</v>
      </c>
      <c r="I160" s="304">
        <f>H160*F160</f>
        <v>6218.665375999999</v>
      </c>
    </row>
    <row r="161" spans="1:9" s="305" customFormat="1">
      <c r="A161" s="307" t="s">
        <v>1</v>
      </c>
      <c r="B161" s="300">
        <v>37</v>
      </c>
      <c r="C161" s="307" t="s">
        <v>893</v>
      </c>
      <c r="D161" s="306" t="s">
        <v>85</v>
      </c>
      <c r="E161" s="300" t="s">
        <v>29</v>
      </c>
      <c r="F161" s="302" t="s">
        <v>78</v>
      </c>
      <c r="G161" s="310">
        <f>COMPOSIÇÃO!H405</f>
        <v>135.48999999999998</v>
      </c>
      <c r="H161" s="318">
        <f t="shared" si="19"/>
        <v>173.75237599999997</v>
      </c>
      <c r="I161" s="304">
        <f>H161*F161</f>
        <v>1563.7713839999997</v>
      </c>
    </row>
    <row r="162" spans="1:9" s="305" customFormat="1">
      <c r="A162" s="300" t="s">
        <v>1</v>
      </c>
      <c r="B162" s="300">
        <v>38</v>
      </c>
      <c r="C162" s="307" t="s">
        <v>894</v>
      </c>
      <c r="D162" s="306" t="s">
        <v>86</v>
      </c>
      <c r="E162" s="300" t="s">
        <v>29</v>
      </c>
      <c r="F162" s="302" t="s">
        <v>105</v>
      </c>
      <c r="G162" s="310">
        <f>COMPOSIÇÃO!H415</f>
        <v>152.46499999999997</v>
      </c>
      <c r="H162" s="318">
        <f t="shared" si="19"/>
        <v>195.52111599999998</v>
      </c>
      <c r="I162" s="304">
        <f>H162*F162</f>
        <v>8602.9291039999989</v>
      </c>
    </row>
    <row r="163" spans="1:9" s="305" customFormat="1">
      <c r="A163" s="300" t="s">
        <v>1</v>
      </c>
      <c r="B163" s="300">
        <v>39</v>
      </c>
      <c r="C163" s="307" t="s">
        <v>895</v>
      </c>
      <c r="D163" s="306" t="s">
        <v>87</v>
      </c>
      <c r="E163" s="300" t="s">
        <v>53</v>
      </c>
      <c r="F163" s="302" t="s">
        <v>78</v>
      </c>
      <c r="G163" s="310">
        <f>COMPOSIÇÃO!H425</f>
        <v>189.26500000000001</v>
      </c>
      <c r="H163" s="318">
        <f t="shared" si="19"/>
        <v>242.71343600000003</v>
      </c>
      <c r="I163" s="304">
        <f>H163*F163</f>
        <v>2184.4209240000005</v>
      </c>
    </row>
    <row r="164" spans="1:9" ht="15.75">
      <c r="A164" s="410"/>
      <c r="B164" s="410"/>
      <c r="C164" s="407"/>
      <c r="D164" s="416" t="s">
        <v>88</v>
      </c>
      <c r="E164" s="410"/>
      <c r="F164" s="413"/>
      <c r="G164" s="419"/>
      <c r="H164" s="418"/>
      <c r="I164" s="415"/>
    </row>
    <row r="165" spans="1:9" s="305" customFormat="1" ht="63.75">
      <c r="A165" s="300" t="s">
        <v>0</v>
      </c>
      <c r="B165" s="299" t="s">
        <v>82</v>
      </c>
      <c r="C165" s="307" t="s">
        <v>896</v>
      </c>
      <c r="D165" s="301" t="s">
        <v>111</v>
      </c>
      <c r="E165" s="300" t="s">
        <v>29</v>
      </c>
      <c r="F165" s="302" t="s">
        <v>55</v>
      </c>
      <c r="G165" s="303">
        <v>140.41</v>
      </c>
      <c r="H165" s="318">
        <f t="shared" si="19"/>
        <v>180.06178399999999</v>
      </c>
      <c r="I165" s="304">
        <f>H165*F165</f>
        <v>4141.4210320000002</v>
      </c>
    </row>
    <row r="166" spans="1:9" s="305" customFormat="1" ht="19.5" customHeight="1">
      <c r="A166" s="300" t="s">
        <v>0</v>
      </c>
      <c r="B166" s="299">
        <v>83670</v>
      </c>
      <c r="C166" s="307" t="s">
        <v>897</v>
      </c>
      <c r="D166" s="306" t="s">
        <v>396</v>
      </c>
      <c r="E166" s="300" t="s">
        <v>31</v>
      </c>
      <c r="F166" s="302" t="s">
        <v>93</v>
      </c>
      <c r="G166" s="303">
        <v>44.51</v>
      </c>
      <c r="H166" s="318">
        <f t="shared" si="19"/>
        <v>57.079623999999995</v>
      </c>
      <c r="I166" s="304">
        <f>H166*F166</f>
        <v>2169.0257119999997</v>
      </c>
    </row>
    <row r="167" spans="1:9" s="305" customFormat="1" ht="38.25">
      <c r="A167" s="300" t="s">
        <v>0</v>
      </c>
      <c r="B167" s="299">
        <v>89714</v>
      </c>
      <c r="C167" s="307" t="s">
        <v>898</v>
      </c>
      <c r="D167" s="306" t="s">
        <v>397</v>
      </c>
      <c r="E167" s="300" t="s">
        <v>31</v>
      </c>
      <c r="F167" s="302" t="s">
        <v>112</v>
      </c>
      <c r="G167" s="303">
        <v>37.770000000000003</v>
      </c>
      <c r="H167" s="318">
        <f t="shared" si="19"/>
        <v>48.436248000000006</v>
      </c>
      <c r="I167" s="304">
        <f>H167*F167</f>
        <v>9687.249600000001</v>
      </c>
    </row>
    <row r="168" spans="1:9" ht="15.75">
      <c r="A168" s="410"/>
      <c r="B168" s="410"/>
      <c r="C168" s="407"/>
      <c r="D168" s="416" t="s">
        <v>474</v>
      </c>
      <c r="E168" s="410"/>
      <c r="F168" s="413"/>
      <c r="G168" s="419"/>
      <c r="H168" s="418"/>
      <c r="I168" s="415"/>
    </row>
    <row r="169" spans="1:9" s="305" customFormat="1">
      <c r="A169" s="307" t="s">
        <v>0</v>
      </c>
      <c r="B169" s="299">
        <v>93358</v>
      </c>
      <c r="C169" s="307" t="s">
        <v>899</v>
      </c>
      <c r="D169" s="306" t="s">
        <v>475</v>
      </c>
      <c r="E169" s="307" t="s">
        <v>30</v>
      </c>
      <c r="F169" s="302">
        <v>34.39</v>
      </c>
      <c r="G169" s="303">
        <v>60.36</v>
      </c>
      <c r="H169" s="318">
        <f t="shared" si="19"/>
        <v>77.405664000000002</v>
      </c>
      <c r="I169" s="304">
        <f t="shared" ref="I169:I183" si="23">H169*F169</f>
        <v>2661.9807849600002</v>
      </c>
    </row>
    <row r="170" spans="1:9" s="305" customFormat="1" ht="38.25">
      <c r="A170" s="307" t="s">
        <v>0</v>
      </c>
      <c r="B170" s="299">
        <v>94099</v>
      </c>
      <c r="C170" s="307" t="s">
        <v>900</v>
      </c>
      <c r="D170" s="306" t="s">
        <v>476</v>
      </c>
      <c r="E170" s="307" t="s">
        <v>28</v>
      </c>
      <c r="F170" s="302">
        <v>10.92</v>
      </c>
      <c r="G170" s="303">
        <v>2.2799999999999998</v>
      </c>
      <c r="H170" s="318">
        <f t="shared" si="19"/>
        <v>2.9238719999999998</v>
      </c>
      <c r="I170" s="304">
        <f t="shared" si="23"/>
        <v>31.928682239999997</v>
      </c>
    </row>
    <row r="171" spans="1:9" s="305" customFormat="1">
      <c r="A171" s="307" t="s">
        <v>0</v>
      </c>
      <c r="B171" s="311" t="s">
        <v>477</v>
      </c>
      <c r="C171" s="307" t="s">
        <v>901</v>
      </c>
      <c r="D171" s="306" t="s">
        <v>478</v>
      </c>
      <c r="E171" s="307" t="s">
        <v>30</v>
      </c>
      <c r="F171" s="302">
        <v>15.49</v>
      </c>
      <c r="G171" s="303">
        <v>45.78</v>
      </c>
      <c r="H171" s="318">
        <f t="shared" si="19"/>
        <v>58.708272000000001</v>
      </c>
      <c r="I171" s="304">
        <f t="shared" si="23"/>
        <v>909.39113328000008</v>
      </c>
    </row>
    <row r="172" spans="1:9" s="305" customFormat="1" ht="38.25">
      <c r="A172" s="307" t="s">
        <v>0</v>
      </c>
      <c r="B172" s="299">
        <v>72131</v>
      </c>
      <c r="C172" s="307" t="s">
        <v>902</v>
      </c>
      <c r="D172" s="306" t="s">
        <v>479</v>
      </c>
      <c r="E172" s="307" t="s">
        <v>28</v>
      </c>
      <c r="F172" s="302">
        <v>23.4</v>
      </c>
      <c r="G172" s="303">
        <v>119.99</v>
      </c>
      <c r="H172" s="318">
        <f t="shared" si="19"/>
        <v>153.87517599999998</v>
      </c>
      <c r="I172" s="304">
        <f t="shared" si="23"/>
        <v>3600.6791183999994</v>
      </c>
    </row>
    <row r="173" spans="1:9" s="305" customFormat="1" ht="38.25">
      <c r="A173" s="307" t="s">
        <v>0</v>
      </c>
      <c r="B173" s="299">
        <v>72132</v>
      </c>
      <c r="C173" s="307" t="s">
        <v>903</v>
      </c>
      <c r="D173" s="306" t="s">
        <v>480</v>
      </c>
      <c r="E173" s="307" t="s">
        <v>28</v>
      </c>
      <c r="F173" s="302">
        <v>3.6</v>
      </c>
      <c r="G173" s="303">
        <v>61.95</v>
      </c>
      <c r="H173" s="318">
        <f t="shared" si="19"/>
        <v>79.444680000000005</v>
      </c>
      <c r="I173" s="304">
        <f t="shared" si="23"/>
        <v>286.00084800000002</v>
      </c>
    </row>
    <row r="174" spans="1:9" s="305" customFormat="1" ht="38.25">
      <c r="A174" s="307" t="s">
        <v>0</v>
      </c>
      <c r="B174" s="299">
        <v>94965</v>
      </c>
      <c r="C174" s="307" t="s">
        <v>904</v>
      </c>
      <c r="D174" s="306" t="s">
        <v>481</v>
      </c>
      <c r="E174" s="307" t="s">
        <v>30</v>
      </c>
      <c r="F174" s="302">
        <v>1.81</v>
      </c>
      <c r="G174" s="303">
        <v>309.83</v>
      </c>
      <c r="H174" s="318">
        <f t="shared" si="19"/>
        <v>397.32599199999999</v>
      </c>
      <c r="I174" s="304">
        <f t="shared" si="23"/>
        <v>719.16004552000004</v>
      </c>
    </row>
    <row r="175" spans="1:9" s="305" customFormat="1" ht="25.5">
      <c r="A175" s="307" t="s">
        <v>0</v>
      </c>
      <c r="B175" s="299">
        <v>6087</v>
      </c>
      <c r="C175" s="307" t="s">
        <v>905</v>
      </c>
      <c r="D175" s="306" t="s">
        <v>482</v>
      </c>
      <c r="E175" s="307" t="s">
        <v>29</v>
      </c>
      <c r="F175" s="302">
        <v>2</v>
      </c>
      <c r="G175" s="303">
        <v>21.47</v>
      </c>
      <c r="H175" s="318">
        <f t="shared" si="19"/>
        <v>27.533127999999998</v>
      </c>
      <c r="I175" s="304">
        <f t="shared" si="23"/>
        <v>55.066255999999996</v>
      </c>
    </row>
    <row r="176" spans="1:9" s="305" customFormat="1" ht="25.5">
      <c r="A176" s="307" t="s">
        <v>0</v>
      </c>
      <c r="B176" s="299">
        <v>85662</v>
      </c>
      <c r="C176" s="307" t="s">
        <v>906</v>
      </c>
      <c r="D176" s="306" t="s">
        <v>483</v>
      </c>
      <c r="E176" s="307" t="s">
        <v>28</v>
      </c>
      <c r="F176" s="302">
        <v>10.92</v>
      </c>
      <c r="G176" s="303">
        <v>11.27</v>
      </c>
      <c r="H176" s="318">
        <f t="shared" si="19"/>
        <v>14.452648</v>
      </c>
      <c r="I176" s="304">
        <f t="shared" si="23"/>
        <v>157.82291616000001</v>
      </c>
    </row>
    <row r="177" spans="1:9" s="305" customFormat="1" ht="38.25">
      <c r="A177" s="307" t="s">
        <v>0</v>
      </c>
      <c r="B177" s="299">
        <v>87878</v>
      </c>
      <c r="C177" s="307" t="s">
        <v>907</v>
      </c>
      <c r="D177" s="306" t="s">
        <v>484</v>
      </c>
      <c r="E177" s="307" t="s">
        <v>28</v>
      </c>
      <c r="F177" s="302">
        <v>26.4</v>
      </c>
      <c r="G177" s="303">
        <v>3.19</v>
      </c>
      <c r="H177" s="318">
        <f t="shared" si="19"/>
        <v>4.0908559999999996</v>
      </c>
      <c r="I177" s="304">
        <f t="shared" si="23"/>
        <v>107.99859839999998</v>
      </c>
    </row>
    <row r="178" spans="1:9" s="305" customFormat="1" ht="63.75">
      <c r="A178" s="307" t="s">
        <v>0</v>
      </c>
      <c r="B178" s="299">
        <v>87527</v>
      </c>
      <c r="C178" s="307" t="s">
        <v>908</v>
      </c>
      <c r="D178" s="306" t="s">
        <v>485</v>
      </c>
      <c r="E178" s="307" t="s">
        <v>28</v>
      </c>
      <c r="F178" s="302">
        <v>26.4</v>
      </c>
      <c r="G178" s="303">
        <v>27.52</v>
      </c>
      <c r="H178" s="318">
        <f t="shared" si="19"/>
        <v>35.291648000000002</v>
      </c>
      <c r="I178" s="304">
        <f t="shared" si="23"/>
        <v>931.69950719999997</v>
      </c>
    </row>
    <row r="179" spans="1:9" s="305" customFormat="1" ht="38.25">
      <c r="A179" s="307" t="s">
        <v>0</v>
      </c>
      <c r="B179" s="311" t="s">
        <v>487</v>
      </c>
      <c r="C179" s="307" t="s">
        <v>909</v>
      </c>
      <c r="D179" s="306" t="s">
        <v>486</v>
      </c>
      <c r="E179" s="307" t="s">
        <v>28</v>
      </c>
      <c r="F179" s="302">
        <v>26.72</v>
      </c>
      <c r="G179" s="303">
        <v>56.51</v>
      </c>
      <c r="H179" s="318">
        <f t="shared" si="19"/>
        <v>72.468423999999999</v>
      </c>
      <c r="I179" s="304">
        <f t="shared" si="23"/>
        <v>1936.3562892799998</v>
      </c>
    </row>
    <row r="180" spans="1:9" s="305" customFormat="1" ht="38.25">
      <c r="A180" s="307" t="s">
        <v>0</v>
      </c>
      <c r="B180" s="299">
        <v>89714</v>
      </c>
      <c r="C180" s="307" t="s">
        <v>910</v>
      </c>
      <c r="D180" s="306" t="s">
        <v>488</v>
      </c>
      <c r="E180" s="307" t="s">
        <v>31</v>
      </c>
      <c r="F180" s="302">
        <v>5.12</v>
      </c>
      <c r="G180" s="303">
        <v>37.770000000000003</v>
      </c>
      <c r="H180" s="318">
        <f t="shared" si="19"/>
        <v>48.436248000000006</v>
      </c>
      <c r="I180" s="304">
        <f t="shared" si="23"/>
        <v>247.99358976000005</v>
      </c>
    </row>
    <row r="181" spans="1:9" s="305" customFormat="1" ht="38.25">
      <c r="A181" s="307" t="s">
        <v>0</v>
      </c>
      <c r="B181" s="299">
        <v>89796</v>
      </c>
      <c r="C181" s="307" t="s">
        <v>911</v>
      </c>
      <c r="D181" s="306" t="s">
        <v>489</v>
      </c>
      <c r="E181" s="307" t="s">
        <v>29</v>
      </c>
      <c r="F181" s="302">
        <v>2</v>
      </c>
      <c r="G181" s="303">
        <v>27.79</v>
      </c>
      <c r="H181" s="318">
        <f t="shared" si="19"/>
        <v>35.637895999999998</v>
      </c>
      <c r="I181" s="304">
        <f t="shared" si="23"/>
        <v>71.275791999999996</v>
      </c>
    </row>
    <row r="182" spans="1:9" s="305" customFormat="1" ht="25.5">
      <c r="A182" s="307" t="s">
        <v>0</v>
      </c>
      <c r="B182" s="311" t="s">
        <v>491</v>
      </c>
      <c r="C182" s="307" t="s">
        <v>912</v>
      </c>
      <c r="D182" s="306" t="s">
        <v>490</v>
      </c>
      <c r="E182" s="307" t="s">
        <v>28</v>
      </c>
      <c r="F182" s="302">
        <v>8.32</v>
      </c>
      <c r="G182" s="303">
        <v>34.659999999999997</v>
      </c>
      <c r="H182" s="318">
        <f t="shared" si="19"/>
        <v>44.447983999999998</v>
      </c>
      <c r="I182" s="304">
        <f t="shared" si="23"/>
        <v>369.80722687999997</v>
      </c>
    </row>
    <row r="183" spans="1:9" s="305" customFormat="1" ht="38.25">
      <c r="A183" s="307" t="s">
        <v>0</v>
      </c>
      <c r="B183" s="299">
        <v>92787</v>
      </c>
      <c r="C183" s="307" t="s">
        <v>913</v>
      </c>
      <c r="D183" s="306" t="s">
        <v>492</v>
      </c>
      <c r="E183" s="307" t="s">
        <v>32</v>
      </c>
      <c r="F183" s="302">
        <v>54</v>
      </c>
      <c r="G183" s="303">
        <v>6.39</v>
      </c>
      <c r="H183" s="318">
        <f t="shared" si="19"/>
        <v>8.1945359999999994</v>
      </c>
      <c r="I183" s="304">
        <f t="shared" si="23"/>
        <v>442.50494399999997</v>
      </c>
    </row>
    <row r="184" spans="1:9" ht="15.75">
      <c r="A184" s="410"/>
      <c r="B184" s="410"/>
      <c r="C184" s="410"/>
      <c r="D184" s="416" t="s">
        <v>493</v>
      </c>
      <c r="E184" s="410"/>
      <c r="F184" s="413"/>
      <c r="G184" s="419"/>
      <c r="H184" s="418"/>
      <c r="I184" s="415"/>
    </row>
    <row r="185" spans="1:9" s="305" customFormat="1">
      <c r="A185" s="307" t="s">
        <v>0</v>
      </c>
      <c r="B185" s="299">
        <v>93358</v>
      </c>
      <c r="C185" s="307" t="s">
        <v>914</v>
      </c>
      <c r="D185" s="306" t="s">
        <v>475</v>
      </c>
      <c r="E185" s="307" t="s">
        <v>30</v>
      </c>
      <c r="F185" s="302">
        <v>2.59</v>
      </c>
      <c r="G185" s="303">
        <v>60.36</v>
      </c>
      <c r="H185" s="318">
        <f t="shared" si="19"/>
        <v>77.405664000000002</v>
      </c>
      <c r="I185" s="304">
        <f t="shared" ref="I185:I197" si="24">H185*F185</f>
        <v>200.48066975999998</v>
      </c>
    </row>
    <row r="186" spans="1:9" s="305" customFormat="1" ht="38.25">
      <c r="A186" s="307" t="s">
        <v>0</v>
      </c>
      <c r="B186" s="299">
        <v>94099</v>
      </c>
      <c r="C186" s="307" t="s">
        <v>915</v>
      </c>
      <c r="D186" s="306" t="s">
        <v>476</v>
      </c>
      <c r="E186" s="307" t="s">
        <v>28</v>
      </c>
      <c r="F186" s="302">
        <v>1.32</v>
      </c>
      <c r="G186" s="303">
        <v>2.2799999999999998</v>
      </c>
      <c r="H186" s="318">
        <f t="shared" si="19"/>
        <v>2.9238719999999998</v>
      </c>
      <c r="I186" s="304">
        <f t="shared" si="24"/>
        <v>3.8595110400000001</v>
      </c>
    </row>
    <row r="187" spans="1:9" s="305" customFormat="1" ht="38.25">
      <c r="A187" s="307" t="s">
        <v>0</v>
      </c>
      <c r="B187" s="299">
        <v>72131</v>
      </c>
      <c r="C187" s="307" t="s">
        <v>916</v>
      </c>
      <c r="D187" s="306" t="s">
        <v>479</v>
      </c>
      <c r="E187" s="307" t="s">
        <v>28</v>
      </c>
      <c r="F187" s="302">
        <v>6.14</v>
      </c>
      <c r="G187" s="303">
        <v>119.99</v>
      </c>
      <c r="H187" s="318">
        <f t="shared" si="19"/>
        <v>153.87517599999998</v>
      </c>
      <c r="I187" s="304">
        <f t="shared" si="24"/>
        <v>944.79358063999985</v>
      </c>
    </row>
    <row r="188" spans="1:9" s="305" customFormat="1" ht="33" customHeight="1">
      <c r="A188" s="307" t="s">
        <v>0</v>
      </c>
      <c r="B188" s="299">
        <v>94965</v>
      </c>
      <c r="C188" s="307" t="s">
        <v>917</v>
      </c>
      <c r="D188" s="306" t="s">
        <v>481</v>
      </c>
      <c r="E188" s="307" t="s">
        <v>30</v>
      </c>
      <c r="F188" s="302">
        <v>0.4</v>
      </c>
      <c r="G188" s="303">
        <v>309.83</v>
      </c>
      <c r="H188" s="318">
        <f t="shared" si="19"/>
        <v>397.32599199999999</v>
      </c>
      <c r="I188" s="304">
        <f t="shared" si="24"/>
        <v>158.93039680000001</v>
      </c>
    </row>
    <row r="189" spans="1:9" s="305" customFormat="1" ht="25.5">
      <c r="A189" s="307" t="s">
        <v>0</v>
      </c>
      <c r="B189" s="299">
        <v>6087</v>
      </c>
      <c r="C189" s="307" t="s">
        <v>918</v>
      </c>
      <c r="D189" s="306" t="s">
        <v>501</v>
      </c>
      <c r="E189" s="307" t="s">
        <v>29</v>
      </c>
      <c r="F189" s="302">
        <v>1</v>
      </c>
      <c r="G189" s="303">
        <v>21.47</v>
      </c>
      <c r="H189" s="318">
        <f t="shared" si="19"/>
        <v>27.533127999999998</v>
      </c>
      <c r="I189" s="304">
        <f t="shared" si="24"/>
        <v>27.533127999999998</v>
      </c>
    </row>
    <row r="190" spans="1:9" s="305" customFormat="1" ht="33" customHeight="1">
      <c r="A190" s="307" t="s">
        <v>0</v>
      </c>
      <c r="B190" s="299">
        <v>85662</v>
      </c>
      <c r="C190" s="307" t="s">
        <v>919</v>
      </c>
      <c r="D190" s="306" t="s">
        <v>483</v>
      </c>
      <c r="E190" s="307" t="s">
        <v>28</v>
      </c>
      <c r="F190" s="302">
        <v>2.64</v>
      </c>
      <c r="G190" s="303">
        <v>11.27</v>
      </c>
      <c r="H190" s="318">
        <f t="shared" si="19"/>
        <v>14.452648</v>
      </c>
      <c r="I190" s="304">
        <f t="shared" si="24"/>
        <v>38.154990720000001</v>
      </c>
    </row>
    <row r="191" spans="1:9" s="305" customFormat="1" ht="38.25">
      <c r="A191" s="307" t="s">
        <v>0</v>
      </c>
      <c r="B191" s="299">
        <v>87878</v>
      </c>
      <c r="C191" s="307" t="s">
        <v>920</v>
      </c>
      <c r="D191" s="306" t="s">
        <v>484</v>
      </c>
      <c r="E191" s="307" t="s">
        <v>28</v>
      </c>
      <c r="F191" s="302">
        <v>6.14</v>
      </c>
      <c r="G191" s="303">
        <v>3.19</v>
      </c>
      <c r="H191" s="318">
        <f t="shared" si="19"/>
        <v>4.0908559999999996</v>
      </c>
      <c r="I191" s="304">
        <f t="shared" si="24"/>
        <v>25.117855839999997</v>
      </c>
    </row>
    <row r="192" spans="1:9" s="305" customFormat="1" ht="63.75">
      <c r="A192" s="307" t="s">
        <v>0</v>
      </c>
      <c r="B192" s="299">
        <v>87527</v>
      </c>
      <c r="C192" s="307" t="s">
        <v>921</v>
      </c>
      <c r="D192" s="306" t="s">
        <v>485</v>
      </c>
      <c r="E192" s="307" t="s">
        <v>28</v>
      </c>
      <c r="F192" s="302">
        <v>6.14</v>
      </c>
      <c r="G192" s="303">
        <v>27.52</v>
      </c>
      <c r="H192" s="318">
        <f t="shared" si="19"/>
        <v>35.291648000000002</v>
      </c>
      <c r="I192" s="304">
        <f t="shared" si="24"/>
        <v>216.69071872000001</v>
      </c>
    </row>
    <row r="193" spans="1:9" s="305" customFormat="1" ht="33" customHeight="1">
      <c r="A193" s="307" t="s">
        <v>0</v>
      </c>
      <c r="B193" s="311" t="s">
        <v>487</v>
      </c>
      <c r="C193" s="307" t="s">
        <v>922</v>
      </c>
      <c r="D193" s="306" t="s">
        <v>486</v>
      </c>
      <c r="E193" s="307" t="s">
        <v>28</v>
      </c>
      <c r="F193" s="302">
        <v>8.7799999999999994</v>
      </c>
      <c r="G193" s="303">
        <v>56.51</v>
      </c>
      <c r="H193" s="318">
        <f t="shared" si="19"/>
        <v>72.468423999999999</v>
      </c>
      <c r="I193" s="304">
        <f t="shared" si="24"/>
        <v>636.27276271999995</v>
      </c>
    </row>
    <row r="194" spans="1:9" s="305" customFormat="1" ht="38.25">
      <c r="A194" s="307" t="s">
        <v>0</v>
      </c>
      <c r="B194" s="299">
        <v>89714</v>
      </c>
      <c r="C194" s="307" t="s">
        <v>923</v>
      </c>
      <c r="D194" s="306" t="s">
        <v>488</v>
      </c>
      <c r="E194" s="307" t="s">
        <v>31</v>
      </c>
      <c r="F194" s="302">
        <v>5.04</v>
      </c>
      <c r="G194" s="303">
        <v>37.770000000000003</v>
      </c>
      <c r="H194" s="318">
        <f t="shared" si="19"/>
        <v>48.436248000000006</v>
      </c>
      <c r="I194" s="304">
        <f t="shared" si="24"/>
        <v>244.11868992000004</v>
      </c>
    </row>
    <row r="195" spans="1:9" s="305" customFormat="1" ht="38.25">
      <c r="A195" s="307" t="s">
        <v>0</v>
      </c>
      <c r="B195" s="299">
        <v>89744</v>
      </c>
      <c r="C195" s="307" t="s">
        <v>924</v>
      </c>
      <c r="D195" s="306" t="s">
        <v>494</v>
      </c>
      <c r="E195" s="307" t="s">
        <v>29</v>
      </c>
      <c r="F195" s="302">
        <v>1</v>
      </c>
      <c r="G195" s="303">
        <v>17.170000000000002</v>
      </c>
      <c r="H195" s="318">
        <f t="shared" si="19"/>
        <v>22.018808000000003</v>
      </c>
      <c r="I195" s="304">
        <f t="shared" si="24"/>
        <v>22.018808000000003</v>
      </c>
    </row>
    <row r="196" spans="1:9" s="305" customFormat="1">
      <c r="A196" s="307" t="s">
        <v>0</v>
      </c>
      <c r="B196" s="311" t="s">
        <v>496</v>
      </c>
      <c r="C196" s="307" t="s">
        <v>925</v>
      </c>
      <c r="D196" s="306" t="s">
        <v>495</v>
      </c>
      <c r="E196" s="307" t="s">
        <v>30</v>
      </c>
      <c r="F196" s="302">
        <v>0.82</v>
      </c>
      <c r="G196" s="303">
        <v>142.44999999999999</v>
      </c>
      <c r="H196" s="318">
        <f t="shared" si="19"/>
        <v>182.67787999999999</v>
      </c>
      <c r="I196" s="304">
        <f t="shared" si="24"/>
        <v>149.79586159999999</v>
      </c>
    </row>
    <row r="197" spans="1:9" s="305" customFormat="1" ht="33" customHeight="1">
      <c r="A197" s="307" t="s">
        <v>0</v>
      </c>
      <c r="B197" s="311" t="s">
        <v>491</v>
      </c>
      <c r="C197" s="307" t="s">
        <v>926</v>
      </c>
      <c r="D197" s="306" t="s">
        <v>490</v>
      </c>
      <c r="E197" s="307" t="s">
        <v>28</v>
      </c>
      <c r="F197" s="302">
        <v>2.64</v>
      </c>
      <c r="G197" s="303">
        <v>34.659999999999997</v>
      </c>
      <c r="H197" s="318">
        <f t="shared" si="19"/>
        <v>44.447983999999998</v>
      </c>
      <c r="I197" s="304">
        <f t="shared" si="24"/>
        <v>117.34267776</v>
      </c>
    </row>
    <row r="198" spans="1:9" ht="14.25" customHeight="1">
      <c r="A198" s="410"/>
      <c r="B198" s="410"/>
      <c r="C198" s="410"/>
      <c r="D198" s="416" t="s">
        <v>497</v>
      </c>
      <c r="E198" s="410"/>
      <c r="F198" s="413"/>
      <c r="G198" s="419"/>
      <c r="H198" s="418"/>
      <c r="I198" s="415"/>
    </row>
    <row r="199" spans="1:9" s="305" customFormat="1">
      <c r="A199" s="307" t="s">
        <v>0</v>
      </c>
      <c r="B199" s="299">
        <v>93358</v>
      </c>
      <c r="C199" s="307" t="s">
        <v>927</v>
      </c>
      <c r="D199" s="306" t="s">
        <v>475</v>
      </c>
      <c r="E199" s="307" t="s">
        <v>30</v>
      </c>
      <c r="F199" s="302">
        <v>0.44</v>
      </c>
      <c r="G199" s="303">
        <v>60.36</v>
      </c>
      <c r="H199" s="318">
        <f t="shared" si="19"/>
        <v>77.405664000000002</v>
      </c>
      <c r="I199" s="304">
        <f t="shared" ref="I199:I205" si="25">H199*F199</f>
        <v>34.05849216</v>
      </c>
    </row>
    <row r="200" spans="1:9" s="305" customFormat="1" ht="38.25">
      <c r="A200" s="307" t="s">
        <v>0</v>
      </c>
      <c r="B200" s="299">
        <v>94099</v>
      </c>
      <c r="C200" s="307" t="s">
        <v>928</v>
      </c>
      <c r="D200" s="306" t="s">
        <v>476</v>
      </c>
      <c r="E200" s="307" t="s">
        <v>28</v>
      </c>
      <c r="F200" s="302">
        <v>0.66</v>
      </c>
      <c r="G200" s="303">
        <v>2.2799999999999998</v>
      </c>
      <c r="H200" s="318">
        <f t="shared" si="19"/>
        <v>2.9238719999999998</v>
      </c>
      <c r="I200" s="304">
        <f t="shared" si="25"/>
        <v>1.9297555200000001</v>
      </c>
    </row>
    <row r="201" spans="1:9" s="305" customFormat="1" ht="38.25">
      <c r="A201" s="307" t="s">
        <v>0</v>
      </c>
      <c r="B201" s="299">
        <v>72132</v>
      </c>
      <c r="C201" s="307" t="s">
        <v>929</v>
      </c>
      <c r="D201" s="306" t="s">
        <v>480</v>
      </c>
      <c r="E201" s="307" t="s">
        <v>28</v>
      </c>
      <c r="F201" s="302">
        <v>1.33</v>
      </c>
      <c r="G201" s="303">
        <v>61.95</v>
      </c>
      <c r="H201" s="318">
        <f t="shared" si="19"/>
        <v>79.444680000000005</v>
      </c>
      <c r="I201" s="304">
        <f t="shared" si="25"/>
        <v>105.66142440000002</v>
      </c>
    </row>
    <row r="202" spans="1:9" s="305" customFormat="1" ht="33" customHeight="1">
      <c r="A202" s="307" t="s">
        <v>0</v>
      </c>
      <c r="B202" s="299">
        <v>94965</v>
      </c>
      <c r="C202" s="307" t="s">
        <v>930</v>
      </c>
      <c r="D202" s="306" t="s">
        <v>481</v>
      </c>
      <c r="E202" s="307" t="s">
        <v>30</v>
      </c>
      <c r="F202" s="302">
        <v>0.15</v>
      </c>
      <c r="G202" s="303">
        <v>309.83</v>
      </c>
      <c r="H202" s="318">
        <f t="shared" si="19"/>
        <v>397.32599199999999</v>
      </c>
      <c r="I202" s="304">
        <f t="shared" si="25"/>
        <v>59.598898799999994</v>
      </c>
    </row>
    <row r="203" spans="1:9" s="305" customFormat="1" ht="38.25">
      <c r="A203" s="307" t="s">
        <v>0</v>
      </c>
      <c r="B203" s="311">
        <v>87878</v>
      </c>
      <c r="C203" s="307" t="s">
        <v>931</v>
      </c>
      <c r="D203" s="306" t="s">
        <v>484</v>
      </c>
      <c r="E203" s="307" t="s">
        <v>28</v>
      </c>
      <c r="F203" s="302">
        <v>1.33</v>
      </c>
      <c r="G203" s="303">
        <v>3.19</v>
      </c>
      <c r="H203" s="318">
        <f t="shared" si="19"/>
        <v>4.0908559999999996</v>
      </c>
      <c r="I203" s="304">
        <f t="shared" si="25"/>
        <v>5.44083848</v>
      </c>
    </row>
    <row r="204" spans="1:9" s="305" customFormat="1" ht="63.75">
      <c r="A204" s="307" t="s">
        <v>0</v>
      </c>
      <c r="B204" s="299">
        <v>87527</v>
      </c>
      <c r="C204" s="307" t="s">
        <v>932</v>
      </c>
      <c r="D204" s="306" t="s">
        <v>485</v>
      </c>
      <c r="E204" s="307" t="s">
        <v>28</v>
      </c>
      <c r="F204" s="302">
        <v>1.33</v>
      </c>
      <c r="G204" s="303">
        <v>27.52</v>
      </c>
      <c r="H204" s="318">
        <f t="shared" si="19"/>
        <v>35.291648000000002</v>
      </c>
      <c r="I204" s="304">
        <f t="shared" si="25"/>
        <v>46.937891840000006</v>
      </c>
    </row>
    <row r="205" spans="1:9" s="305" customFormat="1" ht="33" customHeight="1">
      <c r="A205" s="307" t="s">
        <v>0</v>
      </c>
      <c r="B205" s="311" t="s">
        <v>487</v>
      </c>
      <c r="C205" s="307" t="s">
        <v>933</v>
      </c>
      <c r="D205" s="306" t="s">
        <v>486</v>
      </c>
      <c r="E205" s="307" t="s">
        <v>28</v>
      </c>
      <c r="F205" s="302">
        <v>2</v>
      </c>
      <c r="G205" s="303">
        <v>56.51</v>
      </c>
      <c r="H205" s="318">
        <f t="shared" si="19"/>
        <v>72.468423999999999</v>
      </c>
      <c r="I205" s="304">
        <f t="shared" si="25"/>
        <v>144.936848</v>
      </c>
    </row>
    <row r="206" spans="1:9" ht="15.75">
      <c r="A206" s="410"/>
      <c r="B206" s="410"/>
      <c r="C206" s="410"/>
      <c r="D206" s="416" t="s">
        <v>498</v>
      </c>
      <c r="E206" s="410"/>
      <c r="F206" s="413"/>
      <c r="G206" s="419"/>
      <c r="H206" s="418"/>
      <c r="I206" s="415"/>
    </row>
    <row r="207" spans="1:9" s="305" customFormat="1" ht="38.25">
      <c r="A207" s="307" t="s">
        <v>0</v>
      </c>
      <c r="B207" s="311" t="s">
        <v>499</v>
      </c>
      <c r="C207" s="307" t="s">
        <v>934</v>
      </c>
      <c r="D207" s="306" t="s">
        <v>500</v>
      </c>
      <c r="E207" s="307" t="s">
        <v>29</v>
      </c>
      <c r="F207" s="302">
        <v>1</v>
      </c>
      <c r="G207" s="303">
        <v>1590.34</v>
      </c>
      <c r="H207" s="318">
        <f t="shared" ref="H207:H219" si="26">G207*1.2824</f>
        <v>2039.452016</v>
      </c>
      <c r="I207" s="304">
        <f>H207*F207</f>
        <v>2039.452016</v>
      </c>
    </row>
    <row r="208" spans="1:9" s="305" customFormat="1" ht="38.25">
      <c r="A208" s="307" t="s">
        <v>0</v>
      </c>
      <c r="B208" s="299">
        <v>89744</v>
      </c>
      <c r="C208" s="307" t="s">
        <v>935</v>
      </c>
      <c r="D208" s="306" t="s">
        <v>494</v>
      </c>
      <c r="E208" s="307" t="s">
        <v>29</v>
      </c>
      <c r="F208" s="302">
        <v>1</v>
      </c>
      <c r="G208" s="303">
        <v>17.170000000000002</v>
      </c>
      <c r="H208" s="318">
        <f t="shared" si="26"/>
        <v>22.018808000000003</v>
      </c>
      <c r="I208" s="304">
        <f>H208*F208</f>
        <v>22.018808000000003</v>
      </c>
    </row>
    <row r="209" spans="1:12" s="305" customFormat="1" ht="38.25">
      <c r="A209" s="307" t="s">
        <v>0</v>
      </c>
      <c r="B209" s="299">
        <v>89714</v>
      </c>
      <c r="C209" s="307" t="s">
        <v>1272</v>
      </c>
      <c r="D209" s="306" t="s">
        <v>488</v>
      </c>
      <c r="E209" s="307" t="s">
        <v>31</v>
      </c>
      <c r="F209" s="302">
        <v>3.5</v>
      </c>
      <c r="G209" s="303">
        <v>37.770000000000003</v>
      </c>
      <c r="H209" s="318">
        <f t="shared" si="26"/>
        <v>48.436248000000006</v>
      </c>
      <c r="I209" s="304">
        <f>H209*F209</f>
        <v>169.52686800000004</v>
      </c>
    </row>
    <row r="210" spans="1:12" ht="20.25" customHeight="1">
      <c r="A210" s="410"/>
      <c r="B210" s="410"/>
      <c r="C210" s="407" t="s">
        <v>525</v>
      </c>
      <c r="D210" s="416" t="s">
        <v>89</v>
      </c>
      <c r="E210" s="410"/>
      <c r="F210" s="413"/>
      <c r="G210" s="419"/>
      <c r="H210" s="418"/>
      <c r="I210" s="415">
        <f>SUM(I211:I216)</f>
        <v>15621.580806854399</v>
      </c>
    </row>
    <row r="211" spans="1:12" s="305" customFormat="1" ht="27.75" customHeight="1">
      <c r="A211" s="307" t="s">
        <v>1</v>
      </c>
      <c r="B211" s="300">
        <v>40</v>
      </c>
      <c r="C211" s="307" t="s">
        <v>859</v>
      </c>
      <c r="D211" s="308" t="s">
        <v>503</v>
      </c>
      <c r="E211" s="300" t="s">
        <v>31</v>
      </c>
      <c r="F211" s="302">
        <v>62</v>
      </c>
      <c r="G211" s="303">
        <f>COMPOSIÇÃO!H434</f>
        <v>45.574187999999999</v>
      </c>
      <c r="H211" s="318">
        <f t="shared" si="26"/>
        <v>58.444338691199995</v>
      </c>
      <c r="I211" s="304">
        <f t="shared" ref="I211:I216" si="27">H211*F211</f>
        <v>3623.5489988543995</v>
      </c>
    </row>
    <row r="212" spans="1:12" s="305" customFormat="1" ht="36.75" customHeight="1">
      <c r="A212" s="300" t="s">
        <v>0</v>
      </c>
      <c r="B212" s="307">
        <v>95248</v>
      </c>
      <c r="C212" s="307" t="s">
        <v>860</v>
      </c>
      <c r="D212" s="308" t="s">
        <v>508</v>
      </c>
      <c r="E212" s="300" t="s">
        <v>29</v>
      </c>
      <c r="F212" s="302" t="s">
        <v>56</v>
      </c>
      <c r="G212" s="303">
        <v>49.93</v>
      </c>
      <c r="H212" s="318">
        <f t="shared" si="26"/>
        <v>64.030231999999998</v>
      </c>
      <c r="I212" s="304">
        <f t="shared" si="27"/>
        <v>128.060464</v>
      </c>
    </row>
    <row r="213" spans="1:12" s="305" customFormat="1" ht="25.5">
      <c r="A213" s="307" t="s">
        <v>1268</v>
      </c>
      <c r="B213" s="309" t="s">
        <v>1256</v>
      </c>
      <c r="C213" s="307" t="s">
        <v>861</v>
      </c>
      <c r="D213" s="306" t="s">
        <v>504</v>
      </c>
      <c r="E213" s="300" t="s">
        <v>29</v>
      </c>
      <c r="F213" s="302" t="s">
        <v>113</v>
      </c>
      <c r="G213" s="310">
        <v>159.03</v>
      </c>
      <c r="H213" s="318">
        <f t="shared" si="26"/>
        <v>203.94007199999999</v>
      </c>
      <c r="I213" s="304">
        <f t="shared" si="27"/>
        <v>3263.0411519999998</v>
      </c>
    </row>
    <row r="214" spans="1:12" s="305" customFormat="1" ht="25.5">
      <c r="A214" s="307" t="s">
        <v>1268</v>
      </c>
      <c r="B214" s="309" t="s">
        <v>1257</v>
      </c>
      <c r="C214" s="307" t="s">
        <v>862</v>
      </c>
      <c r="D214" s="306" t="s">
        <v>505</v>
      </c>
      <c r="E214" s="300" t="s">
        <v>29</v>
      </c>
      <c r="F214" s="302">
        <v>2</v>
      </c>
      <c r="G214" s="310">
        <v>168.79</v>
      </c>
      <c r="H214" s="318">
        <f t="shared" si="26"/>
        <v>216.45629599999998</v>
      </c>
      <c r="I214" s="304">
        <f t="shared" si="27"/>
        <v>432.91259199999996</v>
      </c>
    </row>
    <row r="215" spans="1:12" s="305" customFormat="1" ht="30" customHeight="1">
      <c r="A215" s="307" t="s">
        <v>1268</v>
      </c>
      <c r="B215" s="307">
        <v>4</v>
      </c>
      <c r="C215" s="307" t="s">
        <v>863</v>
      </c>
      <c r="D215" s="308" t="s">
        <v>506</v>
      </c>
      <c r="E215" s="307" t="s">
        <v>29</v>
      </c>
      <c r="F215" s="302">
        <v>1</v>
      </c>
      <c r="G215" s="303">
        <v>5125</v>
      </c>
      <c r="H215" s="318">
        <f t="shared" si="26"/>
        <v>6572.3</v>
      </c>
      <c r="I215" s="304">
        <f t="shared" si="27"/>
        <v>6572.3</v>
      </c>
    </row>
    <row r="216" spans="1:12" s="305" customFormat="1" ht="25.5">
      <c r="A216" s="307" t="s">
        <v>1268</v>
      </c>
      <c r="B216" s="307">
        <v>5</v>
      </c>
      <c r="C216" s="307" t="s">
        <v>864</v>
      </c>
      <c r="D216" s="308" t="s">
        <v>507</v>
      </c>
      <c r="E216" s="307" t="s">
        <v>29</v>
      </c>
      <c r="F216" s="302">
        <v>1</v>
      </c>
      <c r="G216" s="303">
        <v>1249</v>
      </c>
      <c r="H216" s="318">
        <f t="shared" si="26"/>
        <v>1601.7175999999999</v>
      </c>
      <c r="I216" s="304">
        <f t="shared" si="27"/>
        <v>1601.7175999999999</v>
      </c>
    </row>
    <row r="217" spans="1:12" ht="18.75" customHeight="1">
      <c r="A217" s="407"/>
      <c r="B217" s="407"/>
      <c r="C217" s="407" t="s">
        <v>526</v>
      </c>
      <c r="D217" s="416" t="s">
        <v>90</v>
      </c>
      <c r="E217" s="407"/>
      <c r="F217" s="417"/>
      <c r="G217" s="414"/>
      <c r="H217" s="418"/>
      <c r="I217" s="415">
        <f>SUM(I218:I219)</f>
        <v>2390.9301561599996</v>
      </c>
    </row>
    <row r="218" spans="1:12" s="305" customFormat="1">
      <c r="A218" s="299" t="s">
        <v>0</v>
      </c>
      <c r="B218" s="299">
        <v>9537</v>
      </c>
      <c r="C218" s="307" t="s">
        <v>865</v>
      </c>
      <c r="D218" s="301" t="s">
        <v>91</v>
      </c>
      <c r="E218" s="300" t="s">
        <v>28</v>
      </c>
      <c r="F218" s="302" t="s">
        <v>114</v>
      </c>
      <c r="G218" s="303">
        <v>2.2799999999999998</v>
      </c>
      <c r="H218" s="318">
        <f t="shared" si="26"/>
        <v>2.9238719999999998</v>
      </c>
      <c r="I218" s="304">
        <f>H218*F218</f>
        <v>1677.6592761599998</v>
      </c>
    </row>
    <row r="219" spans="1:12" s="305" customFormat="1" ht="15" customHeight="1">
      <c r="A219" s="611" t="s">
        <v>0</v>
      </c>
      <c r="B219" s="611">
        <v>72900</v>
      </c>
      <c r="C219" s="612" t="s">
        <v>866</v>
      </c>
      <c r="D219" s="613" t="s">
        <v>347</v>
      </c>
      <c r="E219" s="614" t="s">
        <v>30</v>
      </c>
      <c r="F219" s="615">
        <f>18*30</f>
        <v>540</v>
      </c>
      <c r="G219" s="616">
        <v>1.03</v>
      </c>
      <c r="H219" s="617">
        <f t="shared" si="26"/>
        <v>1.320872</v>
      </c>
      <c r="I219" s="618">
        <f>H219*F219</f>
        <v>713.27088000000003</v>
      </c>
    </row>
    <row r="220" spans="1:12" ht="18" customHeight="1">
      <c r="A220" s="410"/>
      <c r="B220" s="410"/>
      <c r="C220" s="411"/>
      <c r="D220" s="412"/>
      <c r="E220" s="410"/>
      <c r="F220" s="413"/>
      <c r="G220" s="414" t="s">
        <v>115</v>
      </c>
      <c r="H220" s="414"/>
      <c r="I220" s="415">
        <f>SUM(I8:I219)/2</f>
        <v>723378.13399927912</v>
      </c>
    </row>
    <row r="221" spans="1:12" s="48" customFormat="1" ht="12.75">
      <c r="A221" s="428" t="s">
        <v>969</v>
      </c>
      <c r="B221" s="429"/>
      <c r="C221" s="429"/>
      <c r="D221" s="231"/>
      <c r="E221" s="429"/>
      <c r="F221" s="429"/>
      <c r="G221" s="430"/>
      <c r="H221" s="431"/>
      <c r="I221" s="432"/>
      <c r="J221" s="433"/>
      <c r="K221" s="432"/>
      <c r="L221" s="432"/>
    </row>
    <row r="222" spans="1:12" ht="27.75" customHeight="1"/>
    <row r="223" spans="1:12" ht="33" customHeight="1">
      <c r="I223" s="241"/>
    </row>
    <row r="224" spans="1:12" ht="27.75" customHeight="1">
      <c r="I224" s="242"/>
    </row>
    <row r="225" ht="23.25" customHeight="1"/>
  </sheetData>
  <mergeCells count="4">
    <mergeCell ref="A8:B8"/>
    <mergeCell ref="A4:E4"/>
    <mergeCell ref="A5:E5"/>
    <mergeCell ref="A6:E6"/>
  </mergeCells>
  <pageMargins left="0.78740157480314965" right="0.78740157480314965" top="0.98425196850393704" bottom="0.98425196850393704" header="0.51181102362204722" footer="0.51181102362204722"/>
  <pageSetup paperSize="9" scale="50" orientation="portrait" r:id="rId1"/>
  <headerFooter>
    <oddHeader>PLANILHA ORÇAMENTÁRIA - CONSTRUÇÃO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O639"/>
  <sheetViews>
    <sheetView view="pageBreakPreview" zoomScale="90" zoomScaleSheetLayoutView="90" workbookViewId="0">
      <selection sqref="A1:D5"/>
    </sheetView>
  </sheetViews>
  <sheetFormatPr defaultRowHeight="12.75"/>
  <cols>
    <col min="1" max="1" width="18" customWidth="1"/>
    <col min="2" max="2" width="17.42578125" customWidth="1"/>
    <col min="3" max="3" width="22.5703125" customWidth="1"/>
    <col min="4" max="4" width="17.140625" customWidth="1"/>
    <col min="5" max="5" width="11.85546875" style="37" customWidth="1"/>
    <col min="6" max="6" width="12.140625" customWidth="1"/>
    <col min="7" max="7" width="16.28515625" customWidth="1"/>
    <col min="8" max="8" width="15.5703125" customWidth="1"/>
  </cols>
  <sheetData>
    <row r="1" spans="1:11">
      <c r="A1" s="4" t="s">
        <v>132</v>
      </c>
      <c r="B1" s="5"/>
      <c r="C1" s="5"/>
      <c r="D1" s="6"/>
      <c r="E1" s="835"/>
      <c r="F1" s="835"/>
      <c r="G1" s="835"/>
      <c r="H1" s="836"/>
    </row>
    <row r="2" spans="1:11">
      <c r="A2" s="7" t="s">
        <v>133</v>
      </c>
      <c r="B2" s="5"/>
      <c r="C2" s="8" t="s">
        <v>134</v>
      </c>
      <c r="D2" s="597">
        <v>0.28239999999999998</v>
      </c>
      <c r="E2" s="835"/>
      <c r="F2" s="835"/>
      <c r="G2" s="835"/>
      <c r="H2" s="836"/>
    </row>
    <row r="3" spans="1:11">
      <c r="A3" s="4" t="s">
        <v>135</v>
      </c>
      <c r="B3" s="5"/>
      <c r="C3" s="5"/>
      <c r="D3" s="6"/>
      <c r="E3" s="835"/>
      <c r="F3" s="835"/>
      <c r="G3" s="835"/>
      <c r="H3" s="836"/>
    </row>
    <row r="4" spans="1:11">
      <c r="A4" s="4" t="s">
        <v>136</v>
      </c>
      <c r="B4" s="5"/>
      <c r="C4" s="5"/>
      <c r="D4" s="6"/>
      <c r="E4" s="835"/>
      <c r="F4" s="835"/>
      <c r="G4" s="835"/>
      <c r="H4" s="836"/>
    </row>
    <row r="5" spans="1:11" ht="17.25" thickBot="1">
      <c r="A5" s="9"/>
      <c r="B5" s="9"/>
      <c r="C5" s="9"/>
      <c r="D5" s="10"/>
      <c r="E5" s="57"/>
      <c r="F5" s="9"/>
      <c r="G5" s="9"/>
      <c r="H5" s="11"/>
    </row>
    <row r="6" spans="1:11" ht="16.5" customHeight="1" thickBot="1">
      <c r="A6" s="838" t="s">
        <v>137</v>
      </c>
      <c r="B6" s="839"/>
      <c r="C6" s="839"/>
      <c r="D6" s="839"/>
      <c r="E6" s="839"/>
      <c r="F6" s="839"/>
      <c r="G6" s="839"/>
      <c r="H6" s="840"/>
    </row>
    <row r="7" spans="1:11" ht="12.75" customHeight="1">
      <c r="A7" s="795" t="s">
        <v>138</v>
      </c>
      <c r="B7" s="791"/>
      <c r="C7" s="796" t="s">
        <v>972</v>
      </c>
      <c r="D7" s="796"/>
      <c r="E7" s="796"/>
      <c r="F7" s="796"/>
      <c r="G7" s="796"/>
      <c r="H7" s="797"/>
    </row>
    <row r="8" spans="1:11" ht="12.75" customHeight="1">
      <c r="A8" s="450" t="s">
        <v>116</v>
      </c>
      <c r="B8" s="448" t="s">
        <v>119</v>
      </c>
      <c r="C8" s="803" t="s">
        <v>120</v>
      </c>
      <c r="D8" s="804"/>
      <c r="E8" s="450" t="s">
        <v>121</v>
      </c>
      <c r="F8" s="450" t="s">
        <v>122</v>
      </c>
      <c r="G8" s="450" t="s">
        <v>123</v>
      </c>
      <c r="H8" s="451" t="s">
        <v>124</v>
      </c>
    </row>
    <row r="9" spans="1:11" ht="12.75" customHeight="1">
      <c r="A9" s="12">
        <v>13393</v>
      </c>
      <c r="B9" s="67" t="s">
        <v>143</v>
      </c>
      <c r="C9" s="837" t="s">
        <v>973</v>
      </c>
      <c r="D9" s="837"/>
      <c r="E9" s="67" t="s">
        <v>126</v>
      </c>
      <c r="F9" s="79">
        <v>1</v>
      </c>
      <c r="G9" s="13">
        <v>236.07</v>
      </c>
      <c r="H9" s="14">
        <f>F9*G9</f>
        <v>236.07</v>
      </c>
      <c r="K9" s="197"/>
    </row>
    <row r="10" spans="1:11" ht="12.75" customHeight="1">
      <c r="A10" s="12">
        <v>12378</v>
      </c>
      <c r="B10" s="67" t="s">
        <v>144</v>
      </c>
      <c r="C10" s="808" t="s">
        <v>974</v>
      </c>
      <c r="D10" s="808"/>
      <c r="E10" s="67" t="s">
        <v>126</v>
      </c>
      <c r="F10" s="79">
        <v>1</v>
      </c>
      <c r="G10" s="13">
        <v>694.36</v>
      </c>
      <c r="H10" s="14">
        <f>F10*G10</f>
        <v>694.36</v>
      </c>
      <c r="K10" s="197"/>
    </row>
    <row r="11" spans="1:11" ht="12.75" customHeight="1">
      <c r="A11" s="12">
        <v>34609</v>
      </c>
      <c r="B11" s="67" t="s">
        <v>145</v>
      </c>
      <c r="C11" s="808" t="s">
        <v>975</v>
      </c>
      <c r="D11" s="808"/>
      <c r="E11" s="67" t="s">
        <v>128</v>
      </c>
      <c r="F11" s="79">
        <v>27</v>
      </c>
      <c r="G11" s="13">
        <v>6.95</v>
      </c>
      <c r="H11" s="14">
        <f>F11*G11</f>
        <v>187.65</v>
      </c>
      <c r="K11" s="197"/>
    </row>
    <row r="12" spans="1:11" ht="12.75" customHeight="1">
      <c r="A12" s="12">
        <v>2436</v>
      </c>
      <c r="B12" s="67" t="s">
        <v>146</v>
      </c>
      <c r="C12" s="808" t="s">
        <v>976</v>
      </c>
      <c r="D12" s="808"/>
      <c r="E12" s="67" t="s">
        <v>130</v>
      </c>
      <c r="F12" s="79">
        <v>24</v>
      </c>
      <c r="G12" s="46">
        <v>14.6</v>
      </c>
      <c r="H12" s="14">
        <f>F12*G12</f>
        <v>350.4</v>
      </c>
      <c r="K12" s="197"/>
    </row>
    <row r="13" spans="1:11" ht="12.75" customHeight="1">
      <c r="A13" s="12">
        <v>247</v>
      </c>
      <c r="B13" s="67" t="s">
        <v>147</v>
      </c>
      <c r="C13" s="808" t="s">
        <v>977</v>
      </c>
      <c r="D13" s="808"/>
      <c r="E13" s="67" t="s">
        <v>130</v>
      </c>
      <c r="F13" s="79">
        <v>24</v>
      </c>
      <c r="G13" s="13">
        <v>10.95</v>
      </c>
      <c r="H13" s="14">
        <f>F13*G13</f>
        <v>262.79999999999995</v>
      </c>
      <c r="K13" s="197"/>
    </row>
    <row r="14" spans="1:11" ht="12.75" customHeight="1">
      <c r="A14" s="15"/>
      <c r="B14" s="15"/>
      <c r="C14" s="798"/>
      <c r="D14" s="798"/>
      <c r="E14" s="15"/>
      <c r="F14" s="799" t="s">
        <v>148</v>
      </c>
      <c r="G14" s="799"/>
      <c r="H14" s="455">
        <f>SUM(H9:H13)</f>
        <v>1731.28</v>
      </c>
    </row>
    <row r="15" spans="1:11" ht="12.75" customHeight="1">
      <c r="C15" s="841"/>
      <c r="D15" s="841"/>
      <c r="E15"/>
    </row>
    <row r="16" spans="1:11" ht="27" customHeight="1">
      <c r="A16" s="842" t="s">
        <v>118</v>
      </c>
      <c r="B16" s="804"/>
      <c r="C16" s="843" t="s">
        <v>978</v>
      </c>
      <c r="D16" s="843"/>
      <c r="E16" s="843"/>
      <c r="F16" s="843"/>
      <c r="G16" s="843"/>
      <c r="H16" s="844"/>
    </row>
    <row r="17" spans="1:8" ht="25.5">
      <c r="A17" s="450" t="s">
        <v>116</v>
      </c>
      <c r="B17" s="448" t="s">
        <v>119</v>
      </c>
      <c r="C17" s="803" t="s">
        <v>120</v>
      </c>
      <c r="D17" s="804"/>
      <c r="E17" s="450" t="s">
        <v>121</v>
      </c>
      <c r="F17" s="450" t="s">
        <v>122</v>
      </c>
      <c r="G17" s="450" t="s">
        <v>123</v>
      </c>
      <c r="H17" s="451" t="s">
        <v>124</v>
      </c>
    </row>
    <row r="18" spans="1:8" ht="12.75" customHeight="1">
      <c r="A18" s="456">
        <v>3993</v>
      </c>
      <c r="B18" s="456"/>
      <c r="C18" s="792" t="s">
        <v>979</v>
      </c>
      <c r="D18" s="792"/>
      <c r="E18" s="456" t="s">
        <v>125</v>
      </c>
      <c r="F18" s="457">
        <v>8</v>
      </c>
      <c r="G18" s="3">
        <v>33.19</v>
      </c>
      <c r="H18" s="458">
        <f>G18*F18</f>
        <v>265.52</v>
      </c>
    </row>
    <row r="19" spans="1:8" ht="12.75" customHeight="1">
      <c r="A19" s="456">
        <v>7269</v>
      </c>
      <c r="B19" s="456"/>
      <c r="C19" s="792" t="s">
        <v>980</v>
      </c>
      <c r="D19" s="792"/>
      <c r="E19" s="456" t="s">
        <v>126</v>
      </c>
      <c r="F19" s="457">
        <v>20</v>
      </c>
      <c r="G19" s="3">
        <v>0.37</v>
      </c>
      <c r="H19" s="458">
        <f t="shared" ref="H19:H29" si="0">G19*F19</f>
        <v>7.4</v>
      </c>
    </row>
    <row r="20" spans="1:8" ht="12.75" customHeight="1">
      <c r="A20" s="456">
        <v>370</v>
      </c>
      <c r="B20" s="456"/>
      <c r="C20" s="792" t="s">
        <v>981</v>
      </c>
      <c r="D20" s="792"/>
      <c r="E20" s="456" t="s">
        <v>127</v>
      </c>
      <c r="F20" s="457">
        <v>2.1700000000000001E-2</v>
      </c>
      <c r="G20" s="3">
        <v>60</v>
      </c>
      <c r="H20" s="458">
        <f t="shared" si="0"/>
        <v>1.302</v>
      </c>
    </row>
    <row r="21" spans="1:8" ht="12.75" customHeight="1">
      <c r="A21" s="456">
        <v>36365</v>
      </c>
      <c r="B21" s="456"/>
      <c r="C21" s="792" t="s">
        <v>982</v>
      </c>
      <c r="D21" s="792"/>
      <c r="E21" s="456" t="s">
        <v>128</v>
      </c>
      <c r="F21" s="457">
        <v>2</v>
      </c>
      <c r="G21" s="3">
        <v>16.23</v>
      </c>
      <c r="H21" s="458">
        <f t="shared" si="0"/>
        <v>32.46</v>
      </c>
    </row>
    <row r="22" spans="1:8" ht="12.75" customHeight="1">
      <c r="A22" s="456">
        <v>10420</v>
      </c>
      <c r="B22" s="456"/>
      <c r="C22" s="792" t="s">
        <v>983</v>
      </c>
      <c r="D22" s="792"/>
      <c r="E22" s="456" t="s">
        <v>126</v>
      </c>
      <c r="F22" s="457">
        <v>1</v>
      </c>
      <c r="G22" s="3">
        <v>115.49</v>
      </c>
      <c r="H22" s="458">
        <f t="shared" si="0"/>
        <v>115.49</v>
      </c>
    </row>
    <row r="23" spans="1:8" ht="12.75" customHeight="1">
      <c r="A23" s="456">
        <v>11868</v>
      </c>
      <c r="B23" s="456"/>
      <c r="C23" s="792" t="s">
        <v>984</v>
      </c>
      <c r="D23" s="792"/>
      <c r="E23" s="456" t="s">
        <v>126</v>
      </c>
      <c r="F23" s="457">
        <v>1</v>
      </c>
      <c r="G23" s="3">
        <v>290.19</v>
      </c>
      <c r="H23" s="458">
        <f t="shared" si="0"/>
        <v>290.19</v>
      </c>
    </row>
    <row r="24" spans="1:8" ht="12.75" customHeight="1">
      <c r="A24" s="456">
        <v>21009</v>
      </c>
      <c r="B24" s="456"/>
      <c r="C24" s="792" t="s">
        <v>985</v>
      </c>
      <c r="D24" s="792"/>
      <c r="E24" s="456" t="s">
        <v>126</v>
      </c>
      <c r="F24" s="457">
        <v>20</v>
      </c>
      <c r="G24" s="3">
        <v>11.63</v>
      </c>
      <c r="H24" s="458">
        <f t="shared" si="0"/>
        <v>232.60000000000002</v>
      </c>
    </row>
    <row r="25" spans="1:8" ht="12.75" customHeight="1">
      <c r="A25" s="456">
        <v>20247</v>
      </c>
      <c r="B25" s="456"/>
      <c r="C25" s="792" t="s">
        <v>986</v>
      </c>
      <c r="D25" s="792"/>
      <c r="E25" s="456" t="s">
        <v>129</v>
      </c>
      <c r="F25" s="457">
        <v>1</v>
      </c>
      <c r="G25" s="3">
        <v>9.01</v>
      </c>
      <c r="H25" s="458">
        <f t="shared" si="0"/>
        <v>9.01</v>
      </c>
    </row>
    <row r="26" spans="1:8" ht="12.75" customHeight="1">
      <c r="A26" s="456">
        <v>1213</v>
      </c>
      <c r="B26" s="456"/>
      <c r="C26" s="792" t="s">
        <v>987</v>
      </c>
      <c r="D26" s="792"/>
      <c r="E26" s="456" t="s">
        <v>130</v>
      </c>
      <c r="F26" s="457">
        <v>8</v>
      </c>
      <c r="G26" s="3">
        <v>14.11</v>
      </c>
      <c r="H26" s="458">
        <f t="shared" si="0"/>
        <v>112.88</v>
      </c>
    </row>
    <row r="27" spans="1:8">
      <c r="A27" s="456">
        <v>6111</v>
      </c>
      <c r="B27" s="456"/>
      <c r="C27" s="792" t="s">
        <v>988</v>
      </c>
      <c r="D27" s="792"/>
      <c r="E27" s="456" t="s">
        <v>130</v>
      </c>
      <c r="F27" s="457">
        <v>8</v>
      </c>
      <c r="G27" s="3">
        <v>10.49</v>
      </c>
      <c r="H27" s="458">
        <f t="shared" si="0"/>
        <v>83.92</v>
      </c>
    </row>
    <row r="28" spans="1:8" ht="12.75" customHeight="1">
      <c r="A28" s="456">
        <v>2696</v>
      </c>
      <c r="B28" s="456"/>
      <c r="C28" s="792" t="s">
        <v>989</v>
      </c>
      <c r="D28" s="792"/>
      <c r="E28" s="456" t="s">
        <v>130</v>
      </c>
      <c r="F28" s="457">
        <v>8</v>
      </c>
      <c r="G28" s="3">
        <v>14.6</v>
      </c>
      <c r="H28" s="458">
        <f t="shared" si="0"/>
        <v>116.8</v>
      </c>
    </row>
    <row r="29" spans="1:8" ht="12.75" customHeight="1">
      <c r="A29" s="456">
        <v>6114</v>
      </c>
      <c r="B29" s="456"/>
      <c r="C29" s="792" t="s">
        <v>990</v>
      </c>
      <c r="D29" s="792"/>
      <c r="E29" s="456" t="s">
        <v>130</v>
      </c>
      <c r="F29" s="457">
        <v>4</v>
      </c>
      <c r="G29" s="3">
        <v>10.6</v>
      </c>
      <c r="H29" s="458">
        <f t="shared" si="0"/>
        <v>42.4</v>
      </c>
    </row>
    <row r="30" spans="1:8" ht="12.75" customHeight="1">
      <c r="A30" s="459"/>
      <c r="B30" s="459"/>
      <c r="C30" s="827"/>
      <c r="D30" s="827"/>
      <c r="E30" s="459"/>
      <c r="F30" s="845" t="s">
        <v>131</v>
      </c>
      <c r="G30" s="845"/>
      <c r="H30" s="460">
        <f>SUM(H18:H29)</f>
        <v>1309.972</v>
      </c>
    </row>
    <row r="31" spans="1:8" ht="13.5" thickBot="1">
      <c r="C31" s="846"/>
      <c r="D31" s="846"/>
      <c r="E31"/>
    </row>
    <row r="32" spans="1:8" ht="45.75" customHeight="1" thickBot="1">
      <c r="A32" s="793" t="s">
        <v>142</v>
      </c>
      <c r="B32" s="794"/>
      <c r="C32" s="847" t="s">
        <v>991</v>
      </c>
      <c r="D32" s="847"/>
      <c r="E32" s="847"/>
      <c r="F32" s="847"/>
      <c r="G32" s="847"/>
      <c r="H32" s="848"/>
    </row>
    <row r="33" spans="1:8" ht="25.5">
      <c r="A33" s="461" t="s">
        <v>116</v>
      </c>
      <c r="B33" s="461" t="s">
        <v>119</v>
      </c>
      <c r="C33" s="853" t="s">
        <v>120</v>
      </c>
      <c r="D33" s="853"/>
      <c r="E33" s="461" t="s">
        <v>51</v>
      </c>
      <c r="F33" s="462" t="s">
        <v>139</v>
      </c>
      <c r="G33" s="461" t="s">
        <v>140</v>
      </c>
      <c r="H33" s="463" t="s">
        <v>141</v>
      </c>
    </row>
    <row r="34" spans="1:8" ht="12.75" customHeight="1">
      <c r="A34" s="456">
        <v>367</v>
      </c>
      <c r="B34" s="456"/>
      <c r="C34" s="792" t="s">
        <v>992</v>
      </c>
      <c r="D34" s="792"/>
      <c r="E34" s="456" t="s">
        <v>127</v>
      </c>
      <c r="F34" s="464">
        <v>0.03</v>
      </c>
      <c r="G34" s="3">
        <v>60</v>
      </c>
      <c r="H34" s="465">
        <f>F34*G34</f>
        <v>1.7999999999999998</v>
      </c>
    </row>
    <row r="35" spans="1:8" ht="12.75" customHeight="1">
      <c r="A35" s="456">
        <v>12296</v>
      </c>
      <c r="B35" s="456"/>
      <c r="C35" s="792" t="s">
        <v>993</v>
      </c>
      <c r="D35" s="792"/>
      <c r="E35" s="456" t="s">
        <v>126</v>
      </c>
      <c r="F35" s="464">
        <v>0.15</v>
      </c>
      <c r="G35" s="16">
        <v>3.68</v>
      </c>
      <c r="H35" s="458">
        <f t="shared" ref="H35:H69" si="1">F35*G35</f>
        <v>0.55200000000000005</v>
      </c>
    </row>
    <row r="36" spans="1:8" ht="12.75" customHeight="1">
      <c r="A36" s="456">
        <v>34637</v>
      </c>
      <c r="B36" s="456"/>
      <c r="C36" s="792" t="s">
        <v>994</v>
      </c>
      <c r="D36" s="792"/>
      <c r="E36" s="456" t="s">
        <v>126</v>
      </c>
      <c r="F36" s="464">
        <v>0.03</v>
      </c>
      <c r="G36" s="16">
        <v>157.94999999999999</v>
      </c>
      <c r="H36" s="465">
        <f t="shared" si="1"/>
        <v>4.7384999999999993</v>
      </c>
    </row>
    <row r="37" spans="1:8" ht="12.75" customHeight="1">
      <c r="A37" s="456">
        <v>10425</v>
      </c>
      <c r="B37" s="456"/>
      <c r="C37" s="792" t="s">
        <v>995</v>
      </c>
      <c r="D37" s="792"/>
      <c r="E37" s="456" t="s">
        <v>126</v>
      </c>
      <c r="F37" s="464">
        <v>0.03</v>
      </c>
      <c r="G37" s="16">
        <v>75.37</v>
      </c>
      <c r="H37" s="458">
        <f>F37*G37</f>
        <v>2.2610999999999999</v>
      </c>
    </row>
    <row r="38" spans="1:8" ht="12.75" customHeight="1">
      <c r="A38" s="456">
        <v>9868</v>
      </c>
      <c r="B38" s="456"/>
      <c r="C38" s="792" t="s">
        <v>996</v>
      </c>
      <c r="D38" s="792"/>
      <c r="E38" s="456" t="s">
        <v>128</v>
      </c>
      <c r="F38" s="464">
        <v>0.37</v>
      </c>
      <c r="G38" s="16">
        <v>3.04</v>
      </c>
      <c r="H38" s="458">
        <f t="shared" si="1"/>
        <v>1.1248</v>
      </c>
    </row>
    <row r="39" spans="1:8" ht="12.75" customHeight="1">
      <c r="A39" s="456">
        <v>1031</v>
      </c>
      <c r="B39" s="456"/>
      <c r="C39" s="792" t="s">
        <v>997</v>
      </c>
      <c r="D39" s="792"/>
      <c r="E39" s="456" t="s">
        <v>126</v>
      </c>
      <c r="F39" s="464">
        <v>0.03</v>
      </c>
      <c r="G39" s="16">
        <v>8.85</v>
      </c>
      <c r="H39" s="458">
        <f t="shared" si="1"/>
        <v>0.26549999999999996</v>
      </c>
    </row>
    <row r="40" spans="1:8" ht="12.75" customHeight="1">
      <c r="A40" s="456">
        <v>1030</v>
      </c>
      <c r="B40" s="456"/>
      <c r="C40" s="792" t="s">
        <v>998</v>
      </c>
      <c r="D40" s="792"/>
      <c r="E40" s="456" t="s">
        <v>126</v>
      </c>
      <c r="F40" s="464">
        <v>0.03</v>
      </c>
      <c r="G40" s="16">
        <v>29.21</v>
      </c>
      <c r="H40" s="458">
        <f t="shared" si="1"/>
        <v>0.87629999999999997</v>
      </c>
    </row>
    <row r="41" spans="1:8" ht="12.75" customHeight="1">
      <c r="A41" s="456">
        <v>938</v>
      </c>
      <c r="B41" s="456"/>
      <c r="C41" s="792" t="s">
        <v>999</v>
      </c>
      <c r="D41" s="792"/>
      <c r="E41" s="456" t="s">
        <v>128</v>
      </c>
      <c r="F41" s="464">
        <v>0.02</v>
      </c>
      <c r="G41" s="16">
        <v>0.65</v>
      </c>
      <c r="H41" s="458">
        <f t="shared" si="1"/>
        <v>1.3000000000000001E-2</v>
      </c>
    </row>
    <row r="42" spans="1:8" ht="12.75" customHeight="1">
      <c r="A42" s="456">
        <v>1213</v>
      </c>
      <c r="B42" s="456"/>
      <c r="C42" s="792" t="s">
        <v>1000</v>
      </c>
      <c r="D42" s="792"/>
      <c r="E42" s="456" t="s">
        <v>130</v>
      </c>
      <c r="F42" s="464">
        <v>0.95</v>
      </c>
      <c r="G42" s="16">
        <v>14.11</v>
      </c>
      <c r="H42" s="458">
        <f t="shared" si="1"/>
        <v>13.404499999999999</v>
      </c>
    </row>
    <row r="43" spans="1:8" ht="12.75" customHeight="1">
      <c r="A43" s="456">
        <v>1379</v>
      </c>
      <c r="B43" s="456"/>
      <c r="C43" s="792" t="s">
        <v>1001</v>
      </c>
      <c r="D43" s="792"/>
      <c r="E43" s="456" t="s">
        <v>129</v>
      </c>
      <c r="F43" s="464">
        <v>12.67</v>
      </c>
      <c r="G43" s="16">
        <v>0.48</v>
      </c>
      <c r="H43" s="458">
        <f t="shared" si="1"/>
        <v>6.0815999999999999</v>
      </c>
    </row>
    <row r="44" spans="1:8" ht="12.75" customHeight="1">
      <c r="A44" s="456">
        <v>2420</v>
      </c>
      <c r="B44" s="456"/>
      <c r="C44" s="792" t="s">
        <v>1002</v>
      </c>
      <c r="D44" s="792"/>
      <c r="E44" s="456" t="s">
        <v>126</v>
      </c>
      <c r="F44" s="464">
        <v>4.9000000000000004</v>
      </c>
      <c r="G44" s="3">
        <v>5.26</v>
      </c>
      <c r="H44" s="458">
        <f t="shared" si="1"/>
        <v>25.774000000000001</v>
      </c>
    </row>
    <row r="45" spans="1:8" ht="12.75" customHeight="1">
      <c r="A45" s="456">
        <v>5069</v>
      </c>
      <c r="B45" s="456"/>
      <c r="C45" s="792" t="s">
        <v>1003</v>
      </c>
      <c r="D45" s="792"/>
      <c r="E45" s="456" t="s">
        <v>129</v>
      </c>
      <c r="F45" s="464">
        <v>0.28000000000000003</v>
      </c>
      <c r="G45" s="3">
        <v>8.2899999999999991</v>
      </c>
      <c r="H45" s="458">
        <f t="shared" si="1"/>
        <v>2.3212000000000002</v>
      </c>
    </row>
    <row r="46" spans="1:8" ht="12.75" customHeight="1">
      <c r="A46" s="456">
        <v>5088</v>
      </c>
      <c r="B46" s="456"/>
      <c r="C46" s="792" t="s">
        <v>1004</v>
      </c>
      <c r="D46" s="792"/>
      <c r="E46" s="456" t="s">
        <v>126</v>
      </c>
      <c r="F46" s="464">
        <v>0.09</v>
      </c>
      <c r="G46" s="3">
        <v>2.36</v>
      </c>
      <c r="H46" s="458">
        <f t="shared" si="1"/>
        <v>0.21239999999999998</v>
      </c>
    </row>
    <row r="47" spans="1:8" ht="12.75" customHeight="1">
      <c r="A47" s="456">
        <v>38780</v>
      </c>
      <c r="B47" s="456"/>
      <c r="C47" s="792" t="s">
        <v>1005</v>
      </c>
      <c r="D47" s="792"/>
      <c r="E47" s="456" t="s">
        <v>126</v>
      </c>
      <c r="F47" s="464">
        <v>0.15</v>
      </c>
      <c r="G47" s="3">
        <v>8.92</v>
      </c>
      <c r="H47" s="458">
        <f t="shared" si="1"/>
        <v>1.3379999999999999</v>
      </c>
    </row>
    <row r="48" spans="1:8" ht="12.75" customHeight="1">
      <c r="A48" s="456">
        <v>4425</v>
      </c>
      <c r="B48" s="456"/>
      <c r="C48" s="854" t="s">
        <v>1006</v>
      </c>
      <c r="D48" s="854"/>
      <c r="E48" s="456" t="s">
        <v>128</v>
      </c>
      <c r="F48" s="464">
        <v>0.03</v>
      </c>
      <c r="G48" s="3">
        <v>10.55</v>
      </c>
      <c r="H48" s="458">
        <f t="shared" si="1"/>
        <v>0.3165</v>
      </c>
    </row>
    <row r="49" spans="1:8" ht="12.75" customHeight="1">
      <c r="A49" s="456">
        <v>4430</v>
      </c>
      <c r="B49" s="456"/>
      <c r="C49" s="792" t="s">
        <v>1007</v>
      </c>
      <c r="D49" s="792"/>
      <c r="E49" s="456" t="s">
        <v>128</v>
      </c>
      <c r="F49" s="464">
        <v>1.3</v>
      </c>
      <c r="G49" s="3">
        <v>5.44</v>
      </c>
      <c r="H49" s="458">
        <f t="shared" si="1"/>
        <v>7.072000000000001</v>
      </c>
    </row>
    <row r="50" spans="1:8" ht="12.75" customHeight="1">
      <c r="A50" s="456">
        <v>4509</v>
      </c>
      <c r="B50" s="456"/>
      <c r="C50" s="792" t="s">
        <v>1008</v>
      </c>
      <c r="D50" s="792"/>
      <c r="E50" s="456" t="s">
        <v>128</v>
      </c>
      <c r="F50" s="464">
        <v>3.83</v>
      </c>
      <c r="G50" s="3">
        <v>2.2200000000000002</v>
      </c>
      <c r="H50" s="458">
        <f t="shared" si="1"/>
        <v>8.502600000000001</v>
      </c>
    </row>
    <row r="51" spans="1:8" ht="12.75" customHeight="1">
      <c r="A51" s="456">
        <v>4721</v>
      </c>
      <c r="B51" s="456"/>
      <c r="C51" s="792" t="s">
        <v>1009</v>
      </c>
      <c r="D51" s="792"/>
      <c r="E51" s="456" t="s">
        <v>127</v>
      </c>
      <c r="F51" s="464">
        <v>0.03</v>
      </c>
      <c r="G51" s="16">
        <v>49.7</v>
      </c>
      <c r="H51" s="458">
        <f t="shared" si="1"/>
        <v>1.4910000000000001</v>
      </c>
    </row>
    <row r="52" spans="1:8" ht="12.75" customHeight="1">
      <c r="A52" s="456">
        <v>13415</v>
      </c>
      <c r="B52" s="456"/>
      <c r="C52" s="792" t="s">
        <v>1010</v>
      </c>
      <c r="D52" s="792"/>
      <c r="E52" s="456" t="s">
        <v>126</v>
      </c>
      <c r="F52" s="464">
        <v>0.03</v>
      </c>
      <c r="G52" s="3">
        <v>44.9</v>
      </c>
      <c r="H52" s="458">
        <f t="shared" si="1"/>
        <v>1.347</v>
      </c>
    </row>
    <row r="53" spans="1:8">
      <c r="A53" s="456">
        <v>4750</v>
      </c>
      <c r="B53" s="456"/>
      <c r="C53" s="792" t="s">
        <v>1011</v>
      </c>
      <c r="D53" s="792"/>
      <c r="E53" s="456" t="s">
        <v>130</v>
      </c>
      <c r="F53" s="464">
        <v>0.36</v>
      </c>
      <c r="G53" s="3">
        <v>14.11</v>
      </c>
      <c r="H53" s="458">
        <f t="shared" si="1"/>
        <v>5.0795999999999992</v>
      </c>
    </row>
    <row r="54" spans="1:8" ht="12.75" customHeight="1">
      <c r="A54" s="456">
        <v>9836</v>
      </c>
      <c r="B54" s="456"/>
      <c r="C54" s="792" t="s">
        <v>1012</v>
      </c>
      <c r="D54" s="792"/>
      <c r="E54" s="456" t="s">
        <v>128</v>
      </c>
      <c r="F54" s="464">
        <v>0.31</v>
      </c>
      <c r="G54" s="3">
        <v>7.16</v>
      </c>
      <c r="H54" s="458">
        <f t="shared" si="1"/>
        <v>2.2196000000000002</v>
      </c>
    </row>
    <row r="55" spans="1:8">
      <c r="A55" s="456">
        <v>6111</v>
      </c>
      <c r="B55" s="456"/>
      <c r="C55" s="792" t="s">
        <v>1013</v>
      </c>
      <c r="D55" s="792"/>
      <c r="E55" s="456" t="s">
        <v>130</v>
      </c>
      <c r="F55" s="464">
        <v>1.9</v>
      </c>
      <c r="G55" s="3">
        <v>10.49</v>
      </c>
      <c r="H55" s="458">
        <f t="shared" si="1"/>
        <v>19.931000000000001</v>
      </c>
    </row>
    <row r="56" spans="1:8" ht="12.75" customHeight="1">
      <c r="A56" s="456">
        <v>6140</v>
      </c>
      <c r="B56" s="456"/>
      <c r="C56" s="792" t="s">
        <v>1014</v>
      </c>
      <c r="D56" s="792"/>
      <c r="E56" s="456" t="s">
        <v>126</v>
      </c>
      <c r="F56" s="464">
        <v>0.03</v>
      </c>
      <c r="G56" s="3">
        <v>2.54</v>
      </c>
      <c r="H56" s="458">
        <f t="shared" si="1"/>
        <v>7.6200000000000004E-2</v>
      </c>
    </row>
    <row r="57" spans="1:8" ht="12.75" customHeight="1">
      <c r="A57" s="456">
        <v>6141</v>
      </c>
      <c r="B57" s="466"/>
      <c r="C57" s="801" t="s">
        <v>1015</v>
      </c>
      <c r="D57" s="802"/>
      <c r="E57" s="456" t="s">
        <v>126</v>
      </c>
      <c r="F57" s="464">
        <v>0.06</v>
      </c>
      <c r="G57" s="3">
        <v>3.14</v>
      </c>
      <c r="H57" s="458">
        <f t="shared" si="1"/>
        <v>0.18840000000000001</v>
      </c>
    </row>
    <row r="58" spans="1:8" ht="12.75" customHeight="1">
      <c r="A58" s="456">
        <v>6146</v>
      </c>
      <c r="B58" s="456"/>
      <c r="C58" s="792" t="s">
        <v>1016</v>
      </c>
      <c r="D58" s="792"/>
      <c r="E58" s="456" t="s">
        <v>126</v>
      </c>
      <c r="F58" s="464">
        <v>0.03</v>
      </c>
      <c r="G58" s="3">
        <v>12.54</v>
      </c>
      <c r="H58" s="458">
        <f t="shared" si="1"/>
        <v>0.37619999999999998</v>
      </c>
    </row>
    <row r="59" spans="1:8" ht="12.75" customHeight="1">
      <c r="A59" s="456">
        <v>6158</v>
      </c>
      <c r="B59" s="456"/>
      <c r="C59" s="792" t="s">
        <v>1017</v>
      </c>
      <c r="D59" s="792"/>
      <c r="E59" s="456" t="s">
        <v>126</v>
      </c>
      <c r="F59" s="464">
        <v>0.03</v>
      </c>
      <c r="G59" s="3">
        <v>3.23</v>
      </c>
      <c r="H59" s="458">
        <f t="shared" si="1"/>
        <v>9.69E-2</v>
      </c>
    </row>
    <row r="60" spans="1:8" ht="12.75" customHeight="1">
      <c r="A60" s="456">
        <v>7191</v>
      </c>
      <c r="B60" s="456"/>
      <c r="C60" s="792" t="s">
        <v>1018</v>
      </c>
      <c r="D60" s="792"/>
      <c r="E60" s="456" t="s">
        <v>126</v>
      </c>
      <c r="F60" s="464">
        <v>1.53</v>
      </c>
      <c r="G60" s="3">
        <v>12.24</v>
      </c>
      <c r="H60" s="458">
        <f t="shared" si="1"/>
        <v>18.7272</v>
      </c>
    </row>
    <row r="61" spans="1:8" ht="12.75" customHeight="1">
      <c r="A61" s="456">
        <v>7608</v>
      </c>
      <c r="B61" s="456"/>
      <c r="C61" s="792" t="s">
        <v>1019</v>
      </c>
      <c r="D61" s="792"/>
      <c r="E61" s="456" t="s">
        <v>126</v>
      </c>
      <c r="F61" s="464">
        <v>0.03</v>
      </c>
      <c r="G61" s="3">
        <v>3.43</v>
      </c>
      <c r="H61" s="458">
        <f t="shared" si="1"/>
        <v>0.10290000000000001</v>
      </c>
    </row>
    <row r="62" spans="1:8" ht="12.75" customHeight="1">
      <c r="A62" s="456">
        <v>2696</v>
      </c>
      <c r="B62" s="456"/>
      <c r="C62" s="792" t="s">
        <v>1020</v>
      </c>
      <c r="D62" s="792"/>
      <c r="E62" s="456" t="s">
        <v>130</v>
      </c>
      <c r="F62" s="464">
        <v>0.16</v>
      </c>
      <c r="G62" s="3">
        <v>14.6</v>
      </c>
      <c r="H62" s="458">
        <f t="shared" si="1"/>
        <v>2.3359999999999999</v>
      </c>
    </row>
    <row r="63" spans="1:8" ht="12.75" customHeight="1">
      <c r="A63" s="456">
        <v>3080</v>
      </c>
      <c r="B63" s="456"/>
      <c r="C63" s="792" t="s">
        <v>1021</v>
      </c>
      <c r="D63" s="792"/>
      <c r="E63" s="456" t="s">
        <v>149</v>
      </c>
      <c r="F63" s="464">
        <v>0.09</v>
      </c>
      <c r="G63" s="3">
        <v>40.01</v>
      </c>
      <c r="H63" s="458">
        <f t="shared" si="1"/>
        <v>3.6008999999999998</v>
      </c>
    </row>
    <row r="64" spans="1:8" ht="12.75" customHeight="1">
      <c r="A64" s="456">
        <v>10420</v>
      </c>
      <c r="B64" s="456"/>
      <c r="C64" s="792" t="s">
        <v>1022</v>
      </c>
      <c r="D64" s="792"/>
      <c r="E64" s="456" t="s">
        <v>126</v>
      </c>
      <c r="F64" s="464">
        <v>0.03</v>
      </c>
      <c r="G64" s="3">
        <v>115.49</v>
      </c>
      <c r="H64" s="458">
        <f t="shared" si="1"/>
        <v>3.4646999999999997</v>
      </c>
    </row>
    <row r="65" spans="1:8" ht="12.75" customHeight="1">
      <c r="A65" s="456">
        <v>11753</v>
      </c>
      <c r="B65" s="456"/>
      <c r="C65" s="792" t="s">
        <v>1023</v>
      </c>
      <c r="D65" s="792"/>
      <c r="E65" s="456" t="s">
        <v>126</v>
      </c>
      <c r="F65" s="464">
        <v>0.03</v>
      </c>
      <c r="G65" s="3">
        <v>12.79</v>
      </c>
      <c r="H65" s="458">
        <f t="shared" si="1"/>
        <v>0.38369999999999999</v>
      </c>
    </row>
    <row r="66" spans="1:8" ht="12.75" customHeight="1">
      <c r="A66" s="456">
        <v>12128</v>
      </c>
      <c r="B66" s="466"/>
      <c r="C66" s="801" t="s">
        <v>1024</v>
      </c>
      <c r="D66" s="802"/>
      <c r="E66" s="456" t="s">
        <v>126</v>
      </c>
      <c r="F66" s="464">
        <v>0.15</v>
      </c>
      <c r="G66" s="3">
        <v>5.23</v>
      </c>
      <c r="H66" s="458">
        <f t="shared" si="1"/>
        <v>0.78450000000000009</v>
      </c>
    </row>
    <row r="67" spans="1:8">
      <c r="A67" s="456">
        <v>2436</v>
      </c>
      <c r="B67" s="456"/>
      <c r="C67" s="792" t="s">
        <v>1025</v>
      </c>
      <c r="D67" s="792"/>
      <c r="E67" s="456" t="s">
        <v>130</v>
      </c>
      <c r="F67" s="464">
        <v>0.16</v>
      </c>
      <c r="G67" s="3">
        <v>14.6</v>
      </c>
      <c r="H67" s="458">
        <f t="shared" si="1"/>
        <v>2.3359999999999999</v>
      </c>
    </row>
    <row r="68" spans="1:8" ht="12.75" customHeight="1">
      <c r="A68" s="456">
        <v>1357</v>
      </c>
      <c r="B68" s="456"/>
      <c r="C68" s="792" t="s">
        <v>1026</v>
      </c>
      <c r="D68" s="792"/>
      <c r="E68" s="456" t="s">
        <v>126</v>
      </c>
      <c r="F68" s="464">
        <v>0.51</v>
      </c>
      <c r="G68" s="3">
        <v>45.22</v>
      </c>
      <c r="H68" s="458">
        <f t="shared" si="1"/>
        <v>23.062200000000001</v>
      </c>
    </row>
    <row r="69" spans="1:8" ht="12.75" customHeight="1">
      <c r="A69" s="456">
        <v>1966</v>
      </c>
      <c r="B69" s="466"/>
      <c r="C69" s="801" t="s">
        <v>1027</v>
      </c>
      <c r="D69" s="802"/>
      <c r="E69" s="456" t="s">
        <v>126</v>
      </c>
      <c r="F69" s="464">
        <v>0.03</v>
      </c>
      <c r="G69" s="3">
        <v>15.67</v>
      </c>
      <c r="H69" s="458">
        <f t="shared" si="1"/>
        <v>0.47009999999999996</v>
      </c>
    </row>
    <row r="70" spans="1:8" ht="12.75" customHeight="1">
      <c r="A70" s="467"/>
      <c r="B70" s="467"/>
      <c r="C70" s="855"/>
      <c r="D70" s="855"/>
      <c r="E70" s="467"/>
      <c r="F70" s="800" t="s">
        <v>131</v>
      </c>
      <c r="G70" s="800"/>
      <c r="H70" s="17">
        <f>SUM(H34:H69)</f>
        <v>162.72810000000001</v>
      </c>
    </row>
    <row r="71" spans="1:8">
      <c r="A71" s="468"/>
      <c r="B71" s="468"/>
      <c r="C71" s="468"/>
      <c r="D71" s="468"/>
      <c r="E71" s="468"/>
      <c r="F71" s="469"/>
      <c r="G71" s="469"/>
      <c r="H71" s="469"/>
    </row>
    <row r="72" spans="1:8" ht="28.5" customHeight="1">
      <c r="A72" s="795" t="s">
        <v>150</v>
      </c>
      <c r="B72" s="791"/>
      <c r="C72" s="796" t="s">
        <v>1028</v>
      </c>
      <c r="D72" s="796"/>
      <c r="E72" s="796"/>
      <c r="F72" s="796"/>
      <c r="G72" s="796"/>
      <c r="H72" s="797"/>
    </row>
    <row r="73" spans="1:8" ht="25.5">
      <c r="A73" s="450" t="s">
        <v>116</v>
      </c>
      <c r="B73" s="448" t="s">
        <v>119</v>
      </c>
      <c r="C73" s="803" t="s">
        <v>120</v>
      </c>
      <c r="D73" s="804"/>
      <c r="E73" s="450" t="s">
        <v>121</v>
      </c>
      <c r="F73" s="450" t="s">
        <v>122</v>
      </c>
      <c r="G73" s="450" t="s">
        <v>123</v>
      </c>
      <c r="H73" s="451" t="s">
        <v>124</v>
      </c>
    </row>
    <row r="74" spans="1:8" ht="12.75" customHeight="1">
      <c r="A74" s="12">
        <v>6117</v>
      </c>
      <c r="B74" s="67" t="s">
        <v>249</v>
      </c>
      <c r="C74" s="837" t="s">
        <v>348</v>
      </c>
      <c r="D74" s="837"/>
      <c r="E74" s="67" t="s">
        <v>439</v>
      </c>
      <c r="F74" s="79">
        <v>1.25</v>
      </c>
      <c r="G74" s="13">
        <v>10.6</v>
      </c>
      <c r="H74" s="45">
        <f>F74*G74</f>
        <v>13.25</v>
      </c>
    </row>
    <row r="75" spans="1:8" ht="12.75" customHeight="1">
      <c r="A75" s="12">
        <v>1213</v>
      </c>
      <c r="B75" s="67" t="s">
        <v>250</v>
      </c>
      <c r="C75" s="808" t="s">
        <v>350</v>
      </c>
      <c r="D75" s="808"/>
      <c r="E75" s="67" t="s">
        <v>439</v>
      </c>
      <c r="F75" s="79">
        <v>1.25</v>
      </c>
      <c r="G75" s="13">
        <v>14.11</v>
      </c>
      <c r="H75" s="45">
        <f>F75*G75</f>
        <v>17.637499999999999</v>
      </c>
    </row>
    <row r="76" spans="1:8" ht="12.75" customHeight="1">
      <c r="A76" s="12">
        <v>5061</v>
      </c>
      <c r="B76" s="67" t="s">
        <v>251</v>
      </c>
      <c r="C76" s="808" t="s">
        <v>349</v>
      </c>
      <c r="D76" s="808"/>
      <c r="E76" s="67" t="s">
        <v>32</v>
      </c>
      <c r="F76" s="470">
        <v>0.13</v>
      </c>
      <c r="G76" s="46">
        <v>8</v>
      </c>
      <c r="H76" s="45">
        <f>F76*G76</f>
        <v>1.04</v>
      </c>
    </row>
    <row r="77" spans="1:8" ht="12.75" customHeight="1">
      <c r="A77" s="12">
        <v>559</v>
      </c>
      <c r="B77" s="67" t="s">
        <v>252</v>
      </c>
      <c r="C77" s="808" t="s">
        <v>1029</v>
      </c>
      <c r="D77" s="808"/>
      <c r="E77" s="67" t="s">
        <v>32</v>
      </c>
      <c r="F77" s="79">
        <v>0.19</v>
      </c>
      <c r="G77" s="46">
        <v>5.61</v>
      </c>
      <c r="H77" s="45">
        <f>F77*G77</f>
        <v>1.0659000000000001</v>
      </c>
    </row>
    <row r="78" spans="1:8" ht="12.75" customHeight="1">
      <c r="A78" s="12">
        <v>4006</v>
      </c>
      <c r="B78" s="67" t="s">
        <v>351</v>
      </c>
      <c r="C78" s="808" t="s">
        <v>352</v>
      </c>
      <c r="D78" s="808"/>
      <c r="E78" s="67" t="s">
        <v>1030</v>
      </c>
      <c r="F78" s="79">
        <v>0.03</v>
      </c>
      <c r="G78" s="13">
        <v>629.51</v>
      </c>
      <c r="H78" s="45">
        <f>F78*G78</f>
        <v>18.885299999999997</v>
      </c>
    </row>
    <row r="79" spans="1:8" ht="12.75" customHeight="1">
      <c r="A79" s="15"/>
      <c r="B79" s="15"/>
      <c r="C79" s="798"/>
      <c r="D79" s="798"/>
      <c r="E79" s="15"/>
      <c r="F79" s="799" t="s">
        <v>148</v>
      </c>
      <c r="G79" s="799"/>
      <c r="H79" s="47">
        <f>SUM(H74:H78)</f>
        <v>51.878699999999995</v>
      </c>
    </row>
    <row r="80" spans="1:8">
      <c r="A80" s="471"/>
      <c r="B80" s="471"/>
      <c r="C80" s="472"/>
      <c r="D80" s="472"/>
      <c r="E80" s="471"/>
      <c r="F80" s="473"/>
      <c r="G80" s="473"/>
      <c r="H80" s="474"/>
    </row>
    <row r="81" spans="1:9" ht="12.75" customHeight="1">
      <c r="A81" s="795" t="s">
        <v>151</v>
      </c>
      <c r="B81" s="791"/>
      <c r="C81" s="796" t="s">
        <v>1031</v>
      </c>
      <c r="D81" s="796"/>
      <c r="E81" s="796"/>
      <c r="F81" s="796"/>
      <c r="G81" s="796"/>
      <c r="H81" s="797"/>
    </row>
    <row r="82" spans="1:9" ht="25.5">
      <c r="A82" s="450" t="s">
        <v>116</v>
      </c>
      <c r="B82" s="448" t="s">
        <v>119</v>
      </c>
      <c r="C82" s="803" t="s">
        <v>120</v>
      </c>
      <c r="D82" s="804"/>
      <c r="E82" s="450" t="s">
        <v>121</v>
      </c>
      <c r="F82" s="450" t="s">
        <v>122</v>
      </c>
      <c r="G82" s="450" t="s">
        <v>123</v>
      </c>
      <c r="H82" s="451" t="s">
        <v>124</v>
      </c>
    </row>
    <row r="83" spans="1:9" ht="12.75" customHeight="1">
      <c r="A83" s="12">
        <v>6117</v>
      </c>
      <c r="B83" s="67" t="s">
        <v>238</v>
      </c>
      <c r="C83" s="837" t="s">
        <v>1032</v>
      </c>
      <c r="D83" s="837"/>
      <c r="E83" s="67" t="s">
        <v>130</v>
      </c>
      <c r="F83" s="79">
        <v>1</v>
      </c>
      <c r="G83" s="13">
        <v>10.6</v>
      </c>
      <c r="H83" s="45">
        <f>F83*G83</f>
        <v>10.6</v>
      </c>
    </row>
    <row r="84" spans="1:9">
      <c r="A84" s="12">
        <v>12869</v>
      </c>
      <c r="B84" s="67" t="s">
        <v>239</v>
      </c>
      <c r="C84" s="808" t="s">
        <v>1033</v>
      </c>
      <c r="D84" s="808"/>
      <c r="E84" s="67" t="s">
        <v>130</v>
      </c>
      <c r="F84" s="79">
        <v>0.5</v>
      </c>
      <c r="G84" s="13">
        <v>12.19</v>
      </c>
      <c r="H84" s="45">
        <f>F84*G84</f>
        <v>6.0949999999999998</v>
      </c>
    </row>
    <row r="85" spans="1:9" ht="12.75" customHeight="1">
      <c r="A85" s="12">
        <v>7175</v>
      </c>
      <c r="B85" s="67"/>
      <c r="C85" s="808" t="s">
        <v>1034</v>
      </c>
      <c r="D85" s="808"/>
      <c r="E85" s="67" t="s">
        <v>126</v>
      </c>
      <c r="F85" s="79">
        <v>16</v>
      </c>
      <c r="G85" s="46">
        <v>2.2599999999999998</v>
      </c>
      <c r="H85" s="45">
        <f>F85*G85</f>
        <v>36.159999999999997</v>
      </c>
    </row>
    <row r="86" spans="1:9" ht="12.75" customHeight="1">
      <c r="A86" s="15"/>
      <c r="B86" s="15"/>
      <c r="C86" s="798"/>
      <c r="D86" s="798"/>
      <c r="E86" s="15"/>
      <c r="F86" s="799" t="s">
        <v>148</v>
      </c>
      <c r="G86" s="799"/>
      <c r="H86" s="47">
        <f>SUM(H83:H85)</f>
        <v>52.854999999999997</v>
      </c>
    </row>
    <row r="87" spans="1:9" ht="12.75" customHeight="1">
      <c r="A87" s="471"/>
      <c r="B87" s="471"/>
      <c r="C87" s="472"/>
      <c r="D87" s="472"/>
      <c r="E87" s="471"/>
      <c r="F87" s="473"/>
      <c r="G87" s="473"/>
      <c r="H87" s="474"/>
    </row>
    <row r="88" spans="1:9" ht="12.75" customHeight="1">
      <c r="A88" s="738" t="s">
        <v>434</v>
      </c>
      <c r="B88" s="739"/>
      <c r="C88" s="740" t="s">
        <v>1035</v>
      </c>
      <c r="D88" s="741"/>
      <c r="E88" s="741"/>
      <c r="F88" s="742"/>
      <c r="G88" s="34"/>
      <c r="H88" s="34"/>
      <c r="I88" s="48"/>
    </row>
    <row r="89" spans="1:9" ht="25.5">
      <c r="A89" s="34" t="s">
        <v>116</v>
      </c>
      <c r="B89" s="437"/>
      <c r="C89" s="738" t="s">
        <v>120</v>
      </c>
      <c r="D89" s="739"/>
      <c r="E89" s="34" t="s">
        <v>121</v>
      </c>
      <c r="F89" s="34" t="s">
        <v>122</v>
      </c>
      <c r="G89" s="34" t="s">
        <v>123</v>
      </c>
      <c r="H89" s="35" t="s">
        <v>124</v>
      </c>
      <c r="I89" s="48"/>
    </row>
    <row r="90" spans="1:9" ht="12.75" customHeight="1">
      <c r="A90" s="25">
        <v>88323</v>
      </c>
      <c r="B90" s="122"/>
      <c r="C90" s="856" t="s">
        <v>1036</v>
      </c>
      <c r="D90" s="857"/>
      <c r="E90" s="58" t="s">
        <v>130</v>
      </c>
      <c r="F90" s="475">
        <v>5.6000000000000001E-2</v>
      </c>
      <c r="G90" s="26">
        <v>16.899999999999999</v>
      </c>
      <c r="H90" s="60">
        <f>G90*F90</f>
        <v>0.94639999999999991</v>
      </c>
      <c r="I90" s="48"/>
    </row>
    <row r="91" spans="1:9">
      <c r="A91" s="27">
        <v>88316</v>
      </c>
      <c r="B91" s="77"/>
      <c r="C91" s="712" t="s">
        <v>1037</v>
      </c>
      <c r="D91" s="713"/>
      <c r="E91" s="58" t="s">
        <v>130</v>
      </c>
      <c r="F91" s="475">
        <v>6.0999999999999999E-2</v>
      </c>
      <c r="G91" s="28">
        <v>15.26</v>
      </c>
      <c r="H91" s="60">
        <f>G91*F91</f>
        <v>0.93086000000000002</v>
      </c>
      <c r="I91" s="48"/>
    </row>
    <row r="92" spans="1:9" ht="12.75" customHeight="1">
      <c r="A92" s="27">
        <v>11029</v>
      </c>
      <c r="B92" s="135"/>
      <c r="C92" s="712" t="s">
        <v>1038</v>
      </c>
      <c r="D92" s="713"/>
      <c r="E92" s="58" t="s">
        <v>52</v>
      </c>
      <c r="F92" s="68">
        <v>4.1500000000000004</v>
      </c>
      <c r="G92" s="28">
        <v>1.04</v>
      </c>
      <c r="H92" s="60">
        <f t="shared" ref="H92:H94" si="2">G92*F92</f>
        <v>4.3160000000000007</v>
      </c>
      <c r="I92" s="48"/>
    </row>
    <row r="93" spans="1:9">
      <c r="A93" s="27">
        <v>93287</v>
      </c>
      <c r="B93" s="135"/>
      <c r="C93" s="712" t="s">
        <v>1039</v>
      </c>
      <c r="D93" s="713"/>
      <c r="E93" s="58" t="s">
        <v>1040</v>
      </c>
      <c r="F93" s="476">
        <v>6.9999999999999999E-4</v>
      </c>
      <c r="G93" s="28">
        <v>289.61</v>
      </c>
      <c r="H93" s="60">
        <f t="shared" si="2"/>
        <v>0.20272700000000002</v>
      </c>
      <c r="I93" s="48"/>
    </row>
    <row r="94" spans="1:9">
      <c r="A94" s="27">
        <v>93288</v>
      </c>
      <c r="B94" s="135"/>
      <c r="C94" s="712" t="s">
        <v>1041</v>
      </c>
      <c r="D94" s="713"/>
      <c r="E94" s="58" t="s">
        <v>1042</v>
      </c>
      <c r="F94" s="475">
        <v>1E-3</v>
      </c>
      <c r="G94" s="28">
        <v>82.4</v>
      </c>
      <c r="H94" s="60">
        <f t="shared" si="2"/>
        <v>8.2400000000000001E-2</v>
      </c>
      <c r="I94" s="48"/>
    </row>
    <row r="95" spans="1:9">
      <c r="A95" s="27">
        <v>7243</v>
      </c>
      <c r="B95" s="77"/>
      <c r="C95" s="712" t="s">
        <v>1043</v>
      </c>
      <c r="D95" s="713"/>
      <c r="E95" s="58" t="s">
        <v>28</v>
      </c>
      <c r="F95" s="475">
        <v>1.1459999999999999</v>
      </c>
      <c r="G95" s="28">
        <v>26.18</v>
      </c>
      <c r="H95" s="60">
        <f>G95*F95</f>
        <v>30.002279999999999</v>
      </c>
      <c r="I95" s="48"/>
    </row>
    <row r="96" spans="1:9">
      <c r="A96" s="124"/>
      <c r="B96" s="125"/>
      <c r="C96" s="125"/>
      <c r="D96" s="127"/>
      <c r="E96" s="124"/>
      <c r="F96" s="714" t="s">
        <v>148</v>
      </c>
      <c r="G96" s="715"/>
      <c r="H96" s="36">
        <f>SUM(H90:H95)</f>
        <v>36.480666999999997</v>
      </c>
      <c r="I96" s="48"/>
    </row>
    <row r="97" spans="1:9">
      <c r="A97" s="471"/>
      <c r="B97" s="471"/>
      <c r="C97" s="472"/>
      <c r="D97" s="472"/>
      <c r="E97" s="471"/>
      <c r="F97" s="473"/>
      <c r="G97" s="473"/>
      <c r="H97" s="474"/>
      <c r="I97" s="48"/>
    </row>
    <row r="98" spans="1:9">
      <c r="A98" s="738" t="s">
        <v>224</v>
      </c>
      <c r="B98" s="739"/>
      <c r="C98" s="740" t="s">
        <v>1044</v>
      </c>
      <c r="D98" s="741"/>
      <c r="E98" s="741"/>
      <c r="F98" s="742"/>
      <c r="G98" s="34"/>
      <c r="H98" s="34"/>
      <c r="I98" s="48"/>
    </row>
    <row r="99" spans="1:9" ht="12.75" customHeight="1">
      <c r="A99" s="34" t="s">
        <v>116</v>
      </c>
      <c r="B99" s="437"/>
      <c r="C99" s="738" t="s">
        <v>120</v>
      </c>
      <c r="D99" s="739"/>
      <c r="E99" s="34" t="s">
        <v>121</v>
      </c>
      <c r="F99" s="34" t="s">
        <v>122</v>
      </c>
      <c r="G99" s="34" t="s">
        <v>123</v>
      </c>
      <c r="H99" s="35" t="s">
        <v>124</v>
      </c>
      <c r="I99" s="48"/>
    </row>
    <row r="100" spans="1:9">
      <c r="A100" s="25">
        <v>88323</v>
      </c>
      <c r="B100" s="122"/>
      <c r="C100" s="856" t="s">
        <v>1036</v>
      </c>
      <c r="D100" s="857"/>
      <c r="E100" s="58" t="s">
        <v>130</v>
      </c>
      <c r="F100" s="475">
        <v>5.6000000000000001E-2</v>
      </c>
      <c r="G100" s="26">
        <v>16.899999999999999</v>
      </c>
      <c r="H100" s="60">
        <f>G100*F100</f>
        <v>0.94639999999999991</v>
      </c>
      <c r="I100" s="48"/>
    </row>
    <row r="101" spans="1:9">
      <c r="A101" s="27">
        <v>88316</v>
      </c>
      <c r="B101" s="77"/>
      <c r="C101" s="712" t="s">
        <v>1037</v>
      </c>
      <c r="D101" s="713"/>
      <c r="E101" s="58" t="s">
        <v>130</v>
      </c>
      <c r="F101" s="475">
        <v>6.0999999999999999E-2</v>
      </c>
      <c r="G101" s="28">
        <v>15.26</v>
      </c>
      <c r="H101" s="60">
        <f>G101*F101</f>
        <v>0.93086000000000002</v>
      </c>
      <c r="I101" s="48"/>
    </row>
    <row r="102" spans="1:9" ht="12.75" customHeight="1">
      <c r="A102" s="27">
        <v>11029</v>
      </c>
      <c r="B102" s="135"/>
      <c r="C102" s="712" t="s">
        <v>1038</v>
      </c>
      <c r="D102" s="713"/>
      <c r="E102" s="58" t="s">
        <v>52</v>
      </c>
      <c r="F102" s="68">
        <v>4.1500000000000004</v>
      </c>
      <c r="G102" s="28">
        <v>1.04</v>
      </c>
      <c r="H102" s="60">
        <f t="shared" ref="H102:H104" si="3">G102*F102</f>
        <v>4.3160000000000007</v>
      </c>
    </row>
    <row r="103" spans="1:9" ht="12.75" customHeight="1">
      <c r="A103" s="27">
        <v>93287</v>
      </c>
      <c r="B103" s="135"/>
      <c r="C103" s="712" t="s">
        <v>1039</v>
      </c>
      <c r="D103" s="713"/>
      <c r="E103" s="58" t="s">
        <v>1040</v>
      </c>
      <c r="F103" s="476">
        <v>6.9999999999999999E-4</v>
      </c>
      <c r="G103" s="28">
        <v>289.61</v>
      </c>
      <c r="H103" s="60">
        <f t="shared" si="3"/>
        <v>0.20272700000000002</v>
      </c>
    </row>
    <row r="104" spans="1:9">
      <c r="A104" s="27">
        <v>93288</v>
      </c>
      <c r="B104" s="135"/>
      <c r="C104" s="712" t="s">
        <v>1041</v>
      </c>
      <c r="D104" s="713"/>
      <c r="E104" s="58" t="s">
        <v>1042</v>
      </c>
      <c r="F104" s="475">
        <v>1E-3</v>
      </c>
      <c r="G104" s="28">
        <v>82.4</v>
      </c>
      <c r="H104" s="60">
        <f t="shared" si="3"/>
        <v>8.2400000000000001E-2</v>
      </c>
    </row>
    <row r="105" spans="1:9">
      <c r="A105" s="27">
        <v>7243</v>
      </c>
      <c r="B105" s="77"/>
      <c r="C105" s="712" t="s">
        <v>1045</v>
      </c>
      <c r="D105" s="713"/>
      <c r="E105" s="58" t="s">
        <v>28</v>
      </c>
      <c r="F105" s="475">
        <v>1</v>
      </c>
      <c r="G105" s="28">
        <v>38.76</v>
      </c>
      <c r="H105" s="60">
        <f>G105*F105</f>
        <v>38.76</v>
      </c>
    </row>
    <row r="106" spans="1:9">
      <c r="A106" s="124"/>
      <c r="B106" s="125"/>
      <c r="C106" s="125"/>
      <c r="D106" s="127"/>
      <c r="E106" s="124"/>
      <c r="F106" s="714" t="s">
        <v>148</v>
      </c>
      <c r="G106" s="715"/>
      <c r="H106" s="36">
        <f>SUM(H100:H105)</f>
        <v>45.238386999999996</v>
      </c>
    </row>
    <row r="107" spans="1:9" ht="12.75" customHeight="1" thickBot="1">
      <c r="A107" s="471"/>
      <c r="B107" s="471"/>
      <c r="C107" s="472"/>
      <c r="D107" s="472"/>
      <c r="E107" s="471"/>
      <c r="F107" s="473"/>
      <c r="G107" s="473"/>
      <c r="H107" s="474"/>
    </row>
    <row r="108" spans="1:9" ht="12.75" customHeight="1" thickBot="1">
      <c r="A108" s="477" t="s">
        <v>225</v>
      </c>
      <c r="B108" s="805" t="s">
        <v>1046</v>
      </c>
      <c r="C108" s="806"/>
      <c r="D108" s="806"/>
      <c r="E108" s="806"/>
      <c r="F108" s="806"/>
      <c r="G108" s="806"/>
      <c r="H108" s="807"/>
    </row>
    <row r="109" spans="1:9" ht="12.75" customHeight="1" thickBot="1">
      <c r="A109" s="478" t="s">
        <v>1047</v>
      </c>
      <c r="B109" s="479" t="s">
        <v>116</v>
      </c>
      <c r="C109" s="865" t="s">
        <v>1048</v>
      </c>
      <c r="D109" s="866"/>
      <c r="E109" s="480" t="s">
        <v>1049</v>
      </c>
      <c r="F109" s="481" t="s">
        <v>139</v>
      </c>
      <c r="G109" s="481" t="s">
        <v>1050</v>
      </c>
      <c r="H109" s="482" t="s">
        <v>1051</v>
      </c>
    </row>
    <row r="110" spans="1:9" ht="12.75" customHeight="1">
      <c r="A110" s="483" t="s">
        <v>358</v>
      </c>
      <c r="B110" s="484">
        <v>6114</v>
      </c>
      <c r="C110" s="867" t="s">
        <v>357</v>
      </c>
      <c r="D110" s="868"/>
      <c r="E110" s="485" t="s">
        <v>130</v>
      </c>
      <c r="F110" s="486">
        <v>0.22</v>
      </c>
      <c r="G110" s="487">
        <v>10.6</v>
      </c>
      <c r="H110" s="488">
        <f>(F110*G110)</f>
        <v>2.3319999999999999</v>
      </c>
    </row>
    <row r="111" spans="1:9" ht="12.75" customHeight="1">
      <c r="A111" s="489" t="s">
        <v>1052</v>
      </c>
      <c r="B111" s="490">
        <v>6117</v>
      </c>
      <c r="C111" s="869" t="s">
        <v>1053</v>
      </c>
      <c r="D111" s="869"/>
      <c r="E111" s="491" t="s">
        <v>130</v>
      </c>
      <c r="F111" s="492">
        <v>0.53</v>
      </c>
      <c r="G111" s="493">
        <v>10.6</v>
      </c>
      <c r="H111" s="488">
        <f t="shared" ref="H111:H118" si="4">(F111*G111)</f>
        <v>5.6180000000000003</v>
      </c>
    </row>
    <row r="112" spans="1:9" ht="12.75" customHeight="1">
      <c r="A112" s="489" t="s">
        <v>250</v>
      </c>
      <c r="B112" s="490">
        <v>1213</v>
      </c>
      <c r="C112" s="830" t="s">
        <v>1054</v>
      </c>
      <c r="D112" s="830"/>
      <c r="E112" s="491" t="s">
        <v>130</v>
      </c>
      <c r="F112" s="492">
        <v>0.53</v>
      </c>
      <c r="G112" s="493">
        <v>14.11</v>
      </c>
      <c r="H112" s="494">
        <f t="shared" si="4"/>
        <v>7.4782999999999999</v>
      </c>
    </row>
    <row r="113" spans="1:8" ht="12.75" customHeight="1">
      <c r="A113" s="489" t="s">
        <v>235</v>
      </c>
      <c r="B113" s="490">
        <v>378</v>
      </c>
      <c r="C113" s="831" t="s">
        <v>1055</v>
      </c>
      <c r="D113" s="832"/>
      <c r="E113" s="491" t="s">
        <v>130</v>
      </c>
      <c r="F113" s="492">
        <v>0.22</v>
      </c>
      <c r="G113" s="493">
        <v>14.11</v>
      </c>
      <c r="H113" s="488">
        <f t="shared" si="4"/>
        <v>3.1042000000000001</v>
      </c>
    </row>
    <row r="114" spans="1:8" ht="12.75" customHeight="1">
      <c r="A114" s="489" t="s">
        <v>156</v>
      </c>
      <c r="B114" s="490">
        <v>4750</v>
      </c>
      <c r="C114" s="830" t="s">
        <v>1056</v>
      </c>
      <c r="D114" s="830"/>
      <c r="E114" s="491" t="s">
        <v>130</v>
      </c>
      <c r="F114" s="492">
        <v>0.89</v>
      </c>
      <c r="G114" s="493">
        <v>14.11</v>
      </c>
      <c r="H114" s="488">
        <f t="shared" si="4"/>
        <v>12.5579</v>
      </c>
    </row>
    <row r="115" spans="1:8" ht="12.75" customHeight="1">
      <c r="A115" s="489" t="s">
        <v>157</v>
      </c>
      <c r="B115" s="495">
        <v>6111</v>
      </c>
      <c r="C115" s="830" t="s">
        <v>1057</v>
      </c>
      <c r="D115" s="830"/>
      <c r="E115" s="491" t="s">
        <v>130</v>
      </c>
      <c r="F115" s="492">
        <v>3.15</v>
      </c>
      <c r="G115" s="493">
        <v>10.49</v>
      </c>
      <c r="H115" s="488">
        <f t="shared" si="4"/>
        <v>33.043500000000002</v>
      </c>
    </row>
    <row r="116" spans="1:8" ht="12.75" customHeight="1">
      <c r="A116" s="496" t="s">
        <v>1058</v>
      </c>
      <c r="B116" s="497">
        <v>370</v>
      </c>
      <c r="C116" s="808" t="s">
        <v>1059</v>
      </c>
      <c r="D116" s="808"/>
      <c r="E116" s="491" t="s">
        <v>127</v>
      </c>
      <c r="F116" s="498">
        <v>0.06</v>
      </c>
      <c r="G116" s="493">
        <v>60</v>
      </c>
      <c r="H116" s="488">
        <f t="shared" si="4"/>
        <v>3.5999999999999996</v>
      </c>
    </row>
    <row r="117" spans="1:8" ht="12.75" customHeight="1">
      <c r="A117" s="496" t="s">
        <v>1060</v>
      </c>
      <c r="B117" s="497">
        <v>4721</v>
      </c>
      <c r="C117" s="809" t="s">
        <v>1061</v>
      </c>
      <c r="D117" s="810"/>
      <c r="E117" s="491" t="s">
        <v>127</v>
      </c>
      <c r="F117" s="498">
        <v>0.01</v>
      </c>
      <c r="G117" s="493">
        <v>49.7</v>
      </c>
      <c r="H117" s="488">
        <f t="shared" si="4"/>
        <v>0.49700000000000005</v>
      </c>
    </row>
    <row r="118" spans="1:8" ht="12.75" customHeight="1">
      <c r="A118" s="496" t="s">
        <v>1062</v>
      </c>
      <c r="B118" s="497">
        <v>4718</v>
      </c>
      <c r="C118" s="809" t="s">
        <v>1063</v>
      </c>
      <c r="D118" s="810"/>
      <c r="E118" s="491" t="s">
        <v>127</v>
      </c>
      <c r="F118" s="498">
        <v>0.02</v>
      </c>
      <c r="G118" s="493">
        <v>49.7</v>
      </c>
      <c r="H118" s="488">
        <f t="shared" si="4"/>
        <v>0.99400000000000011</v>
      </c>
    </row>
    <row r="119" spans="1:8" ht="12.75" customHeight="1">
      <c r="A119" s="496" t="s">
        <v>1064</v>
      </c>
      <c r="B119" s="497">
        <v>4720</v>
      </c>
      <c r="C119" s="809" t="s">
        <v>1065</v>
      </c>
      <c r="D119" s="810"/>
      <c r="E119" s="491" t="s">
        <v>127</v>
      </c>
      <c r="F119" s="198">
        <v>0.01</v>
      </c>
      <c r="G119" s="38">
        <v>63.46</v>
      </c>
      <c r="H119" s="488">
        <f>(F119*G119)</f>
        <v>0.63460000000000005</v>
      </c>
    </row>
    <row r="120" spans="1:8" ht="12.75" customHeight="1">
      <c r="A120" s="496" t="s">
        <v>1066</v>
      </c>
      <c r="B120" s="497">
        <v>1106</v>
      </c>
      <c r="C120" s="808" t="s">
        <v>1067</v>
      </c>
      <c r="D120" s="808"/>
      <c r="E120" s="491" t="s">
        <v>129</v>
      </c>
      <c r="F120" s="498">
        <v>0.54</v>
      </c>
      <c r="G120" s="493">
        <v>0.54</v>
      </c>
      <c r="H120" s="488">
        <f t="shared" ref="H120:H129" si="5">(F120*G120)</f>
        <v>0.29160000000000003</v>
      </c>
    </row>
    <row r="121" spans="1:8" ht="12.75" customHeight="1">
      <c r="A121" s="496" t="s">
        <v>1068</v>
      </c>
      <c r="B121" s="497">
        <v>1379</v>
      </c>
      <c r="C121" s="808" t="s">
        <v>1069</v>
      </c>
      <c r="D121" s="808"/>
      <c r="E121" s="491" t="s">
        <v>129</v>
      </c>
      <c r="F121" s="498">
        <v>19.13</v>
      </c>
      <c r="G121" s="493">
        <v>0.48</v>
      </c>
      <c r="H121" s="488">
        <f t="shared" si="5"/>
        <v>9.1823999999999995</v>
      </c>
    </row>
    <row r="122" spans="1:8" ht="12.75" customHeight="1">
      <c r="A122" s="496" t="s">
        <v>1070</v>
      </c>
      <c r="B122" s="497">
        <v>39397</v>
      </c>
      <c r="C122" s="808" t="s">
        <v>1071</v>
      </c>
      <c r="D122" s="808"/>
      <c r="E122" s="491" t="s">
        <v>359</v>
      </c>
      <c r="F122" s="498">
        <v>0.06</v>
      </c>
      <c r="G122" s="493">
        <v>5.74</v>
      </c>
      <c r="H122" s="488">
        <f t="shared" si="5"/>
        <v>0.34439999999999998</v>
      </c>
    </row>
    <row r="123" spans="1:8">
      <c r="A123" s="496" t="s">
        <v>1072</v>
      </c>
      <c r="B123" s="497">
        <v>39</v>
      </c>
      <c r="C123" s="808" t="s">
        <v>1073</v>
      </c>
      <c r="D123" s="808"/>
      <c r="E123" s="491" t="s">
        <v>129</v>
      </c>
      <c r="F123" s="498">
        <v>0.92</v>
      </c>
      <c r="G123" s="493">
        <v>4.17</v>
      </c>
      <c r="H123" s="488">
        <f t="shared" si="5"/>
        <v>3.8364000000000003</v>
      </c>
    </row>
    <row r="124" spans="1:8" ht="12.75" customHeight="1">
      <c r="A124" s="496" t="s">
        <v>1074</v>
      </c>
      <c r="B124" s="497">
        <v>34</v>
      </c>
      <c r="C124" s="870" t="s">
        <v>1075</v>
      </c>
      <c r="D124" s="808"/>
      <c r="E124" s="491" t="s">
        <v>129</v>
      </c>
      <c r="F124" s="498">
        <v>2.27</v>
      </c>
      <c r="G124" s="493">
        <v>4.2</v>
      </c>
      <c r="H124" s="488">
        <f t="shared" si="5"/>
        <v>9.5340000000000007</v>
      </c>
    </row>
    <row r="125" spans="1:8">
      <c r="A125" s="489" t="s">
        <v>412</v>
      </c>
      <c r="B125" s="490">
        <v>34573</v>
      </c>
      <c r="C125" s="871" t="s">
        <v>1076</v>
      </c>
      <c r="D125" s="872"/>
      <c r="E125" s="491" t="s">
        <v>126</v>
      </c>
      <c r="F125" s="499">
        <v>10</v>
      </c>
      <c r="G125" s="493">
        <v>2.71</v>
      </c>
      <c r="H125" s="488">
        <f t="shared" si="5"/>
        <v>27.1</v>
      </c>
    </row>
    <row r="126" spans="1:8" ht="12.75" customHeight="1">
      <c r="A126" s="500" t="s">
        <v>236</v>
      </c>
      <c r="B126" s="501">
        <v>5061</v>
      </c>
      <c r="C126" s="862" t="s">
        <v>1077</v>
      </c>
      <c r="D126" s="862"/>
      <c r="E126" s="491" t="s">
        <v>129</v>
      </c>
      <c r="F126" s="502">
        <v>7.0000000000000007E-2</v>
      </c>
      <c r="G126" s="503">
        <v>8</v>
      </c>
      <c r="H126" s="488">
        <f>(F126*G126)</f>
        <v>0.56000000000000005</v>
      </c>
    </row>
    <row r="127" spans="1:8">
      <c r="A127" s="500" t="s">
        <v>1078</v>
      </c>
      <c r="B127" s="501">
        <v>337</v>
      </c>
      <c r="C127" s="862" t="s">
        <v>1079</v>
      </c>
      <c r="D127" s="862"/>
      <c r="E127" s="491" t="s">
        <v>129</v>
      </c>
      <c r="F127" s="502">
        <v>5.6000000000000001E-2</v>
      </c>
      <c r="G127" s="503">
        <v>7.85</v>
      </c>
      <c r="H127" s="488">
        <f t="shared" si="5"/>
        <v>0.43959999999999999</v>
      </c>
    </row>
    <row r="128" spans="1:8" ht="12.75" customHeight="1">
      <c r="A128" s="500" t="s">
        <v>1080</v>
      </c>
      <c r="B128" s="501">
        <v>4496</v>
      </c>
      <c r="C128" s="862" t="s">
        <v>1081</v>
      </c>
      <c r="D128" s="862"/>
      <c r="E128" s="502" t="s">
        <v>128</v>
      </c>
      <c r="F128" s="502">
        <v>1.07</v>
      </c>
      <c r="G128" s="503">
        <v>2.42</v>
      </c>
      <c r="H128" s="488">
        <f t="shared" si="5"/>
        <v>2.5893999999999999</v>
      </c>
    </row>
    <row r="129" spans="1:8">
      <c r="A129" s="500" t="s">
        <v>237</v>
      </c>
      <c r="B129" s="501">
        <v>4460</v>
      </c>
      <c r="C129" s="862" t="s">
        <v>1082</v>
      </c>
      <c r="D129" s="862"/>
      <c r="E129" s="502" t="s">
        <v>128</v>
      </c>
      <c r="F129" s="502">
        <v>0.54</v>
      </c>
      <c r="G129" s="503">
        <v>4.9800000000000004</v>
      </c>
      <c r="H129" s="488">
        <f t="shared" si="5"/>
        <v>2.6892000000000005</v>
      </c>
    </row>
    <row r="130" spans="1:8" ht="12.75" customHeight="1">
      <c r="A130" s="500" t="s">
        <v>1083</v>
      </c>
      <c r="B130" s="501">
        <v>6189</v>
      </c>
      <c r="C130" s="862" t="s">
        <v>1084</v>
      </c>
      <c r="D130" s="862"/>
      <c r="E130" s="502" t="s">
        <v>128</v>
      </c>
      <c r="F130" s="502">
        <v>1.01</v>
      </c>
      <c r="G130" s="503">
        <v>6.33</v>
      </c>
      <c r="H130" s="488">
        <f>(F130*G130)</f>
        <v>6.3933</v>
      </c>
    </row>
    <row r="131" spans="1:8">
      <c r="A131" s="504"/>
      <c r="B131" s="505"/>
      <c r="C131" s="863"/>
      <c r="D131" s="864"/>
      <c r="E131" s="506"/>
      <c r="F131" s="507" t="s">
        <v>1085</v>
      </c>
      <c r="G131" s="508"/>
      <c r="H131" s="509">
        <f>SUM(H110:H130)</f>
        <v>132.81980000000001</v>
      </c>
    </row>
    <row r="132" spans="1:8">
      <c r="A132" s="61"/>
      <c r="B132" s="62"/>
      <c r="C132" s="63"/>
      <c r="D132" s="64"/>
      <c r="E132" s="61"/>
      <c r="F132" s="768"/>
      <c r="G132" s="769"/>
      <c r="H132" s="44"/>
    </row>
    <row r="133" spans="1:8" ht="12.75" customHeight="1">
      <c r="E133"/>
    </row>
    <row r="134" spans="1:8" ht="12.75" customHeight="1">
      <c r="A134" s="510" t="s">
        <v>399</v>
      </c>
      <c r="B134" s="811" t="s">
        <v>1086</v>
      </c>
      <c r="C134" s="812"/>
      <c r="D134" s="812"/>
      <c r="E134" s="812"/>
      <c r="F134" s="812"/>
      <c r="G134" s="812"/>
      <c r="H134" s="813"/>
    </row>
    <row r="135" spans="1:8" ht="12.75" customHeight="1">
      <c r="A135" s="511" t="s">
        <v>1047</v>
      </c>
      <c r="B135" s="511" t="s">
        <v>116</v>
      </c>
      <c r="C135" s="859" t="s">
        <v>1048</v>
      </c>
      <c r="D135" s="859"/>
      <c r="E135" s="512" t="s">
        <v>1049</v>
      </c>
      <c r="F135" s="512" t="s">
        <v>139</v>
      </c>
      <c r="G135" s="512" t="s">
        <v>1050</v>
      </c>
      <c r="H135" s="513" t="s">
        <v>1051</v>
      </c>
    </row>
    <row r="136" spans="1:8" ht="12.75" customHeight="1">
      <c r="A136" s="514"/>
      <c r="B136" s="514">
        <v>11161</v>
      </c>
      <c r="C136" s="860" t="s">
        <v>1087</v>
      </c>
      <c r="D136" s="861"/>
      <c r="E136" s="514" t="s">
        <v>129</v>
      </c>
      <c r="F136" s="515">
        <v>0.45</v>
      </c>
      <c r="G136" s="516">
        <v>0.9</v>
      </c>
      <c r="H136" s="517">
        <f>G136*F136</f>
        <v>0.40500000000000003</v>
      </c>
    </row>
    <row r="137" spans="1:8" ht="12.75" customHeight="1">
      <c r="A137" s="514"/>
      <c r="B137" s="514">
        <v>6111</v>
      </c>
      <c r="C137" s="861" t="s">
        <v>1088</v>
      </c>
      <c r="D137" s="861"/>
      <c r="E137" s="514" t="s">
        <v>130</v>
      </c>
      <c r="F137" s="515">
        <v>0.3</v>
      </c>
      <c r="G137" s="516">
        <v>10.49</v>
      </c>
      <c r="H137" s="517">
        <f>G137*F137</f>
        <v>3.1469999999999998</v>
      </c>
    </row>
    <row r="138" spans="1:8" ht="12.75" customHeight="1">
      <c r="A138" s="518"/>
      <c r="B138" s="518"/>
      <c r="C138" s="858"/>
      <c r="D138" s="858"/>
      <c r="E138" s="519"/>
      <c r="F138" s="520" t="s">
        <v>1085</v>
      </c>
      <c r="G138" s="520"/>
      <c r="H138" s="521">
        <f>SUM(H136:H137)</f>
        <v>3.5519999999999996</v>
      </c>
    </row>
    <row r="139" spans="1:8" ht="12.75" customHeight="1">
      <c r="A139" s="522"/>
      <c r="B139" s="522"/>
      <c r="C139" s="522"/>
      <c r="D139" s="522"/>
      <c r="E139" s="523"/>
      <c r="F139" s="524"/>
      <c r="G139" s="524"/>
      <c r="H139" s="525"/>
    </row>
    <row r="140" spans="1:8">
      <c r="A140" s="738" t="s">
        <v>400</v>
      </c>
      <c r="B140" s="739"/>
      <c r="C140" s="740" t="s">
        <v>232</v>
      </c>
      <c r="D140" s="741"/>
      <c r="E140" s="741"/>
      <c r="F140" s="741"/>
      <c r="G140" s="741"/>
      <c r="H140" s="745"/>
    </row>
    <row r="141" spans="1:8" ht="25.5">
      <c r="A141" s="34" t="s">
        <v>231</v>
      </c>
      <c r="B141" s="437"/>
      <c r="C141" s="738" t="s">
        <v>120</v>
      </c>
      <c r="D141" s="739"/>
      <c r="E141" s="34" t="s">
        <v>121</v>
      </c>
      <c r="F141" s="34" t="s">
        <v>122</v>
      </c>
      <c r="G141" s="34" t="s">
        <v>123</v>
      </c>
      <c r="H141" s="35" t="s">
        <v>124</v>
      </c>
    </row>
    <row r="142" spans="1:8">
      <c r="A142" s="25">
        <v>4750</v>
      </c>
      <c r="B142" s="442" t="s">
        <v>156</v>
      </c>
      <c r="C142" s="749" t="s">
        <v>346</v>
      </c>
      <c r="D142" s="750"/>
      <c r="E142" s="58" t="s">
        <v>130</v>
      </c>
      <c r="F142" s="59">
        <v>0.5</v>
      </c>
      <c r="G142" s="26">
        <v>14.11</v>
      </c>
      <c r="H142" s="60">
        <f>SUM(F142*G142)</f>
        <v>7.0549999999999997</v>
      </c>
    </row>
    <row r="143" spans="1:8" ht="12.75" customHeight="1">
      <c r="A143" s="58">
        <v>6127</v>
      </c>
      <c r="B143" s="442" t="s">
        <v>157</v>
      </c>
      <c r="C143" s="743" t="s">
        <v>398</v>
      </c>
      <c r="D143" s="744"/>
      <c r="E143" s="58" t="s">
        <v>130</v>
      </c>
      <c r="F143" s="65">
        <v>0.8</v>
      </c>
      <c r="G143" s="26">
        <v>10.27</v>
      </c>
      <c r="H143" s="60">
        <f>SUM(F143*G143)</f>
        <v>8.2159999999999993</v>
      </c>
    </row>
    <row r="144" spans="1:8" ht="12.75" customHeight="1">
      <c r="A144" s="25">
        <v>370</v>
      </c>
      <c r="B144" s="442" t="s">
        <v>233</v>
      </c>
      <c r="C144" s="749" t="s">
        <v>344</v>
      </c>
      <c r="D144" s="750"/>
      <c r="E144" s="58" t="s">
        <v>127</v>
      </c>
      <c r="F144" s="66">
        <v>2.3E-2</v>
      </c>
      <c r="G144" s="26">
        <v>60</v>
      </c>
      <c r="H144" s="60">
        <f>SUM(F144*G144)</f>
        <v>1.38</v>
      </c>
    </row>
    <row r="145" spans="1:8" ht="12.75" customHeight="1">
      <c r="A145" s="12">
        <v>1379</v>
      </c>
      <c r="B145" s="67">
        <v>2065353</v>
      </c>
      <c r="C145" s="849" t="s">
        <v>345</v>
      </c>
      <c r="D145" s="850"/>
      <c r="E145" s="58" t="s">
        <v>158</v>
      </c>
      <c r="F145" s="68">
        <v>9.4499999999999993</v>
      </c>
      <c r="G145" s="26">
        <v>0.48</v>
      </c>
      <c r="H145" s="60">
        <f>SUM(F145*G145)</f>
        <v>4.5359999999999996</v>
      </c>
    </row>
    <row r="146" spans="1:8" ht="12.75" customHeight="1">
      <c r="A146" s="25">
        <v>38366</v>
      </c>
      <c r="B146" s="442" t="s">
        <v>234</v>
      </c>
      <c r="C146" s="747" t="s">
        <v>401</v>
      </c>
      <c r="D146" s="748"/>
      <c r="E146" s="58" t="s">
        <v>125</v>
      </c>
      <c r="F146" s="68">
        <v>1.1499999999999999</v>
      </c>
      <c r="G146" s="26">
        <v>3.25</v>
      </c>
      <c r="H146" s="60">
        <f>SUM(F146*G146)</f>
        <v>3.7374999999999998</v>
      </c>
    </row>
    <row r="147" spans="1:8" ht="12.75" customHeight="1">
      <c r="A147" s="61"/>
      <c r="B147" s="62"/>
      <c r="C147" s="63"/>
      <c r="D147" s="64"/>
      <c r="E147" s="61"/>
      <c r="F147" s="768" t="s">
        <v>148</v>
      </c>
      <c r="G147" s="769"/>
      <c r="H147" s="44">
        <f>SUM(H142:H146)</f>
        <v>24.924499999999998</v>
      </c>
    </row>
    <row r="148" spans="1:8" ht="12.75" customHeight="1">
      <c r="E148"/>
    </row>
    <row r="149" spans="1:8">
      <c r="A149" s="776" t="s">
        <v>240</v>
      </c>
      <c r="B149" s="777"/>
      <c r="C149" s="787" t="s">
        <v>1089</v>
      </c>
      <c r="D149" s="788"/>
      <c r="E149" s="788"/>
      <c r="F149" s="788"/>
      <c r="G149" s="788"/>
      <c r="H149" s="789"/>
    </row>
    <row r="150" spans="1:8" ht="12.75" customHeight="1">
      <c r="A150" s="450" t="s">
        <v>116</v>
      </c>
      <c r="B150" s="447" t="s">
        <v>119</v>
      </c>
      <c r="C150" s="761" t="s">
        <v>120</v>
      </c>
      <c r="D150" s="762"/>
      <c r="E150" s="23" t="s">
        <v>121</v>
      </c>
      <c r="F150" s="23" t="s">
        <v>122</v>
      </c>
      <c r="G150" s="449" t="s">
        <v>140</v>
      </c>
      <c r="H150" s="24" t="s">
        <v>124</v>
      </c>
    </row>
    <row r="151" spans="1:8">
      <c r="A151" s="25">
        <v>4760</v>
      </c>
      <c r="B151" s="43"/>
      <c r="C151" s="743" t="s">
        <v>1090</v>
      </c>
      <c r="D151" s="744"/>
      <c r="E151" s="58" t="s">
        <v>130</v>
      </c>
      <c r="F151" s="69">
        <v>0.4</v>
      </c>
      <c r="G151" s="38">
        <v>12.83</v>
      </c>
      <c r="H151" s="70">
        <f>F151*G151</f>
        <v>5.1320000000000006</v>
      </c>
    </row>
    <row r="152" spans="1:8" ht="12.75" customHeight="1">
      <c r="A152" s="25">
        <v>6111</v>
      </c>
      <c r="C152" s="743" t="s">
        <v>1091</v>
      </c>
      <c r="D152" s="744"/>
      <c r="E152" s="58" t="s">
        <v>130</v>
      </c>
      <c r="F152" s="69">
        <v>0.2</v>
      </c>
      <c r="G152" s="38">
        <v>10.49</v>
      </c>
      <c r="H152" s="70">
        <f>F152*G152</f>
        <v>2.0980000000000003</v>
      </c>
    </row>
    <row r="153" spans="1:8">
      <c r="A153" s="25">
        <v>1379</v>
      </c>
      <c r="B153" s="43"/>
      <c r="C153" s="712" t="s">
        <v>1092</v>
      </c>
      <c r="D153" s="713"/>
      <c r="E153" s="58" t="s">
        <v>129</v>
      </c>
      <c r="F153" s="69">
        <v>0.25</v>
      </c>
      <c r="G153" s="26">
        <v>0.48</v>
      </c>
      <c r="H153" s="70">
        <f>F153*G153</f>
        <v>0.12</v>
      </c>
    </row>
    <row r="154" spans="1:8" ht="12.75" customHeight="1">
      <c r="A154" s="27">
        <v>1381</v>
      </c>
      <c r="B154" s="71"/>
      <c r="C154" s="833" t="s">
        <v>1093</v>
      </c>
      <c r="D154" s="834"/>
      <c r="E154" s="58" t="s">
        <v>129</v>
      </c>
      <c r="F154" s="72">
        <v>4</v>
      </c>
      <c r="G154" s="28">
        <v>0.61</v>
      </c>
      <c r="H154" s="70">
        <f>F154*G154</f>
        <v>2.44</v>
      </c>
    </row>
    <row r="155" spans="1:8" ht="12.75" customHeight="1">
      <c r="A155" s="27">
        <v>536</v>
      </c>
      <c r="B155" s="43"/>
      <c r="C155" s="712" t="s">
        <v>1094</v>
      </c>
      <c r="D155" s="713"/>
      <c r="E155" s="72" t="s">
        <v>1095</v>
      </c>
      <c r="F155" s="72">
        <v>1.19</v>
      </c>
      <c r="G155" s="28">
        <v>30.15</v>
      </c>
      <c r="H155" s="70">
        <f>F155*G155</f>
        <v>35.878499999999995</v>
      </c>
    </row>
    <row r="156" spans="1:8" ht="12.75" customHeight="1">
      <c r="A156" s="15"/>
      <c r="B156" s="55"/>
      <c r="C156" s="526"/>
      <c r="D156" s="527"/>
      <c r="E156" s="124"/>
      <c r="F156" s="790" t="s">
        <v>148</v>
      </c>
      <c r="G156" s="791"/>
      <c r="H156" s="47">
        <f>SUM(H151:H155)</f>
        <v>45.668499999999995</v>
      </c>
    </row>
    <row r="157" spans="1:8" ht="12.75" customHeight="1">
      <c r="E157"/>
    </row>
    <row r="158" spans="1:8">
      <c r="A158" s="776" t="s">
        <v>241</v>
      </c>
      <c r="B158" s="777"/>
      <c r="C158" s="787" t="s">
        <v>1096</v>
      </c>
      <c r="D158" s="788"/>
      <c r="E158" s="788"/>
      <c r="F158" s="788"/>
      <c r="G158" s="788"/>
      <c r="H158" s="789"/>
    </row>
    <row r="159" spans="1:8" ht="12.75" customHeight="1">
      <c r="A159" s="450" t="s">
        <v>116</v>
      </c>
      <c r="B159" s="447" t="s">
        <v>119</v>
      </c>
      <c r="C159" s="761" t="s">
        <v>120</v>
      </c>
      <c r="D159" s="762"/>
      <c r="E159" s="23" t="s">
        <v>121</v>
      </c>
      <c r="F159" s="23" t="s">
        <v>122</v>
      </c>
      <c r="G159" s="449" t="s">
        <v>140</v>
      </c>
      <c r="H159" s="24" t="s">
        <v>124</v>
      </c>
    </row>
    <row r="160" spans="1:8">
      <c r="A160" s="25">
        <v>34466</v>
      </c>
      <c r="B160" s="442" t="s">
        <v>226</v>
      </c>
      <c r="C160" s="743" t="s">
        <v>1097</v>
      </c>
      <c r="D160" s="744"/>
      <c r="E160" s="58" t="s">
        <v>130</v>
      </c>
      <c r="F160" s="69">
        <v>0.2</v>
      </c>
      <c r="G160" s="38">
        <v>10.62</v>
      </c>
      <c r="H160" s="70">
        <f>F160*G160</f>
        <v>2.1240000000000001</v>
      </c>
    </row>
    <row r="161" spans="1:8" ht="12.75" customHeight="1">
      <c r="A161" s="25">
        <v>4783</v>
      </c>
      <c r="B161" s="442" t="s">
        <v>227</v>
      </c>
      <c r="C161" s="438" t="s">
        <v>1098</v>
      </c>
      <c r="D161" s="446"/>
      <c r="E161" s="58" t="s">
        <v>130</v>
      </c>
      <c r="F161" s="69">
        <v>0.3</v>
      </c>
      <c r="G161" s="38">
        <v>14.11</v>
      </c>
      <c r="H161" s="70">
        <f>F161*G161</f>
        <v>4.2329999999999997</v>
      </c>
    </row>
    <row r="162" spans="1:8">
      <c r="A162" s="25">
        <v>4056</v>
      </c>
      <c r="B162" s="442" t="s">
        <v>243</v>
      </c>
      <c r="C162" s="712" t="s">
        <v>1099</v>
      </c>
      <c r="D162" s="713"/>
      <c r="E162" s="58" t="s">
        <v>228</v>
      </c>
      <c r="F162" s="69">
        <v>0.7</v>
      </c>
      <c r="G162" s="26">
        <v>3.9</v>
      </c>
      <c r="H162" s="70">
        <f>F162*G162</f>
        <v>2.73</v>
      </c>
    </row>
    <row r="163" spans="1:8">
      <c r="A163" s="27">
        <v>3767</v>
      </c>
      <c r="B163" s="74" t="s">
        <v>229</v>
      </c>
      <c r="C163" s="712" t="s">
        <v>1100</v>
      </c>
      <c r="D163" s="713"/>
      <c r="E163" s="72" t="s">
        <v>121</v>
      </c>
      <c r="F163" s="75">
        <v>0.4</v>
      </c>
      <c r="G163" s="28">
        <v>0.61</v>
      </c>
      <c r="H163" s="70">
        <f>F163*G163</f>
        <v>0.24399999999999999</v>
      </c>
    </row>
    <row r="164" spans="1:8">
      <c r="A164" s="31"/>
      <c r="B164" s="39"/>
      <c r="C164" s="785"/>
      <c r="D164" s="786"/>
      <c r="E164" s="76"/>
      <c r="F164" s="738" t="s">
        <v>148</v>
      </c>
      <c r="G164" s="739"/>
      <c r="H164" s="30">
        <f>SUM(H160:H163)</f>
        <v>9.3309999999999995</v>
      </c>
    </row>
    <row r="165" spans="1:8" ht="12.75" customHeight="1">
      <c r="E165"/>
    </row>
    <row r="166" spans="1:8">
      <c r="A166" s="776" t="s">
        <v>242</v>
      </c>
      <c r="B166" s="777"/>
      <c r="C166" s="778" t="s">
        <v>1101</v>
      </c>
      <c r="D166" s="779"/>
      <c r="E166" s="779"/>
      <c r="F166" s="779"/>
      <c r="G166" s="779"/>
      <c r="H166" s="780"/>
    </row>
    <row r="167" spans="1:8" ht="12.75" customHeight="1">
      <c r="A167" s="450" t="s">
        <v>116</v>
      </c>
      <c r="B167" s="441"/>
      <c r="C167" s="761" t="s">
        <v>120</v>
      </c>
      <c r="D167" s="762"/>
      <c r="E167" s="23" t="s">
        <v>121</v>
      </c>
      <c r="F167" s="23" t="s">
        <v>122</v>
      </c>
      <c r="G167" s="449" t="s">
        <v>140</v>
      </c>
      <c r="H167" s="24" t="s">
        <v>124</v>
      </c>
    </row>
    <row r="168" spans="1:8">
      <c r="A168" s="25">
        <v>4989</v>
      </c>
      <c r="B168" s="438"/>
      <c r="C168" s="712" t="s">
        <v>1102</v>
      </c>
      <c r="D168" s="713"/>
      <c r="E168" s="58" t="s">
        <v>121</v>
      </c>
      <c r="F168" s="69">
        <v>1</v>
      </c>
      <c r="G168" s="26">
        <v>238.97</v>
      </c>
      <c r="H168" s="70">
        <f>F168*G168</f>
        <v>238.97</v>
      </c>
    </row>
    <row r="169" spans="1:8">
      <c r="A169" s="27">
        <v>4750</v>
      </c>
      <c r="B169" s="77"/>
      <c r="C169" s="712" t="s">
        <v>1103</v>
      </c>
      <c r="D169" s="713"/>
      <c r="E169" s="58" t="s">
        <v>439</v>
      </c>
      <c r="F169" s="528">
        <v>1.512</v>
      </c>
      <c r="G169" s="28">
        <v>14.11</v>
      </c>
      <c r="H169" s="70">
        <f t="shared" ref="H169:H177" si="6">F169*G169</f>
        <v>21.334319999999998</v>
      </c>
    </row>
    <row r="170" spans="1:8">
      <c r="A170" s="27">
        <v>1214</v>
      </c>
      <c r="B170" s="77"/>
      <c r="C170" s="712" t="s">
        <v>1104</v>
      </c>
      <c r="D170" s="713"/>
      <c r="E170" s="72" t="s">
        <v>439</v>
      </c>
      <c r="F170" s="528">
        <v>2.19</v>
      </c>
      <c r="G170" s="28">
        <v>13.9</v>
      </c>
      <c r="H170" s="70">
        <f t="shared" si="6"/>
        <v>30.440999999999999</v>
      </c>
    </row>
    <row r="171" spans="1:8" ht="12.75" customHeight="1">
      <c r="A171" s="27">
        <v>184</v>
      </c>
      <c r="B171" s="77"/>
      <c r="C171" s="712" t="s">
        <v>1105</v>
      </c>
      <c r="D171" s="746"/>
      <c r="E171" s="72" t="s">
        <v>1106</v>
      </c>
      <c r="F171" s="75">
        <v>1</v>
      </c>
      <c r="G171" s="28">
        <v>58.82</v>
      </c>
      <c r="H171" s="70">
        <f t="shared" si="6"/>
        <v>58.82</v>
      </c>
    </row>
    <row r="172" spans="1:8" ht="12.75" customHeight="1">
      <c r="A172" s="27">
        <v>20247</v>
      </c>
      <c r="B172" s="77"/>
      <c r="C172" s="712" t="s">
        <v>1107</v>
      </c>
      <c r="D172" s="713"/>
      <c r="E172" s="72" t="s">
        <v>129</v>
      </c>
      <c r="F172" s="529">
        <v>0.64800000000000002</v>
      </c>
      <c r="G172" s="28">
        <v>9.01</v>
      </c>
      <c r="H172" s="70">
        <f t="shared" si="6"/>
        <v>5.8384799999999997</v>
      </c>
    </row>
    <row r="173" spans="1:8" ht="12.75" customHeight="1">
      <c r="A173" s="27">
        <v>6111</v>
      </c>
      <c r="B173" s="77"/>
      <c r="C173" s="712" t="s">
        <v>1013</v>
      </c>
      <c r="D173" s="713"/>
      <c r="E173" s="58" t="s">
        <v>130</v>
      </c>
      <c r="F173" s="530">
        <v>3.702</v>
      </c>
      <c r="G173" s="28">
        <v>10.49</v>
      </c>
      <c r="H173" s="70">
        <f t="shared" si="6"/>
        <v>38.833979999999997</v>
      </c>
    </row>
    <row r="174" spans="1:8">
      <c r="A174" s="27">
        <v>20017</v>
      </c>
      <c r="B174" s="77"/>
      <c r="C174" s="712" t="s">
        <v>1108</v>
      </c>
      <c r="D174" s="713"/>
      <c r="E174" s="72" t="s">
        <v>128</v>
      </c>
      <c r="F174" s="78">
        <v>10.8</v>
      </c>
      <c r="G174" s="28">
        <v>2.69</v>
      </c>
      <c r="H174" s="70">
        <f t="shared" si="6"/>
        <v>29.052</v>
      </c>
    </row>
    <row r="175" spans="1:8" ht="12.75" customHeight="1">
      <c r="A175" s="27">
        <v>2433</v>
      </c>
      <c r="B175" s="77"/>
      <c r="C175" s="712" t="s">
        <v>1109</v>
      </c>
      <c r="D175" s="713"/>
      <c r="E175" s="72" t="s">
        <v>126</v>
      </c>
      <c r="F175" s="78">
        <v>3</v>
      </c>
      <c r="G175" s="26">
        <v>3.06</v>
      </c>
      <c r="H175" s="70">
        <f>F175*G175</f>
        <v>9.18</v>
      </c>
    </row>
    <row r="176" spans="1:8">
      <c r="A176" s="27">
        <v>11058</v>
      </c>
      <c r="B176" s="77"/>
      <c r="C176" s="784" t="s">
        <v>1110</v>
      </c>
      <c r="D176" s="784"/>
      <c r="E176" s="58" t="s">
        <v>126</v>
      </c>
      <c r="F176" s="69">
        <v>3</v>
      </c>
      <c r="G176" s="26">
        <v>0.23</v>
      </c>
      <c r="H176" s="70">
        <f t="shared" si="6"/>
        <v>0.69000000000000006</v>
      </c>
    </row>
    <row r="177" spans="1:8">
      <c r="A177" s="27">
        <v>35274</v>
      </c>
      <c r="B177" s="77"/>
      <c r="C177" s="712" t="s">
        <v>1111</v>
      </c>
      <c r="D177" s="713"/>
      <c r="E177" s="58" t="s">
        <v>128</v>
      </c>
      <c r="F177" s="531">
        <v>0.18</v>
      </c>
      <c r="G177" s="26">
        <v>20.27</v>
      </c>
      <c r="H177" s="70">
        <f t="shared" si="6"/>
        <v>3.6485999999999996</v>
      </c>
    </row>
    <row r="178" spans="1:8" ht="12.75" customHeight="1">
      <c r="A178" s="29"/>
      <c r="B178" s="63"/>
      <c r="C178" s="763"/>
      <c r="D178" s="764"/>
      <c r="E178" s="61"/>
      <c r="F178" s="768" t="s">
        <v>148</v>
      </c>
      <c r="G178" s="769"/>
      <c r="H178" s="30">
        <f>SUM(H168:H177)</f>
        <v>436.80838</v>
      </c>
    </row>
    <row r="179" spans="1:8" ht="12.75" customHeight="1">
      <c r="A179" s="532"/>
      <c r="B179" s="533"/>
      <c r="C179" s="534"/>
      <c r="D179" s="534"/>
      <c r="E179" s="535"/>
      <c r="F179" s="536"/>
      <c r="G179" s="536"/>
      <c r="H179" s="536"/>
    </row>
    <row r="180" spans="1:8" ht="12.75" customHeight="1">
      <c r="A180" s="49"/>
      <c r="B180" s="117"/>
      <c r="C180" s="445"/>
      <c r="D180" s="445"/>
      <c r="E180" s="537"/>
      <c r="F180" s="454"/>
      <c r="G180" s="454"/>
      <c r="H180" s="454"/>
    </row>
    <row r="181" spans="1:8" ht="12.75" customHeight="1">
      <c r="A181" s="776" t="s">
        <v>244</v>
      </c>
      <c r="B181" s="777"/>
      <c r="C181" s="778" t="s">
        <v>1112</v>
      </c>
      <c r="D181" s="779"/>
      <c r="E181" s="779"/>
      <c r="F181" s="779"/>
      <c r="G181" s="779"/>
      <c r="H181" s="780"/>
    </row>
    <row r="182" spans="1:8" ht="25.5">
      <c r="A182" s="450" t="s">
        <v>116</v>
      </c>
      <c r="B182" s="441" t="s">
        <v>155</v>
      </c>
      <c r="C182" s="761" t="s">
        <v>120</v>
      </c>
      <c r="D182" s="762"/>
      <c r="E182" s="23" t="s">
        <v>121</v>
      </c>
      <c r="F182" s="23" t="s">
        <v>122</v>
      </c>
      <c r="G182" s="449" t="s">
        <v>140</v>
      </c>
      <c r="H182" s="24" t="s">
        <v>124</v>
      </c>
    </row>
    <row r="183" spans="1:8" ht="12.75" customHeight="1">
      <c r="A183" s="538">
        <v>6111</v>
      </c>
      <c r="B183" s="77"/>
      <c r="C183" s="712" t="s">
        <v>1053</v>
      </c>
      <c r="D183" s="713"/>
      <c r="E183" s="539" t="s">
        <v>130</v>
      </c>
      <c r="F183" s="457">
        <v>1</v>
      </c>
      <c r="G183" s="28">
        <v>10.6</v>
      </c>
      <c r="H183" s="70">
        <f>F183*G183</f>
        <v>10.6</v>
      </c>
    </row>
    <row r="184" spans="1:8" ht="12.75" customHeight="1">
      <c r="A184" s="54">
        <v>1214</v>
      </c>
      <c r="B184" s="438"/>
      <c r="C184" s="712" t="s">
        <v>1113</v>
      </c>
      <c r="D184" s="713"/>
      <c r="E184" s="539" t="s">
        <v>130</v>
      </c>
      <c r="F184" s="457">
        <v>1</v>
      </c>
      <c r="G184" s="26">
        <v>13.9</v>
      </c>
      <c r="H184" s="70">
        <f>F184*G184</f>
        <v>13.9</v>
      </c>
    </row>
    <row r="185" spans="1:8" ht="12.75" customHeight="1">
      <c r="A185" s="311">
        <v>4750</v>
      </c>
      <c r="B185" s="37"/>
      <c r="C185" s="873" t="s">
        <v>1056</v>
      </c>
      <c r="D185" s="873"/>
      <c r="E185" s="311" t="s">
        <v>130</v>
      </c>
      <c r="F185" s="311">
        <v>0.68</v>
      </c>
      <c r="G185" s="540">
        <v>14.11</v>
      </c>
      <c r="H185" s="70">
        <f t="shared" ref="H185:H194" si="7">F185*G185</f>
        <v>9.5948000000000011</v>
      </c>
    </row>
    <row r="186" spans="1:8" ht="12.75" customHeight="1">
      <c r="A186" s="538">
        <v>4958</v>
      </c>
      <c r="B186" s="77"/>
      <c r="C186" s="874" t="s">
        <v>1114</v>
      </c>
      <c r="D186" s="875"/>
      <c r="E186" s="541" t="s">
        <v>28</v>
      </c>
      <c r="F186" s="542">
        <v>1</v>
      </c>
      <c r="G186" s="28">
        <v>127.67</v>
      </c>
      <c r="H186" s="70">
        <f t="shared" si="7"/>
        <v>127.67</v>
      </c>
    </row>
    <row r="187" spans="1:8" ht="12.75" customHeight="1">
      <c r="A187" s="27">
        <v>5067</v>
      </c>
      <c r="B187" s="77"/>
      <c r="C187" s="712" t="s">
        <v>1115</v>
      </c>
      <c r="D187" s="746"/>
      <c r="E187" s="72" t="s">
        <v>129</v>
      </c>
      <c r="F187" s="75">
        <v>0.15</v>
      </c>
      <c r="G187" s="28">
        <v>8.67</v>
      </c>
      <c r="H187" s="70">
        <f t="shared" si="7"/>
        <v>1.3005</v>
      </c>
    </row>
    <row r="188" spans="1:8">
      <c r="A188" s="27">
        <v>6111</v>
      </c>
      <c r="B188" s="77"/>
      <c r="C188" s="781" t="s">
        <v>1057</v>
      </c>
      <c r="D188" s="782"/>
      <c r="E188" s="72" t="s">
        <v>130</v>
      </c>
      <c r="F188" s="78">
        <v>0.68</v>
      </c>
      <c r="G188" s="28">
        <v>10.49</v>
      </c>
      <c r="H188" s="70">
        <f t="shared" si="7"/>
        <v>7.1332000000000004</v>
      </c>
    </row>
    <row r="189" spans="1:8" ht="12.75" customHeight="1">
      <c r="A189" s="27">
        <v>11573</v>
      </c>
      <c r="B189" s="77"/>
      <c r="C189" s="781" t="s">
        <v>1116</v>
      </c>
      <c r="D189" s="782"/>
      <c r="E189" s="72" t="s">
        <v>126</v>
      </c>
      <c r="F189" s="78">
        <v>2</v>
      </c>
      <c r="G189" s="28">
        <v>5.94</v>
      </c>
      <c r="H189" s="70">
        <f t="shared" si="7"/>
        <v>11.88</v>
      </c>
    </row>
    <row r="190" spans="1:8">
      <c r="A190" s="27">
        <v>11580</v>
      </c>
      <c r="B190" s="77"/>
      <c r="C190" s="781" t="s">
        <v>1117</v>
      </c>
      <c r="D190" s="782"/>
      <c r="E190" s="72" t="s">
        <v>28</v>
      </c>
      <c r="F190" s="78">
        <v>1.2</v>
      </c>
      <c r="G190" s="28">
        <v>10.46</v>
      </c>
      <c r="H190" s="70">
        <f t="shared" si="7"/>
        <v>12.552000000000001</v>
      </c>
    </row>
    <row r="191" spans="1:8" ht="12.75" customHeight="1">
      <c r="A191" s="27">
        <v>20017</v>
      </c>
      <c r="B191" s="77"/>
      <c r="C191" s="781" t="s">
        <v>1108</v>
      </c>
      <c r="D191" s="782"/>
      <c r="E191" s="72" t="s">
        <v>128</v>
      </c>
      <c r="F191" s="78">
        <v>5.96</v>
      </c>
      <c r="G191" s="28">
        <v>2.69</v>
      </c>
      <c r="H191" s="70">
        <f t="shared" si="7"/>
        <v>16.032399999999999</v>
      </c>
    </row>
    <row r="192" spans="1:8">
      <c r="A192" s="27">
        <v>88627</v>
      </c>
      <c r="B192" s="77"/>
      <c r="C192" s="781" t="s">
        <v>1118</v>
      </c>
      <c r="D192" s="782"/>
      <c r="E192" s="72" t="s">
        <v>1119</v>
      </c>
      <c r="F192" s="543">
        <v>6.0000000000000001E-3</v>
      </c>
      <c r="G192" s="544">
        <v>395.23</v>
      </c>
      <c r="H192" s="70">
        <f t="shared" si="7"/>
        <v>2.3713800000000003</v>
      </c>
    </row>
    <row r="193" spans="1:8" ht="12.75" customHeight="1">
      <c r="A193" s="27">
        <v>181</v>
      </c>
      <c r="B193" s="77"/>
      <c r="C193" s="781" t="s">
        <v>1120</v>
      </c>
      <c r="D193" s="782"/>
      <c r="E193" s="72" t="s">
        <v>1121</v>
      </c>
      <c r="F193" s="311">
        <v>0.55000000000000004</v>
      </c>
      <c r="G193" s="544">
        <v>97.47</v>
      </c>
      <c r="H193" s="70">
        <f t="shared" si="7"/>
        <v>53.608500000000006</v>
      </c>
    </row>
    <row r="194" spans="1:8" ht="12.75" customHeight="1">
      <c r="A194" s="27">
        <v>35274</v>
      </c>
      <c r="B194" s="77"/>
      <c r="C194" s="781" t="s">
        <v>1122</v>
      </c>
      <c r="D194" s="782"/>
      <c r="E194" s="72" t="s">
        <v>128</v>
      </c>
      <c r="F194" s="311">
        <v>0.1071</v>
      </c>
      <c r="G194" s="544">
        <v>20.27</v>
      </c>
      <c r="H194" s="70">
        <f t="shared" si="7"/>
        <v>2.1709169999999998</v>
      </c>
    </row>
    <row r="195" spans="1:8" ht="12.75" customHeight="1">
      <c r="A195" s="29"/>
      <c r="B195" s="63"/>
      <c r="C195" s="763"/>
      <c r="D195" s="764"/>
      <c r="E195" s="61"/>
      <c r="F195" s="768" t="s">
        <v>148</v>
      </c>
      <c r="G195" s="769"/>
      <c r="H195" s="30">
        <f>SUM(H183:H194)</f>
        <v>268.81369699999993</v>
      </c>
    </row>
    <row r="196" spans="1:8" ht="12.75" customHeight="1">
      <c r="A196" s="49"/>
      <c r="B196" s="117"/>
      <c r="C196" s="445"/>
      <c r="D196" s="445"/>
      <c r="E196" s="537"/>
      <c r="F196" s="454"/>
      <c r="G196" s="454"/>
      <c r="H196" s="454"/>
    </row>
    <row r="197" spans="1:8">
      <c r="A197" s="783" t="s">
        <v>245</v>
      </c>
      <c r="B197" s="777"/>
      <c r="C197" s="778" t="s">
        <v>1123</v>
      </c>
      <c r="D197" s="779"/>
      <c r="E197" s="779"/>
      <c r="F197" s="779"/>
      <c r="G197" s="779"/>
      <c r="H197" s="780"/>
    </row>
    <row r="198" spans="1:8" ht="12.75" customHeight="1">
      <c r="A198" s="450" t="s">
        <v>116</v>
      </c>
      <c r="B198" s="441" t="s">
        <v>155</v>
      </c>
      <c r="C198" s="761" t="s">
        <v>120</v>
      </c>
      <c r="D198" s="762"/>
      <c r="E198" s="23" t="s">
        <v>121</v>
      </c>
      <c r="F198" s="23" t="s">
        <v>122</v>
      </c>
      <c r="G198" s="449" t="s">
        <v>140</v>
      </c>
      <c r="H198" s="24" t="s">
        <v>124</v>
      </c>
    </row>
    <row r="199" spans="1:8">
      <c r="A199" s="25">
        <v>4750</v>
      </c>
      <c r="B199" s="438" t="s">
        <v>156</v>
      </c>
      <c r="C199" s="712" t="s">
        <v>1124</v>
      </c>
      <c r="D199" s="713"/>
      <c r="E199" s="58" t="s">
        <v>130</v>
      </c>
      <c r="F199" s="69">
        <v>1.5</v>
      </c>
      <c r="G199" s="26">
        <v>14.11</v>
      </c>
      <c r="H199" s="70">
        <f>F199*G199</f>
        <v>21.164999999999999</v>
      </c>
    </row>
    <row r="200" spans="1:8" ht="12.75" customHeight="1">
      <c r="A200" s="27">
        <v>6111</v>
      </c>
      <c r="B200" s="77" t="s">
        <v>157</v>
      </c>
      <c r="C200" s="712" t="s">
        <v>1013</v>
      </c>
      <c r="D200" s="713"/>
      <c r="E200" s="58" t="s">
        <v>130</v>
      </c>
      <c r="F200" s="69">
        <v>1</v>
      </c>
      <c r="G200" s="28">
        <v>10.49</v>
      </c>
      <c r="H200" s="70">
        <f>F200*G200</f>
        <v>10.49</v>
      </c>
    </row>
    <row r="201" spans="1:8" ht="12.75" customHeight="1">
      <c r="A201" s="27">
        <v>370</v>
      </c>
      <c r="B201" s="77" t="s">
        <v>246</v>
      </c>
      <c r="C201" s="712" t="s">
        <v>1125</v>
      </c>
      <c r="D201" s="713"/>
      <c r="E201" s="72" t="s">
        <v>127</v>
      </c>
      <c r="F201" s="116">
        <v>4.8999999999999998E-3</v>
      </c>
      <c r="G201" s="28">
        <v>60</v>
      </c>
      <c r="H201" s="70">
        <f>F201*G201</f>
        <v>0.29399999999999998</v>
      </c>
    </row>
    <row r="202" spans="1:8">
      <c r="A202" s="27">
        <v>1379</v>
      </c>
      <c r="B202" s="77" t="s">
        <v>247</v>
      </c>
      <c r="C202" s="712" t="s">
        <v>1126</v>
      </c>
      <c r="D202" s="746"/>
      <c r="E202" s="72" t="s">
        <v>158</v>
      </c>
      <c r="F202" s="75">
        <v>1.94</v>
      </c>
      <c r="G202" s="28">
        <v>0.48</v>
      </c>
      <c r="H202" s="70">
        <f>F202*G202</f>
        <v>0.93119999999999992</v>
      </c>
    </row>
    <row r="203" spans="1:8" ht="12.75" customHeight="1">
      <c r="A203" s="72">
        <v>34380</v>
      </c>
      <c r="B203" s="77" t="s">
        <v>248</v>
      </c>
      <c r="C203" s="712" t="s">
        <v>1127</v>
      </c>
      <c r="D203" s="713"/>
      <c r="E203" s="72" t="s">
        <v>159</v>
      </c>
      <c r="F203" s="78">
        <v>1</v>
      </c>
      <c r="G203" s="28">
        <v>698.75</v>
      </c>
      <c r="H203" s="70">
        <f>F203*G203</f>
        <v>698.75</v>
      </c>
    </row>
    <row r="204" spans="1:8" ht="12.75" customHeight="1">
      <c r="A204" s="29"/>
      <c r="B204" s="63"/>
      <c r="C204" s="763"/>
      <c r="D204" s="764"/>
      <c r="E204" s="61"/>
      <c r="F204" s="768" t="s">
        <v>148</v>
      </c>
      <c r="G204" s="769"/>
      <c r="H204" s="30">
        <f>SUM(H199:H203)</f>
        <v>731.63020000000006</v>
      </c>
    </row>
    <row r="205" spans="1:8">
      <c r="A205" s="49"/>
      <c r="B205" s="117"/>
      <c r="C205" s="445"/>
      <c r="D205" s="445"/>
      <c r="E205" s="537"/>
      <c r="F205" s="454"/>
      <c r="G205" s="454"/>
      <c r="H205" s="454"/>
    </row>
    <row r="206" spans="1:8" ht="12.75" customHeight="1">
      <c r="A206" s="776" t="s">
        <v>253</v>
      </c>
      <c r="B206" s="777"/>
      <c r="C206" s="787" t="s">
        <v>1128</v>
      </c>
      <c r="D206" s="788"/>
      <c r="E206" s="788"/>
      <c r="F206" s="788"/>
      <c r="G206" s="788"/>
      <c r="H206" s="789"/>
    </row>
    <row r="207" spans="1:8" ht="12.75" customHeight="1">
      <c r="A207" s="450" t="s">
        <v>116</v>
      </c>
      <c r="B207" s="441" t="s">
        <v>155</v>
      </c>
      <c r="C207" s="761" t="s">
        <v>120</v>
      </c>
      <c r="D207" s="762"/>
      <c r="E207" s="23" t="s">
        <v>121</v>
      </c>
      <c r="F207" s="23" t="s">
        <v>122</v>
      </c>
      <c r="G207" s="449" t="s">
        <v>140</v>
      </c>
      <c r="H207" s="24" t="s">
        <v>124</v>
      </c>
    </row>
    <row r="208" spans="1:8" ht="12.75" customHeight="1">
      <c r="A208" s="25">
        <v>3104</v>
      </c>
      <c r="B208" s="438"/>
      <c r="C208" s="712" t="s">
        <v>406</v>
      </c>
      <c r="D208" s="713"/>
      <c r="E208" s="58" t="s">
        <v>149</v>
      </c>
      <c r="F208" s="69">
        <v>1</v>
      </c>
      <c r="G208" s="26">
        <v>338.19</v>
      </c>
      <c r="H208" s="70">
        <f>F208*G208</f>
        <v>338.19</v>
      </c>
    </row>
    <row r="209" spans="1:8" ht="12.75" customHeight="1">
      <c r="A209" s="27">
        <v>10489</v>
      </c>
      <c r="B209" s="77"/>
      <c r="C209" s="712" t="s">
        <v>407</v>
      </c>
      <c r="D209" s="713"/>
      <c r="E209" s="58" t="s">
        <v>439</v>
      </c>
      <c r="F209" s="69">
        <v>0.3</v>
      </c>
      <c r="G209" s="26">
        <v>12.17</v>
      </c>
      <c r="H209" s="70">
        <f t="shared" ref="H209:H211" si="8">F209*G209</f>
        <v>3.6509999999999998</v>
      </c>
    </row>
    <row r="210" spans="1:8" ht="12.75" customHeight="1">
      <c r="A210" s="27">
        <v>10507</v>
      </c>
      <c r="B210" s="77"/>
      <c r="C210" s="712" t="s">
        <v>1129</v>
      </c>
      <c r="D210" s="713"/>
      <c r="E210" s="72" t="s">
        <v>159</v>
      </c>
      <c r="F210" s="75">
        <v>3.36</v>
      </c>
      <c r="G210" s="28">
        <v>221.89</v>
      </c>
      <c r="H210" s="70">
        <f t="shared" si="8"/>
        <v>745.55039999999997</v>
      </c>
    </row>
    <row r="211" spans="1:8" ht="12.75" customHeight="1">
      <c r="A211" s="27">
        <v>11523</v>
      </c>
      <c r="B211" s="77"/>
      <c r="C211" s="712" t="s">
        <v>1130</v>
      </c>
      <c r="D211" s="713"/>
      <c r="E211" s="72" t="s">
        <v>121</v>
      </c>
      <c r="F211" s="75">
        <v>2</v>
      </c>
      <c r="G211" s="28">
        <v>12.29</v>
      </c>
      <c r="H211" s="70">
        <f t="shared" si="8"/>
        <v>24.58</v>
      </c>
    </row>
    <row r="212" spans="1:8" ht="12.75" customHeight="1">
      <c r="A212" s="58">
        <v>11499</v>
      </c>
      <c r="B212" s="438"/>
      <c r="C212" s="712" t="s">
        <v>1131</v>
      </c>
      <c r="D212" s="713"/>
      <c r="E212" s="58" t="s">
        <v>121</v>
      </c>
      <c r="F212" s="118">
        <v>1</v>
      </c>
      <c r="G212" s="26">
        <v>1009.21</v>
      </c>
      <c r="H212" s="70">
        <f>F212*G212</f>
        <v>1009.21</v>
      </c>
    </row>
    <row r="213" spans="1:8">
      <c r="A213" s="29"/>
      <c r="B213" s="545"/>
      <c r="C213" s="763"/>
      <c r="D213" s="764"/>
      <c r="E213" s="76"/>
      <c r="F213" s="768" t="s">
        <v>148</v>
      </c>
      <c r="G213" s="769"/>
      <c r="H213" s="30">
        <f>SUM(H208:H212)</f>
        <v>2121.1813999999999</v>
      </c>
    </row>
    <row r="214" spans="1:8" ht="12.75" customHeight="1">
      <c r="A214" s="48"/>
      <c r="B214" s="117"/>
      <c r="C214" s="445"/>
      <c r="D214" s="445"/>
      <c r="E214" s="537"/>
      <c r="F214" s="454"/>
      <c r="G214" s="454"/>
      <c r="H214" s="454"/>
    </row>
    <row r="215" spans="1:8">
      <c r="A215" s="776" t="s">
        <v>254</v>
      </c>
      <c r="B215" s="777"/>
      <c r="C215" s="787" t="s">
        <v>1132</v>
      </c>
      <c r="D215" s="788"/>
      <c r="E215" s="788"/>
      <c r="F215" s="788"/>
      <c r="G215" s="788"/>
      <c r="H215" s="789"/>
    </row>
    <row r="216" spans="1:8" ht="25.5">
      <c r="A216" s="450" t="s">
        <v>116</v>
      </c>
      <c r="B216" s="441" t="s">
        <v>155</v>
      </c>
      <c r="C216" s="761" t="s">
        <v>120</v>
      </c>
      <c r="D216" s="762"/>
      <c r="E216" s="23" t="s">
        <v>121</v>
      </c>
      <c r="F216" s="23" t="s">
        <v>122</v>
      </c>
      <c r="G216" s="449" t="s">
        <v>140</v>
      </c>
      <c r="H216" s="24" t="s">
        <v>124</v>
      </c>
    </row>
    <row r="217" spans="1:8">
      <c r="A217" s="25">
        <v>247</v>
      </c>
      <c r="B217" s="122" t="s">
        <v>160</v>
      </c>
      <c r="C217" s="712" t="s">
        <v>1133</v>
      </c>
      <c r="D217" s="713"/>
      <c r="E217" s="58" t="s">
        <v>130</v>
      </c>
      <c r="F217" s="69">
        <v>8</v>
      </c>
      <c r="G217" s="26">
        <v>10.95</v>
      </c>
      <c r="H217" s="70">
        <f t="shared" ref="H217:H226" si="9">F217*G217</f>
        <v>87.6</v>
      </c>
    </row>
    <row r="218" spans="1:8" ht="12.75" customHeight="1">
      <c r="A218" s="58">
        <v>2436</v>
      </c>
      <c r="B218" s="442" t="s">
        <v>161</v>
      </c>
      <c r="C218" s="751" t="s">
        <v>1134</v>
      </c>
      <c r="D218" s="752"/>
      <c r="E218" s="58" t="s">
        <v>130</v>
      </c>
      <c r="F218" s="69">
        <v>8</v>
      </c>
      <c r="G218" s="26">
        <v>14.6</v>
      </c>
      <c r="H218" s="70">
        <f t="shared" si="9"/>
        <v>116.8</v>
      </c>
    </row>
    <row r="219" spans="1:8" ht="12.75" customHeight="1">
      <c r="A219" s="27">
        <v>1599</v>
      </c>
      <c r="B219" s="77" t="s">
        <v>162</v>
      </c>
      <c r="C219" s="712" t="s">
        <v>1135</v>
      </c>
      <c r="D219" s="713"/>
      <c r="E219" s="72" t="s">
        <v>126</v>
      </c>
      <c r="F219" s="75">
        <v>1</v>
      </c>
      <c r="G219" s="28">
        <v>7.52</v>
      </c>
      <c r="H219" s="70">
        <f t="shared" si="9"/>
        <v>7.52</v>
      </c>
    </row>
    <row r="220" spans="1:8" ht="12.75" customHeight="1">
      <c r="A220" s="27">
        <v>3376</v>
      </c>
      <c r="B220" s="77" t="s">
        <v>163</v>
      </c>
      <c r="C220" s="712" t="s">
        <v>1136</v>
      </c>
      <c r="D220" s="713"/>
      <c r="E220" s="72" t="s">
        <v>126</v>
      </c>
      <c r="F220" s="75">
        <v>1</v>
      </c>
      <c r="G220" s="28">
        <v>50.83</v>
      </c>
      <c r="H220" s="70">
        <f t="shared" si="9"/>
        <v>50.83</v>
      </c>
    </row>
    <row r="221" spans="1:8" ht="12.75" customHeight="1">
      <c r="A221" s="27">
        <v>39685</v>
      </c>
      <c r="B221" s="77" t="s">
        <v>143</v>
      </c>
      <c r="C221" s="712" t="s">
        <v>1137</v>
      </c>
      <c r="D221" s="713"/>
      <c r="E221" s="72" t="s">
        <v>126</v>
      </c>
      <c r="F221" s="75">
        <v>1</v>
      </c>
      <c r="G221" s="28">
        <v>138.21</v>
      </c>
      <c r="H221" s="70">
        <f t="shared" si="9"/>
        <v>138.21</v>
      </c>
    </row>
    <row r="222" spans="1:8">
      <c r="A222" s="27">
        <v>12083</v>
      </c>
      <c r="B222" s="77" t="s">
        <v>164</v>
      </c>
      <c r="C222" s="712" t="s">
        <v>1138</v>
      </c>
      <c r="D222" s="713"/>
      <c r="E222" s="72" t="s">
        <v>126</v>
      </c>
      <c r="F222" s="78">
        <v>1</v>
      </c>
      <c r="G222" s="28">
        <v>502.32</v>
      </c>
      <c r="H222" s="70">
        <f>F222*G222</f>
        <v>502.32</v>
      </c>
    </row>
    <row r="223" spans="1:8" ht="12.75" customHeight="1">
      <c r="A223" s="27">
        <v>979</v>
      </c>
      <c r="B223" s="77" t="s">
        <v>165</v>
      </c>
      <c r="C223" s="712" t="s">
        <v>1139</v>
      </c>
      <c r="D223" s="713"/>
      <c r="E223" s="72" t="s">
        <v>128</v>
      </c>
      <c r="F223" s="78">
        <v>1</v>
      </c>
      <c r="G223" s="28">
        <v>6.7</v>
      </c>
      <c r="H223" s="70">
        <f>F223*G223</f>
        <v>6.7</v>
      </c>
    </row>
    <row r="224" spans="1:8">
      <c r="A224" s="546" t="s">
        <v>1140</v>
      </c>
      <c r="B224" s="77" t="s">
        <v>166</v>
      </c>
      <c r="C224" s="712" t="s">
        <v>1141</v>
      </c>
      <c r="D224" s="713"/>
      <c r="E224" s="72" t="s">
        <v>126</v>
      </c>
      <c r="F224" s="78">
        <v>1.5</v>
      </c>
      <c r="G224" s="28">
        <v>5.0199999999999996</v>
      </c>
      <c r="H224" s="70">
        <f>F224*G224</f>
        <v>7.5299999999999994</v>
      </c>
    </row>
    <row r="225" spans="1:15" ht="12.75" customHeight="1">
      <c r="A225" s="27">
        <v>868</v>
      </c>
      <c r="B225" s="77" t="s">
        <v>167</v>
      </c>
      <c r="C225" s="712" t="s">
        <v>1142</v>
      </c>
      <c r="D225" s="746"/>
      <c r="E225" s="72" t="s">
        <v>128</v>
      </c>
      <c r="F225" s="75">
        <v>2</v>
      </c>
      <c r="G225" s="28">
        <v>10.59</v>
      </c>
      <c r="H225" s="70">
        <f t="shared" si="9"/>
        <v>21.18</v>
      </c>
      <c r="J225" s="765"/>
      <c r="K225" s="765"/>
      <c r="L225" s="128"/>
      <c r="M225" s="547"/>
      <c r="N225" s="548"/>
      <c r="O225" s="549"/>
    </row>
    <row r="226" spans="1:15">
      <c r="A226" s="27">
        <v>39177</v>
      </c>
      <c r="B226" s="77" t="s">
        <v>168</v>
      </c>
      <c r="C226" s="712" t="s">
        <v>1143</v>
      </c>
      <c r="D226" s="713"/>
      <c r="E226" s="72" t="s">
        <v>126</v>
      </c>
      <c r="F226" s="78">
        <v>3</v>
      </c>
      <c r="G226" s="28">
        <v>1.04</v>
      </c>
      <c r="H226" s="70">
        <f t="shared" si="9"/>
        <v>3.12</v>
      </c>
      <c r="J226" s="765"/>
      <c r="K226" s="766"/>
      <c r="L226" s="128"/>
      <c r="M226" s="547"/>
      <c r="N226" s="548"/>
      <c r="O226" s="549"/>
    </row>
    <row r="227" spans="1:15" ht="12.75" customHeight="1">
      <c r="A227" s="27">
        <v>39211</v>
      </c>
      <c r="B227" s="77" t="s">
        <v>169</v>
      </c>
      <c r="C227" s="712" t="s">
        <v>1144</v>
      </c>
      <c r="D227" s="713"/>
      <c r="E227" s="72" t="s">
        <v>126</v>
      </c>
      <c r="F227" s="78">
        <v>3</v>
      </c>
      <c r="G227" s="28">
        <v>0.91</v>
      </c>
      <c r="H227" s="70">
        <f>F227*G227</f>
        <v>2.73</v>
      </c>
      <c r="J227" s="767"/>
      <c r="K227" s="767"/>
      <c r="L227" s="128"/>
      <c r="M227" s="547"/>
      <c r="N227" s="548"/>
      <c r="O227" s="549"/>
    </row>
    <row r="228" spans="1:15" ht="12.75" customHeight="1">
      <c r="A228" s="29"/>
      <c r="B228" s="63"/>
      <c r="C228" s="763"/>
      <c r="D228" s="764"/>
      <c r="E228" s="61"/>
      <c r="F228" s="768" t="s">
        <v>148</v>
      </c>
      <c r="G228" s="769"/>
      <c r="H228" s="30">
        <f>SUM(H217:H227)</f>
        <v>944.54</v>
      </c>
      <c r="J228" s="767"/>
      <c r="K228" s="767"/>
      <c r="L228" s="128"/>
      <c r="M228" s="547"/>
      <c r="N228" s="548"/>
      <c r="O228" s="549"/>
    </row>
    <row r="229" spans="1:15" ht="12.75" customHeight="1">
      <c r="A229" s="49"/>
      <c r="B229" s="117"/>
      <c r="C229" s="445"/>
      <c r="D229" s="445"/>
      <c r="E229" s="537"/>
      <c r="F229" s="454"/>
      <c r="G229" s="454"/>
      <c r="H229" s="454"/>
      <c r="J229" s="770"/>
      <c r="K229" s="770"/>
      <c r="L229" s="128"/>
      <c r="M229" s="547"/>
      <c r="N229" s="548"/>
      <c r="O229" s="549"/>
    </row>
    <row r="230" spans="1:15" ht="12.75" customHeight="1">
      <c r="A230" s="771" t="s">
        <v>255</v>
      </c>
      <c r="B230" s="772"/>
      <c r="C230" s="773" t="s">
        <v>48</v>
      </c>
      <c r="D230" s="774"/>
      <c r="E230" s="774"/>
      <c r="F230" s="774"/>
      <c r="G230" s="774"/>
      <c r="H230" s="775"/>
    </row>
    <row r="231" spans="1:15" ht="25.5">
      <c r="A231" s="450" t="s">
        <v>116</v>
      </c>
      <c r="B231" s="441" t="s">
        <v>155</v>
      </c>
      <c r="C231" s="761" t="s">
        <v>120</v>
      </c>
      <c r="D231" s="762"/>
      <c r="E231" s="23" t="s">
        <v>121</v>
      </c>
      <c r="F231" s="23" t="s">
        <v>122</v>
      </c>
      <c r="G231" s="449" t="s">
        <v>140</v>
      </c>
      <c r="H231" s="24" t="s">
        <v>124</v>
      </c>
    </row>
    <row r="232" spans="1:15" ht="12.75" customHeight="1">
      <c r="A232" s="444">
        <v>247</v>
      </c>
      <c r="B232" s="37"/>
      <c r="C232" s="809" t="s">
        <v>1145</v>
      </c>
      <c r="D232" s="810"/>
      <c r="E232" s="121" t="s">
        <v>130</v>
      </c>
      <c r="F232" s="121">
        <v>0.8</v>
      </c>
      <c r="G232" s="550">
        <v>10.95</v>
      </c>
      <c r="H232" s="70">
        <f>F232*G232</f>
        <v>8.76</v>
      </c>
    </row>
    <row r="233" spans="1:15" ht="12.75" customHeight="1">
      <c r="A233" s="444">
        <v>2436</v>
      </c>
      <c r="B233" s="37"/>
      <c r="C233" s="886" t="s">
        <v>1146</v>
      </c>
      <c r="D233" s="887"/>
      <c r="E233" s="121" t="s">
        <v>130</v>
      </c>
      <c r="F233" s="121">
        <v>0.8</v>
      </c>
      <c r="G233" s="550">
        <v>14.6</v>
      </c>
      <c r="H233" s="70">
        <f t="shared" ref="H233:H235" si="10">F233*G233</f>
        <v>11.68</v>
      </c>
    </row>
    <row r="234" spans="1:15">
      <c r="A234" s="443">
        <v>38775</v>
      </c>
      <c r="B234" s="37"/>
      <c r="C234" s="886" t="s">
        <v>422</v>
      </c>
      <c r="D234" s="887"/>
      <c r="E234" s="121" t="s">
        <v>126</v>
      </c>
      <c r="F234" s="121">
        <v>1</v>
      </c>
      <c r="G234" s="550">
        <v>27</v>
      </c>
      <c r="H234" s="70">
        <f t="shared" si="10"/>
        <v>27</v>
      </c>
    </row>
    <row r="235" spans="1:15" ht="12.75" customHeight="1">
      <c r="A235" s="123">
        <v>39381</v>
      </c>
      <c r="B235" s="37"/>
      <c r="C235" s="808" t="s">
        <v>1147</v>
      </c>
      <c r="D235" s="808"/>
      <c r="E235" s="121" t="s">
        <v>126</v>
      </c>
      <c r="F235" s="121">
        <v>1</v>
      </c>
      <c r="G235" s="550">
        <v>7.29</v>
      </c>
      <c r="H235" s="69">
        <f t="shared" si="10"/>
        <v>7.29</v>
      </c>
    </row>
    <row r="236" spans="1:15">
      <c r="A236" s="29"/>
      <c r="B236" s="63"/>
      <c r="C236" s="763"/>
      <c r="D236" s="764"/>
      <c r="E236" s="61"/>
      <c r="F236" s="768" t="s">
        <v>148</v>
      </c>
      <c r="G236" s="769"/>
      <c r="H236" s="30">
        <f>SUM(H232:H235)</f>
        <v>54.73</v>
      </c>
    </row>
    <row r="237" spans="1:15" ht="12.75" customHeight="1">
      <c r="A237" s="551"/>
      <c r="B237" s="552"/>
      <c r="C237" s="553"/>
      <c r="D237" s="554"/>
      <c r="E237" s="554"/>
      <c r="F237" s="554"/>
      <c r="G237" s="554"/>
      <c r="H237" s="85"/>
    </row>
    <row r="238" spans="1:15" ht="12.75" customHeight="1">
      <c r="A238" s="771" t="s">
        <v>533</v>
      </c>
      <c r="B238" s="772"/>
      <c r="C238" s="773" t="s">
        <v>1148</v>
      </c>
      <c r="D238" s="774"/>
      <c r="E238" s="774"/>
      <c r="F238" s="774"/>
      <c r="G238" s="774"/>
      <c r="H238" s="775"/>
    </row>
    <row r="239" spans="1:15" ht="12.75" customHeight="1">
      <c r="A239" s="450" t="s">
        <v>116</v>
      </c>
      <c r="B239" s="441" t="s">
        <v>155</v>
      </c>
      <c r="C239" s="761" t="s">
        <v>120</v>
      </c>
      <c r="D239" s="762"/>
      <c r="E239" s="23" t="s">
        <v>121</v>
      </c>
      <c r="F239" s="23" t="s">
        <v>122</v>
      </c>
      <c r="G239" s="449" t="s">
        <v>140</v>
      </c>
      <c r="H239" s="24" t="s">
        <v>124</v>
      </c>
    </row>
    <row r="240" spans="1:15" ht="12.75" customHeight="1">
      <c r="A240" s="444">
        <v>38774</v>
      </c>
      <c r="B240" s="37"/>
      <c r="C240" s="886" t="s">
        <v>1146</v>
      </c>
      <c r="D240" s="887"/>
      <c r="E240" s="121" t="s">
        <v>130</v>
      </c>
      <c r="F240" s="121">
        <v>0.8</v>
      </c>
      <c r="G240" s="550">
        <v>14.6</v>
      </c>
      <c r="H240" s="70">
        <f t="shared" ref="H240:H241" si="11">F240*G240</f>
        <v>11.68</v>
      </c>
    </row>
    <row r="241" spans="1:8">
      <c r="A241" s="443"/>
      <c r="B241" s="37"/>
      <c r="C241" s="886" t="s">
        <v>1148</v>
      </c>
      <c r="D241" s="887"/>
      <c r="E241" s="121" t="s">
        <v>126</v>
      </c>
      <c r="F241" s="121">
        <v>1</v>
      </c>
      <c r="G241" s="550">
        <v>22.11</v>
      </c>
      <c r="H241" s="70">
        <f t="shared" si="11"/>
        <v>22.11</v>
      </c>
    </row>
    <row r="242" spans="1:8" ht="15" customHeight="1">
      <c r="A242" s="29"/>
      <c r="B242" s="63"/>
      <c r="C242" s="763"/>
      <c r="D242" s="764"/>
      <c r="E242" s="61"/>
      <c r="F242" s="768" t="s">
        <v>148</v>
      </c>
      <c r="G242" s="769"/>
      <c r="H242" s="30">
        <f>SUM(H240:H241)</f>
        <v>33.79</v>
      </c>
    </row>
    <row r="243" spans="1:8" ht="13.5" thickBot="1">
      <c r="A243" s="551"/>
      <c r="B243" s="552"/>
      <c r="C243" s="553"/>
      <c r="D243" s="554"/>
      <c r="E243" s="554"/>
      <c r="F243" s="554"/>
      <c r="G243" s="554"/>
      <c r="H243" s="85"/>
    </row>
    <row r="244" spans="1:8" ht="12.75" customHeight="1" thickBot="1">
      <c r="A244" s="721" t="s">
        <v>1149</v>
      </c>
      <c r="B244" s="722"/>
      <c r="C244" s="758" t="s">
        <v>1150</v>
      </c>
      <c r="D244" s="759"/>
      <c r="E244" s="759"/>
      <c r="F244" s="759"/>
      <c r="G244" s="759"/>
      <c r="H244" s="760"/>
    </row>
    <row r="245" spans="1:8" ht="12.75" customHeight="1">
      <c r="A245" s="32" t="s">
        <v>116</v>
      </c>
      <c r="B245" s="436" t="s">
        <v>172</v>
      </c>
      <c r="C245" s="733" t="s">
        <v>120</v>
      </c>
      <c r="D245" s="734"/>
      <c r="E245" s="32" t="s">
        <v>121</v>
      </c>
      <c r="F245" s="32" t="s">
        <v>122</v>
      </c>
      <c r="G245" s="32" t="s">
        <v>123</v>
      </c>
      <c r="H245" s="555" t="s">
        <v>124</v>
      </c>
    </row>
    <row r="246" spans="1:8" ht="12.75" customHeight="1">
      <c r="A246" s="25">
        <v>247</v>
      </c>
      <c r="B246" s="122" t="s">
        <v>160</v>
      </c>
      <c r="C246" s="749" t="s">
        <v>1151</v>
      </c>
      <c r="D246" s="750"/>
      <c r="E246" s="58" t="s">
        <v>130</v>
      </c>
      <c r="F246" s="68">
        <v>2</v>
      </c>
      <c r="G246" s="26">
        <v>10.95</v>
      </c>
      <c r="H246" s="60">
        <f>G246*F246</f>
        <v>21.9</v>
      </c>
    </row>
    <row r="247" spans="1:8" ht="12.75" customHeight="1">
      <c r="A247" s="58">
        <v>2436</v>
      </c>
      <c r="B247" s="442" t="s">
        <v>161</v>
      </c>
      <c r="C247" s="751" t="s">
        <v>1134</v>
      </c>
      <c r="D247" s="752"/>
      <c r="E247" s="58" t="s">
        <v>173</v>
      </c>
      <c r="F247" s="68">
        <v>2</v>
      </c>
      <c r="G247" s="26">
        <v>14.6</v>
      </c>
      <c r="H247" s="60">
        <f>G247*F247</f>
        <v>29.2</v>
      </c>
    </row>
    <row r="248" spans="1:8" ht="12.75" customHeight="1">
      <c r="A248" s="25">
        <v>12273</v>
      </c>
      <c r="B248" s="442" t="s">
        <v>174</v>
      </c>
      <c r="C248" s="712" t="s">
        <v>1152</v>
      </c>
      <c r="D248" s="713"/>
      <c r="E248" s="58" t="s">
        <v>121</v>
      </c>
      <c r="F248" s="68">
        <v>1</v>
      </c>
      <c r="G248" s="26">
        <v>36.1</v>
      </c>
      <c r="H248" s="60">
        <f>G248*F248</f>
        <v>36.1</v>
      </c>
    </row>
    <row r="249" spans="1:8" ht="12.75" customHeight="1">
      <c r="A249" s="25">
        <v>12317</v>
      </c>
      <c r="B249" s="122" t="s">
        <v>175</v>
      </c>
      <c r="C249" s="712" t="s">
        <v>1153</v>
      </c>
      <c r="D249" s="713"/>
      <c r="E249" s="58" t="s">
        <v>121</v>
      </c>
      <c r="F249" s="68">
        <v>1</v>
      </c>
      <c r="G249" s="26">
        <v>44.72</v>
      </c>
      <c r="H249" s="60">
        <f>G249*F249</f>
        <v>44.72</v>
      </c>
    </row>
    <row r="250" spans="1:8" ht="12.75" customHeight="1">
      <c r="A250" s="25">
        <v>3757</v>
      </c>
      <c r="B250" s="442" t="s">
        <v>176</v>
      </c>
      <c r="C250" s="712" t="s">
        <v>1154</v>
      </c>
      <c r="D250" s="713"/>
      <c r="E250" s="58" t="s">
        <v>121</v>
      </c>
      <c r="F250" s="68">
        <v>1</v>
      </c>
      <c r="G250" s="26">
        <v>31.52</v>
      </c>
      <c r="H250" s="60">
        <f>G250*F250</f>
        <v>31.52</v>
      </c>
    </row>
    <row r="251" spans="1:8" ht="12.75" customHeight="1">
      <c r="A251" s="124"/>
      <c r="B251" s="125"/>
      <c r="C251" s="126"/>
      <c r="D251" s="127"/>
      <c r="E251" s="124"/>
      <c r="F251" s="714" t="s">
        <v>148</v>
      </c>
      <c r="G251" s="715"/>
      <c r="H251" s="36">
        <f>SUM(H246:H250)</f>
        <v>163.44</v>
      </c>
    </row>
    <row r="252" spans="1:8" ht="12.75" customHeight="1">
      <c r="A252" s="551"/>
      <c r="B252" s="552"/>
      <c r="C252" s="553"/>
      <c r="D252" s="554"/>
      <c r="E252" s="554"/>
      <c r="F252" s="554"/>
      <c r="G252" s="554"/>
      <c r="H252" s="85"/>
    </row>
    <row r="253" spans="1:8" ht="12.75" customHeight="1">
      <c r="A253" s="738" t="s">
        <v>1155</v>
      </c>
      <c r="B253" s="739"/>
      <c r="C253" s="740" t="s">
        <v>1156</v>
      </c>
      <c r="D253" s="741"/>
      <c r="E253" s="741"/>
      <c r="F253" s="742"/>
      <c r="G253" s="34"/>
      <c r="H253" s="34"/>
    </row>
    <row r="254" spans="1:8" ht="12.75" customHeight="1">
      <c r="A254" s="34" t="s">
        <v>116</v>
      </c>
      <c r="B254" s="437" t="s">
        <v>172</v>
      </c>
      <c r="C254" s="738" t="s">
        <v>120</v>
      </c>
      <c r="D254" s="739"/>
      <c r="E254" s="34" t="s">
        <v>121</v>
      </c>
      <c r="F254" s="34" t="s">
        <v>122</v>
      </c>
      <c r="G254" s="34" t="s">
        <v>123</v>
      </c>
      <c r="H254" s="35" t="s">
        <v>124</v>
      </c>
    </row>
    <row r="255" spans="1:8" ht="12.75" customHeight="1">
      <c r="A255" s="25">
        <v>247</v>
      </c>
      <c r="B255" s="122" t="s">
        <v>160</v>
      </c>
      <c r="C255" s="749" t="s">
        <v>1151</v>
      </c>
      <c r="D255" s="750"/>
      <c r="E255" s="58" t="s">
        <v>130</v>
      </c>
      <c r="F255" s="68">
        <v>4.5</v>
      </c>
      <c r="G255" s="26">
        <v>10.95</v>
      </c>
      <c r="H255" s="60">
        <f t="shared" ref="H255:H261" si="12">G255*F255</f>
        <v>49.274999999999999</v>
      </c>
    </row>
    <row r="256" spans="1:8" ht="12.75" customHeight="1">
      <c r="A256" s="58">
        <v>2436</v>
      </c>
      <c r="B256" s="442" t="s">
        <v>161</v>
      </c>
      <c r="C256" s="751" t="s">
        <v>1134</v>
      </c>
      <c r="D256" s="752"/>
      <c r="E256" s="58" t="s">
        <v>173</v>
      </c>
      <c r="F256" s="68">
        <v>3.5</v>
      </c>
      <c r="G256" s="26">
        <v>14.6</v>
      </c>
      <c r="H256" s="60">
        <f t="shared" si="12"/>
        <v>51.1</v>
      </c>
    </row>
    <row r="257" spans="1:8" ht="12.75" customHeight="1">
      <c r="A257" s="58">
        <v>938</v>
      </c>
      <c r="B257" s="442" t="s">
        <v>177</v>
      </c>
      <c r="C257" s="743" t="s">
        <v>1157</v>
      </c>
      <c r="D257" s="744"/>
      <c r="E257" s="58" t="s">
        <v>128</v>
      </c>
      <c r="F257" s="68">
        <v>33</v>
      </c>
      <c r="G257" s="26">
        <v>0.65</v>
      </c>
      <c r="H257" s="60">
        <f t="shared" si="12"/>
        <v>21.45</v>
      </c>
    </row>
    <row r="258" spans="1:8" ht="12.75" customHeight="1">
      <c r="A258" s="58">
        <v>39272</v>
      </c>
      <c r="B258" s="442" t="s">
        <v>178</v>
      </c>
      <c r="C258" s="743" t="s">
        <v>1158</v>
      </c>
      <c r="D258" s="744"/>
      <c r="E258" s="58" t="s">
        <v>126</v>
      </c>
      <c r="F258" s="68">
        <v>1</v>
      </c>
      <c r="G258" s="26">
        <v>1.66</v>
      </c>
      <c r="H258" s="60">
        <f t="shared" si="12"/>
        <v>1.66</v>
      </c>
    </row>
    <row r="259" spans="1:8" ht="15" customHeight="1">
      <c r="A259" s="25">
        <v>2674</v>
      </c>
      <c r="B259" s="122" t="s">
        <v>179</v>
      </c>
      <c r="C259" s="743" t="s">
        <v>1159</v>
      </c>
      <c r="D259" s="744"/>
      <c r="E259" s="58" t="s">
        <v>128</v>
      </c>
      <c r="F259" s="68">
        <v>15</v>
      </c>
      <c r="G259" s="26">
        <v>2.1800000000000002</v>
      </c>
      <c r="H259" s="60">
        <f t="shared" si="12"/>
        <v>32.700000000000003</v>
      </c>
    </row>
    <row r="260" spans="1:8" ht="12.75" customHeight="1">
      <c r="A260" s="25">
        <v>1891</v>
      </c>
      <c r="B260" s="122" t="s">
        <v>180</v>
      </c>
      <c r="C260" s="743" t="s">
        <v>1160</v>
      </c>
      <c r="D260" s="744"/>
      <c r="E260" s="58" t="s">
        <v>126</v>
      </c>
      <c r="F260" s="68">
        <v>1</v>
      </c>
      <c r="G260" s="26">
        <v>0.77</v>
      </c>
      <c r="H260" s="60">
        <f t="shared" si="12"/>
        <v>0.77</v>
      </c>
    </row>
    <row r="261" spans="1:8" ht="12.75" customHeight="1">
      <c r="A261" s="25">
        <v>2556</v>
      </c>
      <c r="B261" s="122" t="s">
        <v>181</v>
      </c>
      <c r="C261" s="743" t="s">
        <v>1161</v>
      </c>
      <c r="D261" s="744"/>
      <c r="E261" s="58" t="s">
        <v>126</v>
      </c>
      <c r="F261" s="68">
        <v>1</v>
      </c>
      <c r="G261" s="26">
        <v>1.35</v>
      </c>
      <c r="H261" s="60">
        <f t="shared" si="12"/>
        <v>1.35</v>
      </c>
    </row>
    <row r="262" spans="1:8" ht="12.75" customHeight="1">
      <c r="A262" s="124"/>
      <c r="B262" s="125"/>
      <c r="C262" s="126"/>
      <c r="D262" s="127"/>
      <c r="E262" s="124"/>
      <c r="F262" s="714" t="s">
        <v>148</v>
      </c>
      <c r="G262" s="715"/>
      <c r="H262" s="36">
        <f>SUM(H255:H261)</f>
        <v>158.30500000000001</v>
      </c>
    </row>
    <row r="263" spans="1:8" ht="12.75" customHeight="1">
      <c r="A263" s="49"/>
      <c r="B263" s="117"/>
      <c r="C263" s="445"/>
      <c r="D263" s="445"/>
      <c r="E263" s="537"/>
      <c r="F263" s="454"/>
      <c r="G263" s="454"/>
      <c r="H263" s="454"/>
    </row>
    <row r="264" spans="1:8" ht="12.75" customHeight="1">
      <c r="A264" s="738" t="s">
        <v>1162</v>
      </c>
      <c r="B264" s="739"/>
      <c r="C264" s="738" t="s">
        <v>1163</v>
      </c>
      <c r="D264" s="757"/>
      <c r="E264" s="757"/>
      <c r="F264" s="739"/>
      <c r="G264" s="34"/>
      <c r="H264" s="34"/>
    </row>
    <row r="265" spans="1:8" ht="12.75" customHeight="1">
      <c r="A265" s="34" t="s">
        <v>116</v>
      </c>
      <c r="B265" s="437" t="s">
        <v>172</v>
      </c>
      <c r="C265" s="738" t="s">
        <v>120</v>
      </c>
      <c r="D265" s="739"/>
      <c r="E265" s="34" t="s">
        <v>121</v>
      </c>
      <c r="F265" s="34" t="s">
        <v>122</v>
      </c>
      <c r="G265" s="34" t="s">
        <v>123</v>
      </c>
      <c r="H265" s="35" t="s">
        <v>124</v>
      </c>
    </row>
    <row r="266" spans="1:8" ht="12.75" customHeight="1">
      <c r="A266" s="58">
        <v>2436</v>
      </c>
      <c r="B266" s="442" t="s">
        <v>161</v>
      </c>
      <c r="C266" s="751" t="s">
        <v>1134</v>
      </c>
      <c r="D266" s="752"/>
      <c r="E266" s="58" t="s">
        <v>173</v>
      </c>
      <c r="F266" s="68">
        <v>0.8</v>
      </c>
      <c r="G266" s="26">
        <v>14.6</v>
      </c>
      <c r="H266" s="60">
        <f>G266*F266</f>
        <v>11.68</v>
      </c>
    </row>
    <row r="267" spans="1:8" ht="12.75" customHeight="1">
      <c r="A267" s="25">
        <v>247</v>
      </c>
      <c r="B267" s="122" t="s">
        <v>160</v>
      </c>
      <c r="C267" s="749" t="s">
        <v>1151</v>
      </c>
      <c r="D267" s="750"/>
      <c r="E267" s="58" t="s">
        <v>130</v>
      </c>
      <c r="F267" s="68">
        <v>0.4</v>
      </c>
      <c r="G267" s="26">
        <v>10.95</v>
      </c>
      <c r="H267" s="60">
        <f t="shared" ref="H267:H269" si="13">G267*F267</f>
        <v>4.38</v>
      </c>
    </row>
    <row r="268" spans="1:8" ht="12.75" customHeight="1">
      <c r="A268" s="58">
        <v>2556</v>
      </c>
      <c r="B268" s="442"/>
      <c r="C268" s="743" t="s">
        <v>1164</v>
      </c>
      <c r="D268" s="744"/>
      <c r="E268" s="58" t="s">
        <v>128</v>
      </c>
      <c r="F268" s="68">
        <v>1</v>
      </c>
      <c r="G268" s="26">
        <v>1.35</v>
      </c>
      <c r="H268" s="60">
        <f t="shared" si="13"/>
        <v>1.35</v>
      </c>
    </row>
    <row r="269" spans="1:8" ht="12.75" customHeight="1">
      <c r="A269" s="58">
        <v>92009</v>
      </c>
      <c r="B269" s="442"/>
      <c r="C269" s="743" t="s">
        <v>1165</v>
      </c>
      <c r="D269" s="744"/>
      <c r="E269" s="58" t="s">
        <v>126</v>
      </c>
      <c r="F269" s="68">
        <v>1</v>
      </c>
      <c r="G269" s="26">
        <v>33.19</v>
      </c>
      <c r="H269" s="60">
        <f t="shared" si="13"/>
        <v>33.19</v>
      </c>
    </row>
    <row r="270" spans="1:8" ht="12.75" customHeight="1">
      <c r="A270" s="124"/>
      <c r="B270" s="125"/>
      <c r="C270" s="126"/>
      <c r="D270" s="127"/>
      <c r="E270" s="124"/>
      <c r="F270" s="714" t="s">
        <v>148</v>
      </c>
      <c r="G270" s="715"/>
      <c r="H270" s="36">
        <f>SUM(H266:H269)</f>
        <v>50.599999999999994</v>
      </c>
    </row>
    <row r="271" spans="1:8" ht="12.75" customHeight="1">
      <c r="A271" s="556"/>
      <c r="B271" s="557"/>
      <c r="C271" s="558"/>
      <c r="D271" s="559"/>
      <c r="E271" s="559"/>
      <c r="F271" s="559"/>
      <c r="G271" s="559"/>
      <c r="H271" s="41"/>
    </row>
    <row r="272" spans="1:8" ht="12.75" customHeight="1">
      <c r="A272" s="551"/>
      <c r="B272" s="552"/>
      <c r="C272" s="553"/>
      <c r="D272" s="554"/>
      <c r="E272" s="554"/>
      <c r="F272" s="554"/>
      <c r="G272" s="554"/>
      <c r="H272" s="85"/>
    </row>
    <row r="273" spans="1:8" ht="12.75" customHeight="1">
      <c r="A273" s="738" t="s">
        <v>1166</v>
      </c>
      <c r="B273" s="739"/>
      <c r="C273" s="740" t="s">
        <v>182</v>
      </c>
      <c r="D273" s="742"/>
      <c r="E273" s="29"/>
      <c r="F273" s="34"/>
      <c r="G273" s="34"/>
      <c r="H273" s="34"/>
    </row>
    <row r="274" spans="1:8" ht="25.5">
      <c r="A274" s="34" t="s">
        <v>116</v>
      </c>
      <c r="B274" s="437" t="s">
        <v>172</v>
      </c>
      <c r="C274" s="738" t="s">
        <v>120</v>
      </c>
      <c r="D274" s="739"/>
      <c r="E274" s="34" t="s">
        <v>121</v>
      </c>
      <c r="F274" s="34" t="s">
        <v>122</v>
      </c>
      <c r="G274" s="34" t="s">
        <v>123</v>
      </c>
      <c r="H274" s="35" t="s">
        <v>124</v>
      </c>
    </row>
    <row r="275" spans="1:8" ht="15" customHeight="1">
      <c r="A275" s="25">
        <v>247</v>
      </c>
      <c r="B275" s="122" t="s">
        <v>160</v>
      </c>
      <c r="C275" s="749" t="s">
        <v>1151</v>
      </c>
      <c r="D275" s="750"/>
      <c r="E275" s="58" t="s">
        <v>130</v>
      </c>
      <c r="F275" s="68">
        <v>2</v>
      </c>
      <c r="G275" s="26">
        <v>10.95</v>
      </c>
      <c r="H275" s="60">
        <f>G275*F275</f>
        <v>21.9</v>
      </c>
    </row>
    <row r="276" spans="1:8">
      <c r="A276" s="58">
        <v>2436</v>
      </c>
      <c r="B276" s="442" t="s">
        <v>161</v>
      </c>
      <c r="C276" s="751" t="s">
        <v>1134</v>
      </c>
      <c r="D276" s="752"/>
      <c r="E276" s="58" t="s">
        <v>173</v>
      </c>
      <c r="F276" s="68">
        <v>2</v>
      </c>
      <c r="G276" s="26">
        <v>14.6</v>
      </c>
      <c r="H276" s="60">
        <f>G276*F276</f>
        <v>29.2</v>
      </c>
    </row>
    <row r="277" spans="1:8" ht="12.75" customHeight="1">
      <c r="A277" s="25">
        <v>938</v>
      </c>
      <c r="B277" s="122" t="s">
        <v>183</v>
      </c>
      <c r="C277" s="743" t="s">
        <v>1167</v>
      </c>
      <c r="D277" s="744"/>
      <c r="E277" s="58" t="s">
        <v>128</v>
      </c>
      <c r="F277" s="68">
        <v>33</v>
      </c>
      <c r="G277" s="26">
        <v>0.65</v>
      </c>
      <c r="H277" s="60">
        <f t="shared" ref="H277:H282" si="14">G277*F277</f>
        <v>21.45</v>
      </c>
    </row>
    <row r="278" spans="1:8">
      <c r="A278" s="25">
        <v>39272</v>
      </c>
      <c r="B278" s="122" t="s">
        <v>178</v>
      </c>
      <c r="C278" s="712" t="s">
        <v>1168</v>
      </c>
      <c r="D278" s="746"/>
      <c r="E278" s="58" t="s">
        <v>121</v>
      </c>
      <c r="F278" s="68">
        <v>1</v>
      </c>
      <c r="G278" s="26">
        <v>1.66</v>
      </c>
      <c r="H278" s="60">
        <f t="shared" si="14"/>
        <v>1.66</v>
      </c>
    </row>
    <row r="279" spans="1:8" ht="12.75" customHeight="1">
      <c r="A279" s="25">
        <v>2674</v>
      </c>
      <c r="B279" s="122" t="s">
        <v>179</v>
      </c>
      <c r="C279" s="747" t="s">
        <v>1169</v>
      </c>
      <c r="D279" s="748"/>
      <c r="E279" s="58" t="s">
        <v>128</v>
      </c>
      <c r="F279" s="68">
        <v>15</v>
      </c>
      <c r="G279" s="26">
        <v>2.1800000000000002</v>
      </c>
      <c r="H279" s="60">
        <f t="shared" si="14"/>
        <v>32.700000000000003</v>
      </c>
    </row>
    <row r="280" spans="1:8" ht="12.75" customHeight="1">
      <c r="A280" s="25">
        <v>1891</v>
      </c>
      <c r="B280" s="122" t="s">
        <v>184</v>
      </c>
      <c r="C280" s="712" t="s">
        <v>1160</v>
      </c>
      <c r="D280" s="713"/>
      <c r="E280" s="58" t="s">
        <v>126</v>
      </c>
      <c r="F280" s="68">
        <v>1</v>
      </c>
      <c r="G280" s="26">
        <v>0.77</v>
      </c>
      <c r="H280" s="60">
        <f t="shared" si="14"/>
        <v>0.77</v>
      </c>
    </row>
    <row r="281" spans="1:8" ht="12.75" customHeight="1">
      <c r="A281" s="25">
        <v>2556</v>
      </c>
      <c r="B281" s="122" t="s">
        <v>185</v>
      </c>
      <c r="C281" s="712" t="s">
        <v>1170</v>
      </c>
      <c r="D281" s="713"/>
      <c r="E281" s="58" t="s">
        <v>126</v>
      </c>
      <c r="F281" s="68">
        <v>1</v>
      </c>
      <c r="G281" s="26">
        <v>1.35</v>
      </c>
      <c r="H281" s="60">
        <f t="shared" si="14"/>
        <v>1.35</v>
      </c>
    </row>
    <row r="282" spans="1:8">
      <c r="A282" s="25">
        <v>12128</v>
      </c>
      <c r="B282" s="129" t="s">
        <v>186</v>
      </c>
      <c r="C282" s="851" t="s">
        <v>1171</v>
      </c>
      <c r="D282" s="852"/>
      <c r="E282" s="58" t="s">
        <v>126</v>
      </c>
      <c r="F282" s="68">
        <v>1</v>
      </c>
      <c r="G282" s="26">
        <v>5.23</v>
      </c>
      <c r="H282" s="60">
        <f t="shared" si="14"/>
        <v>5.23</v>
      </c>
    </row>
    <row r="283" spans="1:8" ht="12.75" customHeight="1">
      <c r="A283" s="124"/>
      <c r="B283" s="125"/>
      <c r="C283" s="126"/>
      <c r="D283" s="127"/>
      <c r="E283" s="124"/>
      <c r="F283" s="714" t="s">
        <v>148</v>
      </c>
      <c r="G283" s="715"/>
      <c r="H283" s="36">
        <f>SUM(H275:H282)</f>
        <v>114.25999999999999</v>
      </c>
    </row>
    <row r="284" spans="1:8">
      <c r="A284" s="551"/>
      <c r="B284" s="552"/>
      <c r="C284" s="553"/>
      <c r="D284" s="554"/>
      <c r="E284" s="554"/>
      <c r="F284" s="554"/>
      <c r="G284" s="554"/>
      <c r="H284" s="85"/>
    </row>
    <row r="285" spans="1:8" ht="12.75" customHeight="1">
      <c r="A285" s="738" t="s">
        <v>1172</v>
      </c>
      <c r="B285" s="739"/>
      <c r="C285" s="740" t="s">
        <v>1173</v>
      </c>
      <c r="D285" s="741"/>
      <c r="E285" s="741"/>
      <c r="F285" s="741"/>
      <c r="G285" s="742"/>
      <c r="H285" s="34"/>
    </row>
    <row r="286" spans="1:8" ht="12.75" customHeight="1">
      <c r="A286" s="34" t="s">
        <v>116</v>
      </c>
      <c r="B286" s="437" t="s">
        <v>172</v>
      </c>
      <c r="C286" s="738" t="s">
        <v>120</v>
      </c>
      <c r="D286" s="739"/>
      <c r="E286" s="34" t="s">
        <v>121</v>
      </c>
      <c r="F286" s="34" t="s">
        <v>122</v>
      </c>
      <c r="G286" s="34" t="s">
        <v>123</v>
      </c>
      <c r="H286" s="35" t="s">
        <v>124</v>
      </c>
    </row>
    <row r="287" spans="1:8" ht="12.75" customHeight="1">
      <c r="A287" s="58">
        <v>39445</v>
      </c>
      <c r="B287" s="442"/>
      <c r="C287" s="749" t="s">
        <v>1174</v>
      </c>
      <c r="D287" s="750"/>
      <c r="E287" s="58" t="s">
        <v>121</v>
      </c>
      <c r="F287" s="68">
        <v>1</v>
      </c>
      <c r="G287" s="26">
        <v>92.13</v>
      </c>
      <c r="H287" s="60">
        <f>G287*F287</f>
        <v>92.13</v>
      </c>
    </row>
    <row r="288" spans="1:8" ht="12.75" customHeight="1">
      <c r="A288" s="58">
        <v>2436</v>
      </c>
      <c r="B288" s="122"/>
      <c r="C288" s="751" t="s">
        <v>1134</v>
      </c>
      <c r="D288" s="752"/>
      <c r="E288" s="58" t="s">
        <v>130</v>
      </c>
      <c r="F288" s="68">
        <v>0.6</v>
      </c>
      <c r="G288" s="26">
        <v>14.6</v>
      </c>
      <c r="H288" s="60">
        <f t="shared" ref="H288:H289" si="15">G288*F288</f>
        <v>8.76</v>
      </c>
    </row>
    <row r="289" spans="1:8" ht="12.75" customHeight="1">
      <c r="A289" s="25">
        <v>247</v>
      </c>
      <c r="B289" s="442"/>
      <c r="C289" s="749" t="s">
        <v>1151</v>
      </c>
      <c r="D289" s="750"/>
      <c r="E289" s="58" t="s">
        <v>130</v>
      </c>
      <c r="F289" s="68">
        <v>0.6</v>
      </c>
      <c r="G289" s="26">
        <v>10.95</v>
      </c>
      <c r="H289" s="60">
        <f t="shared" si="15"/>
        <v>6.5699999999999994</v>
      </c>
    </row>
    <row r="290" spans="1:8" ht="12.75" customHeight="1">
      <c r="A290" s="124"/>
      <c r="B290" s="125"/>
      <c r="C290" s="126"/>
      <c r="D290" s="127"/>
      <c r="E290" s="124"/>
      <c r="F290" s="714" t="s">
        <v>148</v>
      </c>
      <c r="G290" s="715"/>
      <c r="H290" s="36">
        <f>SUM(H287:H289)</f>
        <v>107.46</v>
      </c>
    </row>
    <row r="291" spans="1:8" ht="12.75" customHeight="1">
      <c r="A291" s="551"/>
      <c r="B291" s="552"/>
      <c r="C291" s="553"/>
      <c r="D291" s="554"/>
      <c r="E291" s="554"/>
      <c r="F291" s="554"/>
      <c r="G291" s="554"/>
      <c r="H291" s="85"/>
    </row>
    <row r="292" spans="1:8" ht="12.75" customHeight="1">
      <c r="A292" s="738" t="s">
        <v>1175</v>
      </c>
      <c r="B292" s="739"/>
      <c r="C292" s="740" t="s">
        <v>1176</v>
      </c>
      <c r="D292" s="741"/>
      <c r="E292" s="741"/>
      <c r="F292" s="741"/>
      <c r="G292" s="741"/>
      <c r="H292" s="745"/>
    </row>
    <row r="293" spans="1:8" ht="25.5">
      <c r="A293" s="34" t="s">
        <v>116</v>
      </c>
      <c r="B293" s="437" t="s">
        <v>172</v>
      </c>
      <c r="C293" s="738" t="s">
        <v>120</v>
      </c>
      <c r="D293" s="739"/>
      <c r="E293" s="34" t="s">
        <v>121</v>
      </c>
      <c r="F293" s="34" t="s">
        <v>122</v>
      </c>
      <c r="G293" s="34" t="s">
        <v>123</v>
      </c>
      <c r="H293" s="35" t="s">
        <v>124</v>
      </c>
    </row>
    <row r="294" spans="1:8">
      <c r="A294" s="25">
        <v>247</v>
      </c>
      <c r="B294" s="122" t="s">
        <v>1177</v>
      </c>
      <c r="C294" s="749" t="s">
        <v>1133</v>
      </c>
      <c r="D294" s="750"/>
      <c r="E294" s="58" t="s">
        <v>130</v>
      </c>
      <c r="F294" s="68">
        <v>2.5</v>
      </c>
      <c r="G294" s="26">
        <v>10.95</v>
      </c>
      <c r="H294" s="60">
        <f>G294*F294</f>
        <v>27.375</v>
      </c>
    </row>
    <row r="295" spans="1:8" ht="12.75" customHeight="1">
      <c r="A295" s="58">
        <v>2436</v>
      </c>
      <c r="B295" s="442" t="s">
        <v>161</v>
      </c>
      <c r="C295" s="751" t="s">
        <v>1178</v>
      </c>
      <c r="D295" s="752"/>
      <c r="E295" s="58" t="s">
        <v>173</v>
      </c>
      <c r="F295" s="68">
        <v>2.5</v>
      </c>
      <c r="G295" s="26">
        <v>14.6</v>
      </c>
      <c r="H295" s="60">
        <f>G295*F295</f>
        <v>36.5</v>
      </c>
    </row>
    <row r="296" spans="1:8">
      <c r="A296" s="25">
        <v>1873</v>
      </c>
      <c r="B296" s="442" t="s">
        <v>1179</v>
      </c>
      <c r="C296" s="743" t="s">
        <v>1180</v>
      </c>
      <c r="D296" s="744"/>
      <c r="E296" s="58" t="s">
        <v>121</v>
      </c>
      <c r="F296" s="68">
        <v>1</v>
      </c>
      <c r="G296" s="26">
        <v>3.04</v>
      </c>
      <c r="H296" s="60">
        <f>G296*F296</f>
        <v>3.04</v>
      </c>
    </row>
    <row r="297" spans="1:8" ht="12.75" customHeight="1">
      <c r="A297" s="25">
        <v>2674</v>
      </c>
      <c r="B297" s="122" t="s">
        <v>191</v>
      </c>
      <c r="C297" s="712" t="s">
        <v>1181</v>
      </c>
      <c r="D297" s="713"/>
      <c r="E297" s="58" t="s">
        <v>128</v>
      </c>
      <c r="F297" s="68">
        <v>10</v>
      </c>
      <c r="G297" s="26">
        <v>2.1800000000000002</v>
      </c>
      <c r="H297" s="60">
        <f>G297*F297</f>
        <v>21.8</v>
      </c>
    </row>
    <row r="298" spans="1:8">
      <c r="A298" s="25">
        <v>38097</v>
      </c>
      <c r="B298" s="442" t="s">
        <v>192</v>
      </c>
      <c r="C298" s="712" t="s">
        <v>1182</v>
      </c>
      <c r="D298" s="713"/>
      <c r="E298" s="58" t="s">
        <v>121</v>
      </c>
      <c r="F298" s="68">
        <v>1</v>
      </c>
      <c r="G298" s="26">
        <v>3.28</v>
      </c>
      <c r="H298" s="60">
        <f>G298*F298</f>
        <v>3.28</v>
      </c>
    </row>
    <row r="299" spans="1:8" ht="12.75" customHeight="1">
      <c r="A299" s="124"/>
      <c r="B299" s="125"/>
      <c r="C299" s="126"/>
      <c r="D299" s="127"/>
      <c r="E299" s="124"/>
      <c r="F299" s="714" t="s">
        <v>148</v>
      </c>
      <c r="G299" s="715"/>
      <c r="H299" s="36">
        <f>SUM(H294:H298)</f>
        <v>91.995000000000005</v>
      </c>
    </row>
    <row r="300" spans="1:8" ht="12.75" customHeight="1">
      <c r="A300" s="551"/>
      <c r="B300" s="552"/>
      <c r="C300" s="553"/>
      <c r="D300" s="554"/>
      <c r="E300" s="554"/>
      <c r="F300" s="554"/>
      <c r="G300" s="554"/>
      <c r="H300" s="85"/>
    </row>
    <row r="301" spans="1:8" ht="12.75" customHeight="1">
      <c r="A301" s="738" t="s">
        <v>1183</v>
      </c>
      <c r="B301" s="739"/>
      <c r="C301" s="740" t="s">
        <v>1184</v>
      </c>
      <c r="D301" s="741"/>
      <c r="E301" s="741"/>
      <c r="F301" s="741"/>
      <c r="G301" s="741"/>
      <c r="H301" s="742"/>
    </row>
    <row r="302" spans="1:8" ht="12.75" customHeight="1">
      <c r="A302" s="34" t="s">
        <v>116</v>
      </c>
      <c r="B302" s="437" t="s">
        <v>172</v>
      </c>
      <c r="C302" s="738" t="s">
        <v>120</v>
      </c>
      <c r="D302" s="739"/>
      <c r="E302" s="34" t="s">
        <v>121</v>
      </c>
      <c r="F302" s="34" t="s">
        <v>122</v>
      </c>
      <c r="G302" s="34" t="s">
        <v>123</v>
      </c>
      <c r="H302" s="35" t="s">
        <v>124</v>
      </c>
    </row>
    <row r="303" spans="1:8">
      <c r="A303" s="27">
        <v>6111</v>
      </c>
      <c r="B303" s="77"/>
      <c r="C303" s="439" t="s">
        <v>1013</v>
      </c>
      <c r="D303" s="440"/>
      <c r="E303" s="58" t="s">
        <v>130</v>
      </c>
      <c r="F303" s="69">
        <v>0.3</v>
      </c>
      <c r="G303" s="28">
        <v>10.49</v>
      </c>
      <c r="H303" s="60">
        <f>G303*F303</f>
        <v>3.1469999999999998</v>
      </c>
    </row>
    <row r="304" spans="1:8" ht="12.75" customHeight="1">
      <c r="A304" s="25">
        <v>37400</v>
      </c>
      <c r="B304" s="439"/>
      <c r="C304" s="743" t="s">
        <v>1185</v>
      </c>
      <c r="D304" s="744"/>
      <c r="E304" s="58" t="s">
        <v>121</v>
      </c>
      <c r="F304" s="68">
        <v>1</v>
      </c>
      <c r="G304" s="26">
        <v>30.67</v>
      </c>
      <c r="H304" s="60">
        <f>G304*F304</f>
        <v>30.67</v>
      </c>
    </row>
    <row r="305" spans="1:8">
      <c r="A305" s="124"/>
      <c r="B305" s="125"/>
      <c r="C305" s="125"/>
      <c r="D305" s="127"/>
      <c r="E305" s="124"/>
      <c r="F305" s="714" t="s">
        <v>148</v>
      </c>
      <c r="G305" s="715"/>
      <c r="H305" s="36">
        <f>SUM(H303:H304)</f>
        <v>33.817</v>
      </c>
    </row>
    <row r="306" spans="1:8" ht="12.75" customHeight="1">
      <c r="A306" s="551"/>
      <c r="B306" s="552"/>
      <c r="C306" s="553"/>
      <c r="D306" s="554"/>
      <c r="E306" s="554"/>
      <c r="F306" s="554"/>
      <c r="G306" s="554"/>
      <c r="H306" s="85"/>
    </row>
    <row r="307" spans="1:8">
      <c r="A307" s="738" t="s">
        <v>1186</v>
      </c>
      <c r="B307" s="739"/>
      <c r="C307" s="740" t="s">
        <v>1187</v>
      </c>
      <c r="D307" s="741"/>
      <c r="E307" s="741"/>
      <c r="F307" s="741"/>
      <c r="G307" s="741"/>
      <c r="H307" s="745"/>
    </row>
    <row r="308" spans="1:8" ht="12.75" customHeight="1">
      <c r="A308" s="34" t="s">
        <v>116</v>
      </c>
      <c r="B308" s="437" t="s">
        <v>172</v>
      </c>
      <c r="C308" s="738" t="s">
        <v>120</v>
      </c>
      <c r="D308" s="739"/>
      <c r="E308" s="34" t="s">
        <v>121</v>
      </c>
      <c r="F308" s="34" t="s">
        <v>122</v>
      </c>
      <c r="G308" s="34" t="s">
        <v>123</v>
      </c>
      <c r="H308" s="35" t="s">
        <v>124</v>
      </c>
    </row>
    <row r="309" spans="1:8" ht="12.75" customHeight="1">
      <c r="A309" s="25">
        <v>2696</v>
      </c>
      <c r="B309" s="438"/>
      <c r="C309" s="712" t="s">
        <v>1188</v>
      </c>
      <c r="D309" s="713"/>
      <c r="E309" s="58" t="s">
        <v>130</v>
      </c>
      <c r="F309" s="69">
        <v>1</v>
      </c>
      <c r="G309" s="26">
        <v>14.6</v>
      </c>
      <c r="H309" s="60">
        <f>G309*F309</f>
        <v>14.6</v>
      </c>
    </row>
    <row r="310" spans="1:8" ht="12.75" customHeight="1">
      <c r="A310" s="27">
        <v>246</v>
      </c>
      <c r="B310" s="77"/>
      <c r="C310" s="712" t="s">
        <v>1189</v>
      </c>
      <c r="D310" s="713"/>
      <c r="E310" s="58" t="s">
        <v>130</v>
      </c>
      <c r="F310" s="69">
        <v>2</v>
      </c>
      <c r="G310" s="28">
        <v>10.95</v>
      </c>
      <c r="H310" s="60">
        <f t="shared" ref="H310:H315" si="16">G310*F310</f>
        <v>21.9</v>
      </c>
    </row>
    <row r="311" spans="1:8" ht="12.75" customHeight="1">
      <c r="A311" s="27">
        <v>4358</v>
      </c>
      <c r="B311" s="77"/>
      <c r="C311" s="712" t="s">
        <v>427</v>
      </c>
      <c r="D311" s="713"/>
      <c r="E311" s="58" t="s">
        <v>126</v>
      </c>
      <c r="F311" s="69">
        <v>4</v>
      </c>
      <c r="G311" s="28">
        <v>0.89</v>
      </c>
      <c r="H311" s="60">
        <f t="shared" si="16"/>
        <v>3.56</v>
      </c>
    </row>
    <row r="312" spans="1:8" ht="12.75" customHeight="1">
      <c r="A312" s="27">
        <v>11698</v>
      </c>
      <c r="B312" s="77"/>
      <c r="C312" s="712" t="s">
        <v>1190</v>
      </c>
      <c r="D312" s="713"/>
      <c r="E312" s="58" t="s">
        <v>126</v>
      </c>
      <c r="F312" s="69">
        <v>1</v>
      </c>
      <c r="G312" s="28">
        <v>498.03</v>
      </c>
      <c r="H312" s="60">
        <f t="shared" si="16"/>
        <v>498.03</v>
      </c>
    </row>
    <row r="313" spans="1:8" ht="12.75" customHeight="1">
      <c r="A313" s="27">
        <v>3146</v>
      </c>
      <c r="B313" s="77"/>
      <c r="C313" s="712" t="s">
        <v>425</v>
      </c>
      <c r="D313" s="713"/>
      <c r="E313" s="58" t="s">
        <v>126</v>
      </c>
      <c r="F313" s="69">
        <v>1</v>
      </c>
      <c r="G313" s="28">
        <v>2.79</v>
      </c>
      <c r="H313" s="60">
        <f t="shared" si="16"/>
        <v>2.79</v>
      </c>
    </row>
    <row r="314" spans="1:8">
      <c r="A314" s="25">
        <v>6157</v>
      </c>
      <c r="B314" s="439"/>
      <c r="C314" s="743" t="s">
        <v>1191</v>
      </c>
      <c r="D314" s="744"/>
      <c r="E314" s="58" t="s">
        <v>126</v>
      </c>
      <c r="F314" s="69">
        <v>1</v>
      </c>
      <c r="G314" s="26">
        <v>28.38</v>
      </c>
      <c r="H314" s="60">
        <f t="shared" si="16"/>
        <v>28.38</v>
      </c>
    </row>
    <row r="315" spans="1:8" ht="12.75" customHeight="1" thickBot="1">
      <c r="A315" s="560">
        <v>6149</v>
      </c>
      <c r="B315" s="561"/>
      <c r="C315" s="825" t="s">
        <v>1192</v>
      </c>
      <c r="D315" s="826"/>
      <c r="E315" s="562" t="s">
        <v>126</v>
      </c>
      <c r="F315" s="563">
        <v>1</v>
      </c>
      <c r="G315" s="564">
        <v>11.82</v>
      </c>
      <c r="H315" s="565">
        <f t="shared" si="16"/>
        <v>11.82</v>
      </c>
    </row>
    <row r="316" spans="1:8" ht="13.5" thickBot="1">
      <c r="A316" s="566"/>
      <c r="B316" s="567"/>
      <c r="C316" s="567"/>
      <c r="D316" s="568"/>
      <c r="E316" s="569"/>
      <c r="F316" s="755" t="s">
        <v>148</v>
      </c>
      <c r="G316" s="756"/>
      <c r="H316" s="570">
        <f>SUM(H309:H315)</f>
        <v>581.07999999999993</v>
      </c>
    </row>
    <row r="317" spans="1:8">
      <c r="A317" s="551"/>
      <c r="B317" s="552"/>
      <c r="C317" s="553"/>
      <c r="D317" s="554"/>
      <c r="E317" s="554"/>
      <c r="F317" s="554"/>
      <c r="G317" s="554"/>
      <c r="H317" s="85"/>
    </row>
    <row r="318" spans="1:8" ht="12.75" customHeight="1">
      <c r="A318" s="738" t="s">
        <v>1193</v>
      </c>
      <c r="B318" s="739"/>
      <c r="C318" s="740" t="s">
        <v>1194</v>
      </c>
      <c r="D318" s="741"/>
      <c r="E318" s="741"/>
      <c r="F318" s="741"/>
      <c r="G318" s="741"/>
      <c r="H318" s="745"/>
    </row>
    <row r="319" spans="1:8" ht="12.75" customHeight="1">
      <c r="A319" s="34" t="s">
        <v>116</v>
      </c>
      <c r="B319" s="437" t="s">
        <v>172</v>
      </c>
      <c r="C319" s="738" t="s">
        <v>120</v>
      </c>
      <c r="D319" s="739"/>
      <c r="E319" s="34" t="s">
        <v>121</v>
      </c>
      <c r="F319" s="34" t="s">
        <v>122</v>
      </c>
      <c r="G319" s="34" t="s">
        <v>123</v>
      </c>
      <c r="H319" s="35" t="s">
        <v>124</v>
      </c>
    </row>
    <row r="320" spans="1:8" ht="12.75" customHeight="1">
      <c r="A320" s="27">
        <v>6111</v>
      </c>
      <c r="B320" s="77"/>
      <c r="C320" s="439" t="s">
        <v>1013</v>
      </c>
      <c r="D320" s="440"/>
      <c r="E320" s="58" t="s">
        <v>130</v>
      </c>
      <c r="F320" s="69">
        <v>0.3</v>
      </c>
      <c r="G320" s="28">
        <v>10.49</v>
      </c>
      <c r="H320" s="60">
        <f>G320*F320</f>
        <v>3.1469999999999998</v>
      </c>
    </row>
    <row r="321" spans="1:8" ht="12.75" customHeight="1">
      <c r="A321" s="25">
        <v>11758</v>
      </c>
      <c r="B321" s="439"/>
      <c r="C321" s="743" t="s">
        <v>1195</v>
      </c>
      <c r="D321" s="744"/>
      <c r="E321" s="58" t="s">
        <v>121</v>
      </c>
      <c r="F321" s="68">
        <v>1</v>
      </c>
      <c r="G321" s="26">
        <v>29.46</v>
      </c>
      <c r="H321" s="60">
        <f>G321*F321</f>
        <v>29.46</v>
      </c>
    </row>
    <row r="322" spans="1:8">
      <c r="A322" s="124"/>
      <c r="B322" s="125"/>
      <c r="C322" s="125"/>
      <c r="D322" s="127"/>
      <c r="E322" s="124"/>
      <c r="F322" s="714" t="s">
        <v>148</v>
      </c>
      <c r="G322" s="715"/>
      <c r="H322" s="36">
        <f>SUM(H320:H321)</f>
        <v>32.606999999999999</v>
      </c>
    </row>
    <row r="323" spans="1:8" ht="12.75" customHeight="1">
      <c r="A323" s="128"/>
      <c r="B323" s="128"/>
      <c r="C323" s="128"/>
      <c r="D323" s="472"/>
      <c r="E323" s="128"/>
      <c r="F323" s="474"/>
      <c r="G323" s="474"/>
      <c r="H323" s="571"/>
    </row>
    <row r="324" spans="1:8">
      <c r="A324" s="738" t="s">
        <v>1196</v>
      </c>
      <c r="B324" s="739"/>
      <c r="C324" s="740" t="s">
        <v>1197</v>
      </c>
      <c r="D324" s="741"/>
      <c r="E324" s="741"/>
      <c r="F324" s="741"/>
      <c r="G324" s="741"/>
      <c r="H324" s="745"/>
    </row>
    <row r="325" spans="1:8" ht="12.75" customHeight="1">
      <c r="A325" s="34" t="s">
        <v>116</v>
      </c>
      <c r="B325" s="437" t="s">
        <v>172</v>
      </c>
      <c r="C325" s="738" t="s">
        <v>120</v>
      </c>
      <c r="D325" s="739"/>
      <c r="E325" s="34" t="s">
        <v>121</v>
      </c>
      <c r="F325" s="34" t="s">
        <v>122</v>
      </c>
      <c r="G325" s="34" t="s">
        <v>123</v>
      </c>
      <c r="H325" s="35" t="s">
        <v>124</v>
      </c>
    </row>
    <row r="326" spans="1:8" ht="12.75" customHeight="1">
      <c r="A326" s="27">
        <v>6111</v>
      </c>
      <c r="B326" s="77"/>
      <c r="C326" s="439" t="s">
        <v>1013</v>
      </c>
      <c r="D326" s="440"/>
      <c r="E326" s="58" t="s">
        <v>130</v>
      </c>
      <c r="F326" s="69">
        <v>0.3</v>
      </c>
      <c r="G326" s="28">
        <v>10.49</v>
      </c>
      <c r="H326" s="60">
        <f>G326*F326</f>
        <v>3.1469999999999998</v>
      </c>
    </row>
    <row r="327" spans="1:8" ht="12.75" customHeight="1">
      <c r="A327" s="25">
        <v>37401</v>
      </c>
      <c r="B327" s="439"/>
      <c r="C327" s="743" t="s">
        <v>538</v>
      </c>
      <c r="D327" s="744"/>
      <c r="E327" s="58" t="s">
        <v>121</v>
      </c>
      <c r="F327" s="68">
        <v>1</v>
      </c>
      <c r="G327" s="26">
        <v>30.67</v>
      </c>
      <c r="H327" s="60">
        <f>G327*F327</f>
        <v>30.67</v>
      </c>
    </row>
    <row r="328" spans="1:8">
      <c r="A328" s="124"/>
      <c r="B328" s="125"/>
      <c r="C328" s="828"/>
      <c r="D328" s="829"/>
      <c r="E328" s="124"/>
      <c r="F328" s="714" t="s">
        <v>148</v>
      </c>
      <c r="G328" s="715"/>
      <c r="H328" s="36">
        <f>SUM(H326:H327)</f>
        <v>33.817</v>
      </c>
    </row>
    <row r="329" spans="1:8">
      <c r="A329" s="551"/>
      <c r="B329" s="552"/>
      <c r="C329" s="553"/>
      <c r="D329" s="554"/>
      <c r="E329" s="554"/>
      <c r="F329" s="554"/>
      <c r="G329" s="554"/>
      <c r="H329" s="85"/>
    </row>
    <row r="330" spans="1:8" ht="27" customHeight="1">
      <c r="A330" s="823" t="s">
        <v>1198</v>
      </c>
      <c r="B330" s="824"/>
      <c r="C330" s="740" t="s">
        <v>1199</v>
      </c>
      <c r="D330" s="741"/>
      <c r="E330" s="741"/>
      <c r="F330" s="741"/>
      <c r="G330" s="742"/>
      <c r="H330" s="34"/>
    </row>
    <row r="331" spans="1:8" ht="12.75" customHeight="1">
      <c r="A331" s="34" t="s">
        <v>116</v>
      </c>
      <c r="B331" s="437" t="s">
        <v>172</v>
      </c>
      <c r="C331" s="738" t="s">
        <v>120</v>
      </c>
      <c r="D331" s="739"/>
      <c r="E331" s="34" t="s">
        <v>121</v>
      </c>
      <c r="F331" s="34" t="s">
        <v>122</v>
      </c>
      <c r="G331" s="34" t="s">
        <v>123</v>
      </c>
      <c r="H331" s="35" t="s">
        <v>124</v>
      </c>
    </row>
    <row r="332" spans="1:8">
      <c r="A332" s="25">
        <v>6111</v>
      </c>
      <c r="B332" s="122"/>
      <c r="C332" s="749" t="s">
        <v>1200</v>
      </c>
      <c r="D332" s="750"/>
      <c r="E332" s="58" t="s">
        <v>130</v>
      </c>
      <c r="F332" s="68">
        <v>2.9</v>
      </c>
      <c r="G332" s="26">
        <v>10.49</v>
      </c>
      <c r="H332" s="60">
        <f t="shared" ref="H332:H338" si="17">G332*F332</f>
        <v>30.420999999999999</v>
      </c>
    </row>
    <row r="333" spans="1:8" ht="12.75" customHeight="1">
      <c r="A333" s="58">
        <v>2696</v>
      </c>
      <c r="B333" s="442"/>
      <c r="C333" s="751" t="s">
        <v>1201</v>
      </c>
      <c r="D333" s="752"/>
      <c r="E333" s="58" t="s">
        <v>173</v>
      </c>
      <c r="F333" s="68">
        <v>1.5</v>
      </c>
      <c r="G333" s="26">
        <v>14.6</v>
      </c>
      <c r="H333" s="60">
        <f t="shared" si="17"/>
        <v>21.9</v>
      </c>
    </row>
    <row r="334" spans="1:8" ht="12.75" customHeight="1">
      <c r="A334" s="58">
        <v>4750</v>
      </c>
      <c r="B334" s="442"/>
      <c r="C334" s="743" t="s">
        <v>1202</v>
      </c>
      <c r="D334" s="744"/>
      <c r="E334" s="58" t="s">
        <v>173</v>
      </c>
      <c r="F334" s="68">
        <v>1.4</v>
      </c>
      <c r="G334" s="26">
        <v>14.11</v>
      </c>
      <c r="H334" s="60">
        <f t="shared" si="17"/>
        <v>19.753999999999998</v>
      </c>
    </row>
    <row r="335" spans="1:8" ht="12.75" customHeight="1">
      <c r="A335" s="58">
        <v>11795</v>
      </c>
      <c r="B335" s="442"/>
      <c r="C335" s="743" t="s">
        <v>1203</v>
      </c>
      <c r="D335" s="744"/>
      <c r="E335" s="58" t="s">
        <v>159</v>
      </c>
      <c r="F335" s="68">
        <v>1.32</v>
      </c>
      <c r="G335" s="26">
        <v>400</v>
      </c>
      <c r="H335" s="60">
        <f t="shared" si="17"/>
        <v>528</v>
      </c>
    </row>
    <row r="336" spans="1:8" ht="12.75" customHeight="1">
      <c r="A336" s="25">
        <v>6149</v>
      </c>
      <c r="B336" s="122"/>
      <c r="C336" s="743" t="s">
        <v>1192</v>
      </c>
      <c r="D336" s="744"/>
      <c r="E336" s="58" t="s">
        <v>121</v>
      </c>
      <c r="F336" s="68">
        <v>1</v>
      </c>
      <c r="G336" s="26">
        <v>11.82</v>
      </c>
      <c r="H336" s="60">
        <f t="shared" si="17"/>
        <v>11.82</v>
      </c>
    </row>
    <row r="337" spans="1:8" ht="12.75" customHeight="1">
      <c r="A337" s="25">
        <v>1743</v>
      </c>
      <c r="B337" s="122"/>
      <c r="C337" s="743" t="s">
        <v>1204</v>
      </c>
      <c r="D337" s="744"/>
      <c r="E337" s="58" t="s">
        <v>121</v>
      </c>
      <c r="F337" s="68">
        <v>1</v>
      </c>
      <c r="G337" s="26">
        <v>108.68</v>
      </c>
      <c r="H337" s="60">
        <f t="shared" si="17"/>
        <v>108.68</v>
      </c>
    </row>
    <row r="338" spans="1:8" ht="12.75" customHeight="1">
      <c r="A338" s="25">
        <v>87295</v>
      </c>
      <c r="B338" s="122"/>
      <c r="C338" s="743" t="s">
        <v>1205</v>
      </c>
      <c r="D338" s="744"/>
      <c r="E338" s="58" t="s">
        <v>1030</v>
      </c>
      <c r="F338" s="572">
        <v>2.3E-3</v>
      </c>
      <c r="G338" s="26">
        <v>344.12</v>
      </c>
      <c r="H338" s="573">
        <f t="shared" si="17"/>
        <v>0.79147599999999996</v>
      </c>
    </row>
    <row r="339" spans="1:8" ht="12.75" customHeight="1">
      <c r="A339" s="124"/>
      <c r="B339" s="125"/>
      <c r="C339" s="126"/>
      <c r="D339" s="127"/>
      <c r="E339" s="124"/>
      <c r="F339" s="714" t="s">
        <v>148</v>
      </c>
      <c r="G339" s="715"/>
      <c r="H339" s="36">
        <f>SUM(H332:H338)</f>
        <v>721.36647600000003</v>
      </c>
    </row>
    <row r="340" spans="1:8">
      <c r="A340" s="49"/>
      <c r="B340" s="117"/>
      <c r="C340" s="445"/>
      <c r="D340" s="445"/>
      <c r="E340" s="537"/>
      <c r="F340" s="454"/>
      <c r="G340" s="454"/>
      <c r="H340" s="454"/>
    </row>
    <row r="341" spans="1:8" ht="26.25" customHeight="1">
      <c r="A341" s="823" t="s">
        <v>1206</v>
      </c>
      <c r="B341" s="824"/>
      <c r="C341" s="740" t="s">
        <v>1207</v>
      </c>
      <c r="D341" s="741"/>
      <c r="E341" s="741"/>
      <c r="F341" s="741"/>
      <c r="G341" s="742"/>
      <c r="H341" s="34"/>
    </row>
    <row r="342" spans="1:8" ht="25.5">
      <c r="A342" s="34" t="s">
        <v>116</v>
      </c>
      <c r="B342" s="437" t="s">
        <v>172</v>
      </c>
      <c r="C342" s="738" t="s">
        <v>120</v>
      </c>
      <c r="D342" s="739"/>
      <c r="E342" s="34" t="s">
        <v>121</v>
      </c>
      <c r="F342" s="34" t="s">
        <v>122</v>
      </c>
      <c r="G342" s="34" t="s">
        <v>123</v>
      </c>
      <c r="H342" s="35" t="s">
        <v>124</v>
      </c>
    </row>
    <row r="343" spans="1:8" ht="12.75" customHeight="1">
      <c r="A343" s="25">
        <v>6111</v>
      </c>
      <c r="B343" s="122"/>
      <c r="C343" s="749" t="s">
        <v>1200</v>
      </c>
      <c r="D343" s="750"/>
      <c r="E343" s="58" t="s">
        <v>130</v>
      </c>
      <c r="F343" s="68">
        <v>2.9</v>
      </c>
      <c r="G343" s="26">
        <v>10.49</v>
      </c>
      <c r="H343" s="60">
        <f t="shared" ref="H343:H349" si="18">G343*F343</f>
        <v>30.420999999999999</v>
      </c>
    </row>
    <row r="344" spans="1:8">
      <c r="A344" s="58">
        <v>2696</v>
      </c>
      <c r="B344" s="442"/>
      <c r="C344" s="751" t="s">
        <v>1201</v>
      </c>
      <c r="D344" s="752"/>
      <c r="E344" s="58" t="s">
        <v>173</v>
      </c>
      <c r="F344" s="68">
        <v>1.5</v>
      </c>
      <c r="G344" s="26">
        <v>14.6</v>
      </c>
      <c r="H344" s="60">
        <f t="shared" si="18"/>
        <v>21.9</v>
      </c>
    </row>
    <row r="345" spans="1:8">
      <c r="A345" s="58">
        <v>4750</v>
      </c>
      <c r="B345" s="442"/>
      <c r="C345" s="743" t="s">
        <v>1202</v>
      </c>
      <c r="D345" s="744"/>
      <c r="E345" s="58" t="s">
        <v>173</v>
      </c>
      <c r="F345" s="68">
        <v>1.4</v>
      </c>
      <c r="G345" s="26">
        <v>14.11</v>
      </c>
      <c r="H345" s="60">
        <f t="shared" si="18"/>
        <v>19.753999999999998</v>
      </c>
    </row>
    <row r="346" spans="1:8" ht="12.75" customHeight="1">
      <c r="A346" s="58">
        <v>11795</v>
      </c>
      <c r="B346" s="442"/>
      <c r="C346" s="743" t="s">
        <v>1203</v>
      </c>
      <c r="D346" s="744"/>
      <c r="E346" s="58" t="s">
        <v>159</v>
      </c>
      <c r="F346" s="68">
        <v>1.62</v>
      </c>
      <c r="G346" s="26">
        <v>400</v>
      </c>
      <c r="H346" s="60">
        <f t="shared" si="18"/>
        <v>648</v>
      </c>
    </row>
    <row r="347" spans="1:8">
      <c r="A347" s="25">
        <v>6149</v>
      </c>
      <c r="B347" s="122"/>
      <c r="C347" s="743" t="s">
        <v>1192</v>
      </c>
      <c r="D347" s="744"/>
      <c r="E347" s="58" t="s">
        <v>121</v>
      </c>
      <c r="F347" s="68">
        <v>1</v>
      </c>
      <c r="G347" s="26">
        <v>11.82</v>
      </c>
      <c r="H347" s="60">
        <f t="shared" si="18"/>
        <v>11.82</v>
      </c>
    </row>
    <row r="348" spans="1:8">
      <c r="A348" s="25">
        <v>1743</v>
      </c>
      <c r="B348" s="122"/>
      <c r="C348" s="743" t="s">
        <v>1204</v>
      </c>
      <c r="D348" s="744"/>
      <c r="E348" s="58" t="s">
        <v>121</v>
      </c>
      <c r="F348" s="68">
        <v>1</v>
      </c>
      <c r="G348" s="26">
        <v>108.68</v>
      </c>
      <c r="H348" s="60">
        <f t="shared" si="18"/>
        <v>108.68</v>
      </c>
    </row>
    <row r="349" spans="1:8">
      <c r="A349" s="25">
        <v>87295</v>
      </c>
      <c r="B349" s="122"/>
      <c r="C349" s="743" t="s">
        <v>1205</v>
      </c>
      <c r="D349" s="744"/>
      <c r="E349" s="58" t="s">
        <v>1030</v>
      </c>
      <c r="F349" s="572">
        <v>2.3E-3</v>
      </c>
      <c r="G349" s="26">
        <v>344.12</v>
      </c>
      <c r="H349" s="573">
        <f t="shared" si="18"/>
        <v>0.79147599999999996</v>
      </c>
    </row>
    <row r="350" spans="1:8" ht="12.75" customHeight="1">
      <c r="A350" s="124"/>
      <c r="B350" s="125"/>
      <c r="C350" s="126"/>
      <c r="D350" s="127"/>
      <c r="E350" s="124"/>
      <c r="F350" s="714" t="s">
        <v>148</v>
      </c>
      <c r="G350" s="715"/>
      <c r="H350" s="36">
        <f>SUM(H343:H349)</f>
        <v>841.36647600000003</v>
      </c>
    </row>
    <row r="351" spans="1:8" ht="12.75" customHeight="1" thickBot="1">
      <c r="A351" s="128"/>
      <c r="B351" s="128"/>
      <c r="C351" s="622"/>
      <c r="D351" s="472"/>
      <c r="E351" s="128"/>
      <c r="F351" s="474"/>
      <c r="G351" s="474"/>
      <c r="H351" s="571"/>
    </row>
    <row r="352" spans="1:8" ht="12.75" customHeight="1" thickBot="1">
      <c r="A352" s="721" t="s">
        <v>1273</v>
      </c>
      <c r="B352" s="722"/>
      <c r="C352" s="820" t="s">
        <v>1274</v>
      </c>
      <c r="D352" s="821"/>
      <c r="E352" s="821"/>
      <c r="F352" s="821"/>
      <c r="G352" s="821"/>
      <c r="H352" s="822"/>
    </row>
    <row r="353" spans="1:8" ht="12.75" customHeight="1">
      <c r="A353" s="32" t="s">
        <v>116</v>
      </c>
      <c r="B353" s="621" t="s">
        <v>172</v>
      </c>
      <c r="C353" s="733" t="s">
        <v>120</v>
      </c>
      <c r="D353" s="734"/>
      <c r="E353" s="32" t="s">
        <v>121</v>
      </c>
      <c r="F353" s="32" t="s">
        <v>122</v>
      </c>
      <c r="G353" s="32" t="s">
        <v>123</v>
      </c>
      <c r="H353" s="555" t="s">
        <v>124</v>
      </c>
    </row>
    <row r="354" spans="1:8" ht="12.75" customHeight="1">
      <c r="A354" s="27">
        <v>6111</v>
      </c>
      <c r="B354" s="77"/>
      <c r="C354" s="712" t="s">
        <v>1013</v>
      </c>
      <c r="D354" s="713"/>
      <c r="E354" s="58" t="s">
        <v>130</v>
      </c>
      <c r="F354" s="457">
        <v>2.9</v>
      </c>
      <c r="G354" s="28">
        <v>10.49</v>
      </c>
      <c r="H354" s="60">
        <f>G354*F354</f>
        <v>30.420999999999999</v>
      </c>
    </row>
    <row r="355" spans="1:8" ht="12.75" customHeight="1">
      <c r="A355" s="25">
        <v>11795</v>
      </c>
      <c r="B355" s="619"/>
      <c r="C355" s="743" t="s">
        <v>1274</v>
      </c>
      <c r="D355" s="744"/>
      <c r="E355" s="58" t="s">
        <v>28</v>
      </c>
      <c r="F355" s="574">
        <v>1</v>
      </c>
      <c r="G355" s="26">
        <v>400</v>
      </c>
      <c r="H355" s="60">
        <f>G355*F355</f>
        <v>400</v>
      </c>
    </row>
    <row r="356" spans="1:8" ht="12.75" customHeight="1">
      <c r="A356" s="25">
        <v>87295</v>
      </c>
      <c r="B356" s="122"/>
      <c r="C356" s="712" t="s">
        <v>1205</v>
      </c>
      <c r="D356" s="713"/>
      <c r="E356" s="58" t="s">
        <v>30</v>
      </c>
      <c r="F356" s="626">
        <v>2.3E-3</v>
      </c>
      <c r="G356" s="26">
        <v>344.12</v>
      </c>
      <c r="H356" s="60">
        <f>G356*F356</f>
        <v>0.79147599999999996</v>
      </c>
    </row>
    <row r="357" spans="1:8" ht="12.75" customHeight="1">
      <c r="A357" s="124"/>
      <c r="B357" s="624"/>
      <c r="C357" s="624"/>
      <c r="D357" s="127"/>
      <c r="E357" s="124"/>
      <c r="F357" s="714" t="s">
        <v>148</v>
      </c>
      <c r="G357" s="715"/>
      <c r="H357" s="36">
        <f>SUM(H354:H356)</f>
        <v>431.21247599999998</v>
      </c>
    </row>
    <row r="358" spans="1:8" ht="12.75" customHeight="1" thickBot="1">
      <c r="A358" s="49"/>
      <c r="B358" s="623"/>
      <c r="C358" s="445"/>
      <c r="D358" s="445"/>
      <c r="E358" s="537"/>
      <c r="F358" s="620"/>
      <c r="G358" s="620"/>
      <c r="H358" s="620"/>
    </row>
    <row r="359" spans="1:8" ht="13.5" thickBot="1">
      <c r="A359" s="721" t="s">
        <v>1210</v>
      </c>
      <c r="B359" s="722"/>
      <c r="C359" s="820" t="s">
        <v>195</v>
      </c>
      <c r="D359" s="821"/>
      <c r="E359" s="821"/>
      <c r="F359" s="821"/>
      <c r="G359" s="821"/>
      <c r="H359" s="822"/>
    </row>
    <row r="360" spans="1:8" ht="12.75" customHeight="1">
      <c r="A360" s="32" t="s">
        <v>116</v>
      </c>
      <c r="B360" s="436" t="s">
        <v>172</v>
      </c>
      <c r="C360" s="733" t="s">
        <v>120</v>
      </c>
      <c r="D360" s="734"/>
      <c r="E360" s="32" t="s">
        <v>121</v>
      </c>
      <c r="F360" s="32" t="s">
        <v>122</v>
      </c>
      <c r="G360" s="32" t="s">
        <v>123</v>
      </c>
      <c r="H360" s="555" t="s">
        <v>124</v>
      </c>
    </row>
    <row r="361" spans="1:8">
      <c r="A361" s="25">
        <v>4750</v>
      </c>
      <c r="B361" s="596" t="s">
        <v>156</v>
      </c>
      <c r="C361" s="712" t="s">
        <v>1124</v>
      </c>
      <c r="D361" s="713"/>
      <c r="E361" s="58" t="s">
        <v>130</v>
      </c>
      <c r="F361" s="457">
        <v>1</v>
      </c>
      <c r="G361" s="26">
        <v>14.11</v>
      </c>
      <c r="H361" s="60">
        <f>G361*F361</f>
        <v>14.11</v>
      </c>
    </row>
    <row r="362" spans="1:8" ht="12.75" customHeight="1">
      <c r="A362" s="27">
        <v>6111</v>
      </c>
      <c r="B362" s="599" t="s">
        <v>157</v>
      </c>
      <c r="C362" s="712" t="s">
        <v>1013</v>
      </c>
      <c r="D362" s="713"/>
      <c r="E362" s="58" t="s">
        <v>130</v>
      </c>
      <c r="F362" s="457">
        <v>1</v>
      </c>
      <c r="G362" s="28">
        <v>10.49</v>
      </c>
      <c r="H362" s="60">
        <f>G362*F362</f>
        <v>10.49</v>
      </c>
    </row>
    <row r="363" spans="1:8">
      <c r="A363" s="25">
        <v>7583</v>
      </c>
      <c r="B363" s="596" t="s">
        <v>196</v>
      </c>
      <c r="C363" s="743" t="s">
        <v>1208</v>
      </c>
      <c r="D363" s="744"/>
      <c r="E363" s="58" t="s">
        <v>121</v>
      </c>
      <c r="F363" s="574">
        <v>6</v>
      </c>
      <c r="G363" s="26">
        <v>0.41</v>
      </c>
      <c r="H363" s="60">
        <f>G363*F363</f>
        <v>2.46</v>
      </c>
    </row>
    <row r="364" spans="1:8" ht="12.75" customHeight="1">
      <c r="A364" s="25">
        <v>36081</v>
      </c>
      <c r="B364" s="598" t="s">
        <v>197</v>
      </c>
      <c r="C364" s="712" t="s">
        <v>1209</v>
      </c>
      <c r="D364" s="713"/>
      <c r="E364" s="58" t="s">
        <v>121</v>
      </c>
      <c r="F364" s="198">
        <v>1</v>
      </c>
      <c r="G364" s="26">
        <v>207.92</v>
      </c>
      <c r="H364" s="60">
        <f>G364*F364</f>
        <v>207.92</v>
      </c>
    </row>
    <row r="365" spans="1:8">
      <c r="A365" s="124"/>
      <c r="B365" s="125"/>
      <c r="C365" s="125"/>
      <c r="D365" s="127"/>
      <c r="E365" s="124"/>
      <c r="F365" s="714" t="s">
        <v>148</v>
      </c>
      <c r="G365" s="715"/>
      <c r="H365" s="36">
        <f>SUM(H361:H364)</f>
        <v>234.98</v>
      </c>
    </row>
    <row r="366" spans="1:8" ht="12.75" customHeight="1">
      <c r="A366" s="130"/>
      <c r="B366" s="130"/>
      <c r="C366" s="130"/>
      <c r="D366" s="80"/>
      <c r="E366" s="130"/>
      <c r="F366" s="131"/>
      <c r="G366" s="131"/>
      <c r="H366" s="132"/>
    </row>
    <row r="367" spans="1:8" ht="12.75" customHeight="1">
      <c r="A367" s="733" t="s">
        <v>1213</v>
      </c>
      <c r="B367" s="734"/>
      <c r="C367" s="773" t="s">
        <v>198</v>
      </c>
      <c r="D367" s="774"/>
      <c r="E367" s="774"/>
      <c r="F367" s="774"/>
      <c r="G367" s="774"/>
      <c r="H367" s="819"/>
    </row>
    <row r="368" spans="1:8" ht="12.75" customHeight="1">
      <c r="A368" s="34" t="s">
        <v>116</v>
      </c>
      <c r="B368" s="437" t="s">
        <v>172</v>
      </c>
      <c r="C368" s="738" t="s">
        <v>120</v>
      </c>
      <c r="D368" s="739"/>
      <c r="E368" s="34" t="s">
        <v>121</v>
      </c>
      <c r="F368" s="34" t="s">
        <v>122</v>
      </c>
      <c r="G368" s="34" t="s">
        <v>123</v>
      </c>
      <c r="H368" s="35" t="s">
        <v>124</v>
      </c>
    </row>
    <row r="369" spans="1:8">
      <c r="A369" s="25">
        <v>246</v>
      </c>
      <c r="B369" s="598" t="s">
        <v>190</v>
      </c>
      <c r="C369" s="749" t="s">
        <v>1211</v>
      </c>
      <c r="D369" s="750"/>
      <c r="E369" s="58" t="s">
        <v>130</v>
      </c>
      <c r="F369" s="68">
        <v>0.5</v>
      </c>
      <c r="G369" s="26">
        <v>10.95</v>
      </c>
      <c r="H369" s="60">
        <f>G369*F369</f>
        <v>5.4749999999999996</v>
      </c>
    </row>
    <row r="370" spans="1:8" ht="12.75" customHeight="1">
      <c r="A370" s="27">
        <v>2696</v>
      </c>
      <c r="B370" s="599" t="s">
        <v>199</v>
      </c>
      <c r="C370" s="712" t="s">
        <v>200</v>
      </c>
      <c r="D370" s="713"/>
      <c r="E370" s="58" t="s">
        <v>130</v>
      </c>
      <c r="F370" s="68">
        <v>0.5</v>
      </c>
      <c r="G370" s="28">
        <v>14.6</v>
      </c>
      <c r="H370" s="60">
        <f>G370*F370</f>
        <v>7.3</v>
      </c>
    </row>
    <row r="371" spans="1:8">
      <c r="A371" s="25">
        <v>11777</v>
      </c>
      <c r="B371" s="596" t="s">
        <v>201</v>
      </c>
      <c r="C371" s="743" t="s">
        <v>1212</v>
      </c>
      <c r="D371" s="744"/>
      <c r="E371" s="58" t="s">
        <v>126</v>
      </c>
      <c r="F371" s="68">
        <v>1</v>
      </c>
      <c r="G371" s="26">
        <v>115.14</v>
      </c>
      <c r="H371" s="60">
        <f>G371*F371</f>
        <v>115.14</v>
      </c>
    </row>
    <row r="372" spans="1:8" ht="12.75" customHeight="1">
      <c r="A372" s="124"/>
      <c r="B372" s="125"/>
      <c r="C372" s="125"/>
      <c r="D372" s="127"/>
      <c r="E372" s="124"/>
      <c r="F372" s="714" t="s">
        <v>148</v>
      </c>
      <c r="G372" s="715"/>
      <c r="H372" s="36">
        <f>SUM(H369:H371)</f>
        <v>127.91499999999999</v>
      </c>
    </row>
    <row r="373" spans="1:8" ht="12.75" customHeight="1">
      <c r="A373" s="815"/>
      <c r="B373" s="815"/>
      <c r="C373" s="818"/>
      <c r="D373" s="818"/>
      <c r="E373" s="49"/>
      <c r="F373" s="452"/>
      <c r="G373" s="452"/>
      <c r="H373" s="452"/>
    </row>
    <row r="374" spans="1:8" ht="12.75" customHeight="1">
      <c r="A374" s="738" t="s">
        <v>1221</v>
      </c>
      <c r="B374" s="739"/>
      <c r="C374" s="740" t="s">
        <v>209</v>
      </c>
      <c r="D374" s="741"/>
      <c r="E374" s="741"/>
      <c r="F374" s="741"/>
      <c r="G374" s="741"/>
      <c r="H374" s="742"/>
    </row>
    <row r="375" spans="1:8" ht="12.75" customHeight="1">
      <c r="A375" s="34" t="s">
        <v>116</v>
      </c>
      <c r="B375" s="437" t="s">
        <v>172</v>
      </c>
      <c r="C375" s="738" t="s">
        <v>120</v>
      </c>
      <c r="D375" s="739"/>
      <c r="E375" s="34" t="s">
        <v>121</v>
      </c>
      <c r="F375" s="34" t="s">
        <v>122</v>
      </c>
      <c r="G375" s="34" t="s">
        <v>123</v>
      </c>
      <c r="H375" s="35" t="s">
        <v>124</v>
      </c>
    </row>
    <row r="376" spans="1:8">
      <c r="A376" s="25">
        <v>246</v>
      </c>
      <c r="B376" s="598" t="s">
        <v>190</v>
      </c>
      <c r="C376" s="749" t="s">
        <v>1211</v>
      </c>
      <c r="D376" s="750"/>
      <c r="E376" s="58" t="s">
        <v>130</v>
      </c>
      <c r="F376" s="68">
        <v>7.7</v>
      </c>
      <c r="G376" s="26">
        <v>10.95</v>
      </c>
      <c r="H376" s="60">
        <f>G376*F376</f>
        <v>84.314999999999998</v>
      </c>
    </row>
    <row r="377" spans="1:8" ht="12.75" customHeight="1">
      <c r="A377" s="27">
        <v>2696</v>
      </c>
      <c r="B377" s="599" t="s">
        <v>199</v>
      </c>
      <c r="C377" s="712" t="s">
        <v>200</v>
      </c>
      <c r="D377" s="713"/>
      <c r="E377" s="58" t="s">
        <v>130</v>
      </c>
      <c r="F377" s="68">
        <v>7.7</v>
      </c>
      <c r="G377" s="28">
        <v>14.6</v>
      </c>
      <c r="H377" s="60">
        <f>G377*F377</f>
        <v>112.42</v>
      </c>
    </row>
    <row r="378" spans="1:8">
      <c r="A378" s="27">
        <v>20211</v>
      </c>
      <c r="B378" s="599" t="s">
        <v>202</v>
      </c>
      <c r="C378" s="712" t="s">
        <v>1214</v>
      </c>
      <c r="D378" s="713"/>
      <c r="E378" s="58" t="s">
        <v>128</v>
      </c>
      <c r="F378" s="68">
        <v>5</v>
      </c>
      <c r="G378" s="28">
        <v>10.119999999999999</v>
      </c>
      <c r="H378" s="60">
        <f t="shared" ref="H378:H384" si="19">G378*F378</f>
        <v>50.599999999999994</v>
      </c>
    </row>
    <row r="379" spans="1:8">
      <c r="A379" s="27">
        <v>10498</v>
      </c>
      <c r="B379" s="599" t="s">
        <v>203</v>
      </c>
      <c r="C379" s="712" t="s">
        <v>1215</v>
      </c>
      <c r="D379" s="713"/>
      <c r="E379" s="58" t="s">
        <v>129</v>
      </c>
      <c r="F379" s="68">
        <v>0.1</v>
      </c>
      <c r="G379" s="28">
        <v>6.57</v>
      </c>
      <c r="H379" s="60">
        <f t="shared" si="19"/>
        <v>0.65700000000000003</v>
      </c>
    </row>
    <row r="380" spans="1:8" ht="12.75" customHeight="1">
      <c r="A380" s="27">
        <v>3263</v>
      </c>
      <c r="B380" s="599" t="s">
        <v>204</v>
      </c>
      <c r="C380" s="712" t="s">
        <v>1216</v>
      </c>
      <c r="D380" s="713"/>
      <c r="E380" s="58" t="s">
        <v>126</v>
      </c>
      <c r="F380" s="68">
        <v>2</v>
      </c>
      <c r="G380" s="28">
        <v>15.49</v>
      </c>
      <c r="H380" s="60">
        <f t="shared" si="19"/>
        <v>30.98</v>
      </c>
    </row>
    <row r="381" spans="1:8" ht="12.75" customHeight="1">
      <c r="A381" s="27">
        <v>3264</v>
      </c>
      <c r="B381" s="599" t="s">
        <v>205</v>
      </c>
      <c r="C381" s="712" t="s">
        <v>1217</v>
      </c>
      <c r="D381" s="713"/>
      <c r="E381" s="58" t="s">
        <v>126</v>
      </c>
      <c r="F381" s="68">
        <v>2</v>
      </c>
      <c r="G381" s="28">
        <v>18.62</v>
      </c>
      <c r="H381" s="60">
        <f t="shared" si="19"/>
        <v>37.24</v>
      </c>
    </row>
    <row r="382" spans="1:8">
      <c r="A382" s="27">
        <v>3266</v>
      </c>
      <c r="B382" s="599" t="s">
        <v>206</v>
      </c>
      <c r="C382" s="712" t="s">
        <v>1218</v>
      </c>
      <c r="D382" s="713"/>
      <c r="E382" s="58" t="s">
        <v>126</v>
      </c>
      <c r="F382" s="68">
        <v>4</v>
      </c>
      <c r="G382" s="28">
        <v>38.700000000000003</v>
      </c>
      <c r="H382" s="60">
        <f t="shared" si="19"/>
        <v>154.80000000000001</v>
      </c>
    </row>
    <row r="383" spans="1:8" ht="12.75" customHeight="1">
      <c r="A383" s="27">
        <v>3148</v>
      </c>
      <c r="B383" s="599" t="s">
        <v>207</v>
      </c>
      <c r="C383" s="712" t="s">
        <v>1219</v>
      </c>
      <c r="D383" s="713"/>
      <c r="E383" s="58" t="s">
        <v>128</v>
      </c>
      <c r="F383" s="68">
        <v>3.03</v>
      </c>
      <c r="G383" s="28">
        <v>10.29</v>
      </c>
      <c r="H383" s="60">
        <f t="shared" si="19"/>
        <v>31.178699999999996</v>
      </c>
    </row>
    <row r="384" spans="1:8">
      <c r="A384" s="27">
        <v>37105</v>
      </c>
      <c r="B384" s="599" t="s">
        <v>208</v>
      </c>
      <c r="C384" s="712" t="s">
        <v>1220</v>
      </c>
      <c r="D384" s="713"/>
      <c r="E384" s="58" t="s">
        <v>126</v>
      </c>
      <c r="F384" s="68">
        <v>1</v>
      </c>
      <c r="G384" s="28">
        <v>1351.75</v>
      </c>
      <c r="H384" s="60">
        <f t="shared" si="19"/>
        <v>1351.75</v>
      </c>
    </row>
    <row r="385" spans="1:8">
      <c r="A385" s="124"/>
      <c r="B385" s="125"/>
      <c r="C385" s="125"/>
      <c r="D385" s="127"/>
      <c r="E385" s="124"/>
      <c r="F385" s="714" t="s">
        <v>148</v>
      </c>
      <c r="G385" s="715"/>
      <c r="H385" s="36">
        <f>SUM(H376:H384)</f>
        <v>1853.9407000000001</v>
      </c>
    </row>
    <row r="386" spans="1:8" ht="12.75" customHeight="1">
      <c r="A386" s="452"/>
      <c r="B386" s="452"/>
      <c r="C386" s="452"/>
      <c r="D386" s="452"/>
      <c r="E386" s="452"/>
      <c r="F386" s="452"/>
      <c r="G386" s="452"/>
      <c r="H386" s="85"/>
    </row>
    <row r="387" spans="1:8" ht="12.75" customHeight="1">
      <c r="A387" s="738" t="s">
        <v>1226</v>
      </c>
      <c r="B387" s="739"/>
      <c r="C387" s="740" t="s">
        <v>215</v>
      </c>
      <c r="D387" s="742"/>
      <c r="E387" s="29"/>
      <c r="F387" s="34"/>
      <c r="G387" s="34"/>
      <c r="H387" s="34"/>
    </row>
    <row r="388" spans="1:8" ht="25.5">
      <c r="A388" s="34" t="s">
        <v>116</v>
      </c>
      <c r="B388" s="437" t="s">
        <v>172</v>
      </c>
      <c r="C388" s="738" t="s">
        <v>120</v>
      </c>
      <c r="D388" s="739"/>
      <c r="E388" s="34" t="s">
        <v>121</v>
      </c>
      <c r="F388" s="34" t="s">
        <v>122</v>
      </c>
      <c r="G388" s="34" t="s">
        <v>123</v>
      </c>
      <c r="H388" s="35" t="s">
        <v>124</v>
      </c>
    </row>
    <row r="389" spans="1:8">
      <c r="A389" s="25">
        <v>246</v>
      </c>
      <c r="B389" s="122" t="s">
        <v>190</v>
      </c>
      <c r="C389" s="749" t="s">
        <v>1211</v>
      </c>
      <c r="D389" s="750"/>
      <c r="E389" s="58" t="s">
        <v>130</v>
      </c>
      <c r="F389" s="68">
        <v>3</v>
      </c>
      <c r="G389" s="26">
        <v>10.95</v>
      </c>
      <c r="H389" s="60">
        <f t="shared" ref="H389:H394" si="20">G389*F389</f>
        <v>32.849999999999994</v>
      </c>
    </row>
    <row r="390" spans="1:8" ht="15" customHeight="1">
      <c r="A390" s="27">
        <v>2696</v>
      </c>
      <c r="B390" s="77" t="s">
        <v>199</v>
      </c>
      <c r="C390" s="712" t="s">
        <v>200</v>
      </c>
      <c r="D390" s="713"/>
      <c r="E390" s="58" t="s">
        <v>130</v>
      </c>
      <c r="F390" s="68">
        <v>3</v>
      </c>
      <c r="G390" s="28">
        <v>14.6</v>
      </c>
      <c r="H390" s="60">
        <f t="shared" si="20"/>
        <v>43.8</v>
      </c>
    </row>
    <row r="391" spans="1:8">
      <c r="A391" s="27">
        <v>350</v>
      </c>
      <c r="B391" s="77" t="s">
        <v>216</v>
      </c>
      <c r="C391" s="712" t="s">
        <v>1222</v>
      </c>
      <c r="D391" s="713"/>
      <c r="E391" s="58" t="s">
        <v>126</v>
      </c>
      <c r="F391" s="68">
        <v>1</v>
      </c>
      <c r="G391" s="28">
        <v>1.96</v>
      </c>
      <c r="H391" s="60">
        <f t="shared" si="20"/>
        <v>1.96</v>
      </c>
    </row>
    <row r="392" spans="1:8" ht="12.75" customHeight="1">
      <c r="A392" s="27">
        <v>3522</v>
      </c>
      <c r="B392" s="135" t="s">
        <v>217</v>
      </c>
      <c r="C392" s="712" t="s">
        <v>1223</v>
      </c>
      <c r="D392" s="713"/>
      <c r="E392" s="58" t="s">
        <v>126</v>
      </c>
      <c r="F392" s="68">
        <v>3</v>
      </c>
      <c r="G392" s="28">
        <v>2.12</v>
      </c>
      <c r="H392" s="60">
        <f t="shared" si="20"/>
        <v>6.36</v>
      </c>
    </row>
    <row r="393" spans="1:8" ht="12.75" customHeight="1">
      <c r="A393" s="27">
        <v>7139</v>
      </c>
      <c r="B393" s="77" t="s">
        <v>218</v>
      </c>
      <c r="C393" s="712" t="s">
        <v>1224</v>
      </c>
      <c r="D393" s="713"/>
      <c r="E393" s="58" t="s">
        <v>126</v>
      </c>
      <c r="F393" s="68">
        <v>1</v>
      </c>
      <c r="G393" s="28">
        <v>0.92</v>
      </c>
      <c r="H393" s="60">
        <f>G393*F393</f>
        <v>0.92</v>
      </c>
    </row>
    <row r="394" spans="1:8" ht="12.75" customHeight="1">
      <c r="A394" s="27">
        <v>9868</v>
      </c>
      <c r="B394" s="77" t="s">
        <v>219</v>
      </c>
      <c r="C394" s="712" t="s">
        <v>1225</v>
      </c>
      <c r="D394" s="713"/>
      <c r="E394" s="58" t="s">
        <v>128</v>
      </c>
      <c r="F394" s="68">
        <v>8</v>
      </c>
      <c r="G394" s="28">
        <v>3.04</v>
      </c>
      <c r="H394" s="60">
        <f t="shared" si="20"/>
        <v>24.32</v>
      </c>
    </row>
    <row r="395" spans="1:8">
      <c r="A395" s="575"/>
      <c r="B395" s="133"/>
      <c r="C395" s="133"/>
      <c r="D395" s="134"/>
      <c r="E395" s="575"/>
      <c r="F395" s="816" t="s">
        <v>148</v>
      </c>
      <c r="G395" s="817"/>
      <c r="H395" s="576">
        <f>SUM(H389:H394)</f>
        <v>110.20999999999998</v>
      </c>
    </row>
    <row r="396" spans="1:8" ht="15" customHeight="1">
      <c r="A396" s="73"/>
      <c r="B396" s="73"/>
      <c r="C396" s="73"/>
      <c r="D396" s="56"/>
      <c r="E396" s="73"/>
      <c r="F396" s="577"/>
      <c r="G396" s="577"/>
      <c r="H396" s="578"/>
    </row>
    <row r="397" spans="1:8" ht="12.75" customHeight="1">
      <c r="A397" s="738" t="s">
        <v>1231</v>
      </c>
      <c r="B397" s="739"/>
      <c r="C397" s="740" t="s">
        <v>1227</v>
      </c>
      <c r="D397" s="742"/>
      <c r="E397" s="29"/>
      <c r="F397" s="34"/>
      <c r="G397" s="34"/>
      <c r="H397" s="34"/>
    </row>
    <row r="398" spans="1:8" ht="12.75" customHeight="1">
      <c r="A398" s="34" t="s">
        <v>116</v>
      </c>
      <c r="B398" s="437" t="s">
        <v>172</v>
      </c>
      <c r="C398" s="738" t="s">
        <v>120</v>
      </c>
      <c r="D398" s="739"/>
      <c r="E398" s="34" t="s">
        <v>121</v>
      </c>
      <c r="F398" s="34" t="s">
        <v>122</v>
      </c>
      <c r="G398" s="34" t="s">
        <v>123</v>
      </c>
      <c r="H398" s="35" t="s">
        <v>124</v>
      </c>
    </row>
    <row r="399" spans="1:8" ht="12.75" customHeight="1">
      <c r="A399" s="25">
        <v>246</v>
      </c>
      <c r="B399" s="122" t="s">
        <v>190</v>
      </c>
      <c r="C399" s="749" t="s">
        <v>1211</v>
      </c>
      <c r="D399" s="750"/>
      <c r="E399" s="58" t="s">
        <v>130</v>
      </c>
      <c r="F399" s="68">
        <v>3</v>
      </c>
      <c r="G399" s="26">
        <v>10.95</v>
      </c>
      <c r="H399" s="60">
        <f t="shared" ref="H399:H404" si="21">G399*F399</f>
        <v>32.849999999999994</v>
      </c>
    </row>
    <row r="400" spans="1:8" ht="12.75" customHeight="1">
      <c r="A400" s="27">
        <v>2696</v>
      </c>
      <c r="B400" s="77" t="s">
        <v>199</v>
      </c>
      <c r="C400" s="712" t="s">
        <v>200</v>
      </c>
      <c r="D400" s="713"/>
      <c r="E400" s="58" t="s">
        <v>130</v>
      </c>
      <c r="F400" s="68">
        <v>3</v>
      </c>
      <c r="G400" s="28">
        <v>14.6</v>
      </c>
      <c r="H400" s="60">
        <f t="shared" si="21"/>
        <v>43.8</v>
      </c>
    </row>
    <row r="401" spans="1:8" ht="12.75" customHeight="1">
      <c r="A401" s="27">
        <v>20147</v>
      </c>
      <c r="B401" s="77" t="s">
        <v>216</v>
      </c>
      <c r="C401" s="712" t="s">
        <v>1228</v>
      </c>
      <c r="D401" s="713"/>
      <c r="E401" s="58" t="s">
        <v>126</v>
      </c>
      <c r="F401" s="68">
        <v>1</v>
      </c>
      <c r="G401" s="28">
        <v>4.2</v>
      </c>
      <c r="H401" s="60">
        <f t="shared" si="21"/>
        <v>4.2</v>
      </c>
    </row>
    <row r="402" spans="1:8" ht="12.75" customHeight="1">
      <c r="A402" s="27">
        <v>3481</v>
      </c>
      <c r="B402" s="135" t="s">
        <v>217</v>
      </c>
      <c r="C402" s="712" t="s">
        <v>1229</v>
      </c>
      <c r="D402" s="713"/>
      <c r="E402" s="58" t="s">
        <v>126</v>
      </c>
      <c r="F402" s="68">
        <v>3</v>
      </c>
      <c r="G402" s="28">
        <v>9.2100000000000009</v>
      </c>
      <c r="H402" s="60">
        <f t="shared" si="21"/>
        <v>27.630000000000003</v>
      </c>
    </row>
    <row r="403" spans="1:8" ht="12.75" customHeight="1">
      <c r="A403" s="27">
        <v>7135</v>
      </c>
      <c r="B403" s="77" t="s">
        <v>218</v>
      </c>
      <c r="C403" s="712" t="s">
        <v>1230</v>
      </c>
      <c r="D403" s="713"/>
      <c r="E403" s="58" t="s">
        <v>126</v>
      </c>
      <c r="F403" s="68">
        <v>1</v>
      </c>
      <c r="G403" s="28">
        <v>2.69</v>
      </c>
      <c r="H403" s="60">
        <f>G403*F403</f>
        <v>2.69</v>
      </c>
    </row>
    <row r="404" spans="1:8" ht="12.75" customHeight="1" thickBot="1">
      <c r="A404" s="579">
        <v>9868</v>
      </c>
      <c r="B404" s="580" t="s">
        <v>219</v>
      </c>
      <c r="C404" s="753" t="s">
        <v>1225</v>
      </c>
      <c r="D404" s="754"/>
      <c r="E404" s="562" t="s">
        <v>128</v>
      </c>
      <c r="F404" s="581">
        <v>8</v>
      </c>
      <c r="G404" s="582">
        <v>3.04</v>
      </c>
      <c r="H404" s="565">
        <f t="shared" si="21"/>
        <v>24.32</v>
      </c>
    </row>
    <row r="405" spans="1:8" ht="12.75" customHeight="1" thickBot="1">
      <c r="A405" s="566"/>
      <c r="B405" s="567"/>
      <c r="C405" s="567"/>
      <c r="D405" s="568"/>
      <c r="E405" s="569"/>
      <c r="F405" s="755" t="s">
        <v>148</v>
      </c>
      <c r="G405" s="756"/>
      <c r="H405" s="570">
        <f>SUM(H399:H404)</f>
        <v>135.48999999999998</v>
      </c>
    </row>
    <row r="406" spans="1:8">
      <c r="A406" s="130"/>
      <c r="B406" s="130"/>
      <c r="C406" s="130"/>
      <c r="D406" s="80"/>
      <c r="E406" s="130"/>
      <c r="F406" s="131"/>
      <c r="G406" s="131"/>
      <c r="H406" s="132"/>
    </row>
    <row r="407" spans="1:8" ht="12.75" customHeight="1">
      <c r="A407" s="733" t="s">
        <v>1234</v>
      </c>
      <c r="B407" s="734"/>
      <c r="C407" s="735" t="s">
        <v>220</v>
      </c>
      <c r="D407" s="736"/>
      <c r="E407" s="736"/>
      <c r="F407" s="737"/>
      <c r="G407" s="32"/>
      <c r="H407" s="33"/>
    </row>
    <row r="408" spans="1:8" ht="25.5">
      <c r="A408" s="34" t="s">
        <v>116</v>
      </c>
      <c r="B408" s="437" t="s">
        <v>172</v>
      </c>
      <c r="C408" s="738" t="s">
        <v>120</v>
      </c>
      <c r="D408" s="739"/>
      <c r="E408" s="34" t="s">
        <v>121</v>
      </c>
      <c r="F408" s="34" t="s">
        <v>122</v>
      </c>
      <c r="G408" s="34" t="s">
        <v>123</v>
      </c>
      <c r="H408" s="35" t="s">
        <v>124</v>
      </c>
    </row>
    <row r="409" spans="1:8" ht="12.75" customHeight="1">
      <c r="A409" s="25">
        <v>246</v>
      </c>
      <c r="B409" s="122" t="s">
        <v>190</v>
      </c>
      <c r="C409" s="749" t="s">
        <v>1211</v>
      </c>
      <c r="D409" s="750"/>
      <c r="E409" s="58" t="s">
        <v>130</v>
      </c>
      <c r="F409" s="68">
        <v>3.5</v>
      </c>
      <c r="G409" s="26">
        <v>10.95</v>
      </c>
      <c r="H409" s="60">
        <f t="shared" ref="H409:H414" si="22">G409*F409</f>
        <v>38.324999999999996</v>
      </c>
    </row>
    <row r="410" spans="1:8" ht="12.75" customHeight="1">
      <c r="A410" s="27">
        <v>2696</v>
      </c>
      <c r="B410" s="77" t="s">
        <v>199</v>
      </c>
      <c r="C410" s="712" t="s">
        <v>200</v>
      </c>
      <c r="D410" s="713"/>
      <c r="E410" s="58" t="s">
        <v>130</v>
      </c>
      <c r="F410" s="68">
        <v>3.5</v>
      </c>
      <c r="G410" s="28">
        <v>14.6</v>
      </c>
      <c r="H410" s="60">
        <f t="shared" si="22"/>
        <v>51.1</v>
      </c>
    </row>
    <row r="411" spans="1:8" ht="12.75" customHeight="1">
      <c r="A411" s="27">
        <v>3526</v>
      </c>
      <c r="B411" s="135">
        <v>151523133</v>
      </c>
      <c r="C411" s="712" t="s">
        <v>1232</v>
      </c>
      <c r="D411" s="713"/>
      <c r="E411" s="58" t="s">
        <v>126</v>
      </c>
      <c r="F411" s="68">
        <v>1</v>
      </c>
      <c r="G411" s="28">
        <v>1.69</v>
      </c>
      <c r="H411" s="60">
        <f t="shared" si="22"/>
        <v>1.69</v>
      </c>
    </row>
    <row r="412" spans="1:8" ht="12.75" customHeight="1">
      <c r="A412" s="27">
        <v>3661</v>
      </c>
      <c r="B412" s="135" t="s">
        <v>221</v>
      </c>
      <c r="C412" s="712" t="s">
        <v>402</v>
      </c>
      <c r="D412" s="713"/>
      <c r="E412" s="58" t="s">
        <v>126</v>
      </c>
      <c r="F412" s="68">
        <v>2</v>
      </c>
      <c r="G412" s="28">
        <v>8.25</v>
      </c>
      <c r="H412" s="60">
        <f t="shared" si="22"/>
        <v>16.5</v>
      </c>
    </row>
    <row r="413" spans="1:8" ht="12.75" customHeight="1">
      <c r="A413" s="27">
        <v>7097</v>
      </c>
      <c r="B413" s="135">
        <v>151573773</v>
      </c>
      <c r="C413" s="712" t="s">
        <v>403</v>
      </c>
      <c r="D413" s="713"/>
      <c r="E413" s="58" t="s">
        <v>126</v>
      </c>
      <c r="F413" s="68">
        <v>1</v>
      </c>
      <c r="G413" s="28">
        <v>4.7699999999999996</v>
      </c>
      <c r="H413" s="60">
        <f t="shared" si="22"/>
        <v>4.7699999999999996</v>
      </c>
    </row>
    <row r="414" spans="1:8" ht="12.75" customHeight="1">
      <c r="A414" s="27">
        <v>20070</v>
      </c>
      <c r="B414" s="77" t="s">
        <v>222</v>
      </c>
      <c r="C414" s="712" t="s">
        <v>1233</v>
      </c>
      <c r="D414" s="713"/>
      <c r="E414" s="58" t="s">
        <v>128</v>
      </c>
      <c r="F414" s="68">
        <v>6</v>
      </c>
      <c r="G414" s="28">
        <v>6.68</v>
      </c>
      <c r="H414" s="60">
        <f t="shared" si="22"/>
        <v>40.08</v>
      </c>
    </row>
    <row r="415" spans="1:8" ht="12.75" customHeight="1">
      <c r="A415" s="124"/>
      <c r="B415" s="125"/>
      <c r="C415" s="125"/>
      <c r="D415" s="127"/>
      <c r="E415" s="124"/>
      <c r="F415" s="714" t="s">
        <v>148</v>
      </c>
      <c r="G415" s="715"/>
      <c r="H415" s="36">
        <f>SUM(H409:H414)</f>
        <v>152.46499999999997</v>
      </c>
    </row>
    <row r="416" spans="1:8">
      <c r="A416" s="81"/>
      <c r="B416" s="81"/>
      <c r="C416" s="136"/>
      <c r="D416" s="136"/>
      <c r="E416" s="130"/>
      <c r="F416" s="130"/>
      <c r="G416" s="137"/>
      <c r="H416" s="138"/>
    </row>
    <row r="417" spans="1:8" ht="12.75" customHeight="1">
      <c r="A417" s="733" t="s">
        <v>1240</v>
      </c>
      <c r="B417" s="734"/>
      <c r="C417" s="740" t="s">
        <v>223</v>
      </c>
      <c r="D417" s="741"/>
      <c r="E417" s="741"/>
      <c r="F417" s="742"/>
      <c r="G417" s="32"/>
      <c r="H417" s="33"/>
    </row>
    <row r="418" spans="1:8" ht="25.5">
      <c r="A418" s="34" t="s">
        <v>116</v>
      </c>
      <c r="B418" s="437" t="s">
        <v>172</v>
      </c>
      <c r="C418" s="738" t="s">
        <v>120</v>
      </c>
      <c r="D418" s="739"/>
      <c r="E418" s="34" t="s">
        <v>121</v>
      </c>
      <c r="F418" s="34" t="s">
        <v>122</v>
      </c>
      <c r="G418" s="34" t="s">
        <v>123</v>
      </c>
      <c r="H418" s="35" t="s">
        <v>124</v>
      </c>
    </row>
    <row r="419" spans="1:8">
      <c r="A419" s="25">
        <v>246</v>
      </c>
      <c r="B419" s="122" t="s">
        <v>190</v>
      </c>
      <c r="C419" s="749" t="s">
        <v>1211</v>
      </c>
      <c r="D419" s="750"/>
      <c r="E419" s="58" t="s">
        <v>130</v>
      </c>
      <c r="F419" s="68">
        <v>3.5</v>
      </c>
      <c r="G419" s="26">
        <v>10.95</v>
      </c>
      <c r="H419" s="60">
        <f t="shared" ref="H419:H424" si="23">G419*F419</f>
        <v>38.324999999999996</v>
      </c>
    </row>
    <row r="420" spans="1:8" ht="12.75" customHeight="1">
      <c r="A420" s="27">
        <v>2696</v>
      </c>
      <c r="B420" s="77" t="s">
        <v>199</v>
      </c>
      <c r="C420" s="712" t="s">
        <v>1235</v>
      </c>
      <c r="D420" s="713"/>
      <c r="E420" s="58" t="s">
        <v>130</v>
      </c>
      <c r="F420" s="68">
        <v>3.5</v>
      </c>
      <c r="G420" s="28">
        <v>14.6</v>
      </c>
      <c r="H420" s="60">
        <f t="shared" si="23"/>
        <v>51.1</v>
      </c>
    </row>
    <row r="421" spans="1:8" ht="12.75" customHeight="1">
      <c r="A421" s="27">
        <v>37415</v>
      </c>
      <c r="B421" s="135">
        <v>151523133</v>
      </c>
      <c r="C421" s="712" t="s">
        <v>1236</v>
      </c>
      <c r="D421" s="713"/>
      <c r="E421" s="58" t="s">
        <v>126</v>
      </c>
      <c r="F421" s="68">
        <v>1</v>
      </c>
      <c r="G421" s="28">
        <v>5.53</v>
      </c>
      <c r="H421" s="60">
        <f t="shared" si="23"/>
        <v>5.53</v>
      </c>
    </row>
    <row r="422" spans="1:8" ht="12.75" customHeight="1">
      <c r="A422" s="27">
        <v>10909</v>
      </c>
      <c r="B422" s="135" t="s">
        <v>221</v>
      </c>
      <c r="C422" s="712" t="s">
        <v>1237</v>
      </c>
      <c r="D422" s="713"/>
      <c r="E422" s="58" t="s">
        <v>126</v>
      </c>
      <c r="F422" s="68">
        <v>2</v>
      </c>
      <c r="G422" s="28">
        <v>12.78</v>
      </c>
      <c r="H422" s="60">
        <f t="shared" si="23"/>
        <v>25.56</v>
      </c>
    </row>
    <row r="423" spans="1:8" ht="12.75" customHeight="1">
      <c r="A423" s="27">
        <v>20172</v>
      </c>
      <c r="B423" s="135">
        <v>151573773</v>
      </c>
      <c r="C423" s="712" t="s">
        <v>1238</v>
      </c>
      <c r="D423" s="713"/>
      <c r="E423" s="58" t="s">
        <v>126</v>
      </c>
      <c r="F423" s="68">
        <v>1</v>
      </c>
      <c r="G423" s="28">
        <v>25.79</v>
      </c>
      <c r="H423" s="60">
        <f t="shared" si="23"/>
        <v>25.79</v>
      </c>
    </row>
    <row r="424" spans="1:8" ht="12.75" customHeight="1">
      <c r="A424" s="27">
        <v>9836</v>
      </c>
      <c r="B424" s="77" t="s">
        <v>222</v>
      </c>
      <c r="C424" s="712" t="s">
        <v>1239</v>
      </c>
      <c r="D424" s="713"/>
      <c r="E424" s="58" t="s">
        <v>128</v>
      </c>
      <c r="F424" s="68">
        <v>6</v>
      </c>
      <c r="G424" s="28">
        <v>7.16</v>
      </c>
      <c r="H424" s="60">
        <f t="shared" si="23"/>
        <v>42.96</v>
      </c>
    </row>
    <row r="425" spans="1:8" ht="12.75" customHeight="1">
      <c r="A425" s="124"/>
      <c r="B425" s="125"/>
      <c r="C425" s="125"/>
      <c r="D425" s="127"/>
      <c r="E425" s="124"/>
      <c r="F425" s="714" t="s">
        <v>148</v>
      </c>
      <c r="G425" s="715"/>
      <c r="H425" s="36">
        <f>SUM(H419:H424)</f>
        <v>189.26500000000001</v>
      </c>
    </row>
    <row r="426" spans="1:8" ht="13.5" thickBot="1">
      <c r="A426" s="49"/>
      <c r="B426" s="445"/>
      <c r="C426" s="814"/>
      <c r="D426" s="814"/>
      <c r="E426" s="537"/>
      <c r="F426" s="583"/>
      <c r="G426" s="91"/>
      <c r="H426" s="584"/>
    </row>
    <row r="427" spans="1:8" ht="12.75" customHeight="1" thickBot="1">
      <c r="A427" s="721" t="s">
        <v>1275</v>
      </c>
      <c r="B427" s="722"/>
      <c r="C427" s="723" t="s">
        <v>1241</v>
      </c>
      <c r="D427" s="724"/>
      <c r="E427" s="724"/>
      <c r="F427" s="724"/>
      <c r="G427" s="724"/>
      <c r="H427" s="725"/>
    </row>
    <row r="428" spans="1:8" ht="25.5">
      <c r="A428" s="32" t="s">
        <v>116</v>
      </c>
      <c r="B428" s="436" t="s">
        <v>172</v>
      </c>
      <c r="C428" s="733" t="s">
        <v>120</v>
      </c>
      <c r="D428" s="734"/>
      <c r="E428" s="32" t="s">
        <v>121</v>
      </c>
      <c r="F428" s="32" t="s">
        <v>122</v>
      </c>
      <c r="G428" s="32" t="s">
        <v>123</v>
      </c>
      <c r="H428" s="555" t="s">
        <v>124</v>
      </c>
    </row>
    <row r="429" spans="1:8" ht="12.75" customHeight="1">
      <c r="A429" s="25">
        <v>246</v>
      </c>
      <c r="B429" s="585" t="s">
        <v>1242</v>
      </c>
      <c r="C429" s="749" t="s">
        <v>1243</v>
      </c>
      <c r="D429" s="750"/>
      <c r="E429" s="58" t="s">
        <v>439</v>
      </c>
      <c r="F429" s="68">
        <v>0.33</v>
      </c>
      <c r="G429" s="26">
        <v>10.95</v>
      </c>
      <c r="H429" s="60">
        <f>G429*F429</f>
        <v>3.6135000000000002</v>
      </c>
    </row>
    <row r="430" spans="1:8" ht="12.75" customHeight="1">
      <c r="A430" s="27">
        <v>2696</v>
      </c>
      <c r="B430" s="77" t="s">
        <v>1244</v>
      </c>
      <c r="C430" s="712" t="s">
        <v>1235</v>
      </c>
      <c r="D430" s="713"/>
      <c r="E430" s="58" t="s">
        <v>439</v>
      </c>
      <c r="F430" s="68">
        <v>0.33</v>
      </c>
      <c r="G430" s="28">
        <v>14.6</v>
      </c>
      <c r="H430" s="60">
        <f>G430*F430</f>
        <v>4.8180000000000005</v>
      </c>
    </row>
    <row r="431" spans="1:8" ht="12.75" customHeight="1">
      <c r="A431" s="27">
        <v>12732</v>
      </c>
      <c r="B431" s="135" t="s">
        <v>1245</v>
      </c>
      <c r="C431" s="712" t="s">
        <v>1246</v>
      </c>
      <c r="D431" s="713"/>
      <c r="E431" s="58" t="s">
        <v>32</v>
      </c>
      <c r="F431" s="475">
        <v>2.0999999999999999E-3</v>
      </c>
      <c r="G431" s="28">
        <v>248.28</v>
      </c>
      <c r="H431" s="60">
        <f>G431*F431</f>
        <v>0.52138799999999996</v>
      </c>
    </row>
    <row r="432" spans="1:8" ht="12.75" customHeight="1">
      <c r="A432" s="27">
        <v>39897</v>
      </c>
      <c r="B432" s="135" t="s">
        <v>1247</v>
      </c>
      <c r="C432" s="712" t="s">
        <v>1248</v>
      </c>
      <c r="D432" s="713"/>
      <c r="E432" s="58" t="s">
        <v>32</v>
      </c>
      <c r="F432" s="476">
        <v>2.9999999999999997E-4</v>
      </c>
      <c r="G432" s="28">
        <v>91</v>
      </c>
      <c r="H432" s="60">
        <f>G432*F432</f>
        <v>2.7299999999999998E-2</v>
      </c>
    </row>
    <row r="433" spans="1:8" ht="12.75" customHeight="1">
      <c r="A433" s="27">
        <v>39747</v>
      </c>
      <c r="B433" s="586">
        <v>15144124</v>
      </c>
      <c r="C433" s="712" t="s">
        <v>1249</v>
      </c>
      <c r="D433" s="713"/>
      <c r="E433" s="58" t="s">
        <v>31</v>
      </c>
      <c r="F433" s="68">
        <v>1.8</v>
      </c>
      <c r="G433" s="587">
        <v>20.329999999999998</v>
      </c>
      <c r="H433" s="588">
        <f>G433*F433</f>
        <v>36.594000000000001</v>
      </c>
    </row>
    <row r="434" spans="1:8" ht="12.75" customHeight="1">
      <c r="A434" s="124"/>
      <c r="B434" s="125"/>
      <c r="C434" s="125"/>
      <c r="D434" s="127"/>
      <c r="E434" s="124"/>
      <c r="F434" s="714" t="s">
        <v>148</v>
      </c>
      <c r="G434" s="715"/>
      <c r="H434" s="36">
        <f>SUM(H429:H433)</f>
        <v>45.574187999999999</v>
      </c>
    </row>
    <row r="435" spans="1:8" ht="12.75" customHeight="1">
      <c r="A435" s="128"/>
      <c r="B435" s="128"/>
      <c r="C435" s="128"/>
      <c r="D435" s="472"/>
      <c r="E435" s="128"/>
      <c r="F435" s="474"/>
      <c r="G435" s="474"/>
      <c r="H435" s="571"/>
    </row>
    <row r="436" spans="1:8" ht="15">
      <c r="A436" s="40" t="s">
        <v>502</v>
      </c>
      <c r="B436" s="726" t="s">
        <v>1250</v>
      </c>
      <c r="C436" s="727"/>
      <c r="D436" s="727"/>
      <c r="E436" s="727"/>
      <c r="F436" s="727"/>
      <c r="G436" s="727"/>
      <c r="H436" s="728"/>
    </row>
    <row r="437" spans="1:8" ht="12.75" customHeight="1">
      <c r="A437" s="729" t="s">
        <v>457</v>
      </c>
      <c r="B437" s="730"/>
      <c r="C437" s="876" t="s">
        <v>461</v>
      </c>
      <c r="D437" s="877"/>
      <c r="E437" s="120" t="s">
        <v>460</v>
      </c>
      <c r="F437" s="119" t="s">
        <v>462</v>
      </c>
      <c r="G437" s="120" t="s">
        <v>463</v>
      </c>
      <c r="H437" s="41" t="s">
        <v>464</v>
      </c>
    </row>
    <row r="438" spans="1:8">
      <c r="A438" s="731">
        <v>43063</v>
      </c>
      <c r="B438" s="732"/>
      <c r="C438" s="809" t="s">
        <v>458</v>
      </c>
      <c r="D438" s="810"/>
      <c r="E438" s="121">
        <v>427.21</v>
      </c>
      <c r="F438" s="121" t="s">
        <v>470</v>
      </c>
      <c r="G438" s="121" t="s">
        <v>467</v>
      </c>
      <c r="H438" s="42" t="s">
        <v>1251</v>
      </c>
    </row>
    <row r="439" spans="1:8" ht="12.75" customHeight="1">
      <c r="A439" s="731">
        <v>43064</v>
      </c>
      <c r="B439" s="732"/>
      <c r="C439" s="712" t="s">
        <v>1252</v>
      </c>
      <c r="D439" s="713"/>
      <c r="E439" s="589">
        <v>477</v>
      </c>
      <c r="F439" s="589" t="s">
        <v>471</v>
      </c>
      <c r="G439" s="590" t="s">
        <v>468</v>
      </c>
      <c r="H439" s="591" t="s">
        <v>465</v>
      </c>
    </row>
    <row r="440" spans="1:8" ht="12.75" customHeight="1">
      <c r="A440" s="731">
        <v>43065</v>
      </c>
      <c r="B440" s="732"/>
      <c r="C440" s="712" t="s">
        <v>459</v>
      </c>
      <c r="D440" s="713"/>
      <c r="E440" s="589">
        <v>599</v>
      </c>
      <c r="F440" s="589" t="s">
        <v>472</v>
      </c>
      <c r="G440" s="590" t="s">
        <v>469</v>
      </c>
      <c r="H440" s="591" t="s">
        <v>466</v>
      </c>
    </row>
    <row r="441" spans="1:8" ht="12.75" customHeight="1">
      <c r="A441" s="716"/>
      <c r="B441" s="717"/>
      <c r="C441" s="719" t="s">
        <v>230</v>
      </c>
      <c r="D441" s="720"/>
      <c r="E441" s="592">
        <v>477</v>
      </c>
      <c r="F441" s="593"/>
      <c r="G441" s="594"/>
      <c r="H441" s="595"/>
    </row>
    <row r="442" spans="1:8" ht="12.75" customHeight="1">
      <c r="A442" s="537"/>
      <c r="B442" s="537"/>
      <c r="C442" s="537"/>
      <c r="D442" s="453"/>
      <c r="E442" s="537"/>
      <c r="F442" s="718"/>
      <c r="G442" s="718"/>
      <c r="H442" s="95"/>
    </row>
    <row r="443" spans="1:8">
      <c r="E443"/>
    </row>
    <row r="444" spans="1:8">
      <c r="E444"/>
    </row>
    <row r="445" spans="1:8">
      <c r="E445"/>
    </row>
    <row r="446" spans="1:8">
      <c r="E446"/>
    </row>
    <row r="447" spans="1:8">
      <c r="E447"/>
    </row>
    <row r="448" spans="1:8">
      <c r="E448"/>
    </row>
    <row r="449" spans="5:5">
      <c r="E449"/>
    </row>
    <row r="450" spans="5:5">
      <c r="E450"/>
    </row>
    <row r="451" spans="5:5">
      <c r="E451"/>
    </row>
    <row r="452" spans="5:5">
      <c r="E452"/>
    </row>
    <row r="453" spans="5:5">
      <c r="E453"/>
    </row>
    <row r="454" spans="5:5">
      <c r="E454"/>
    </row>
    <row r="455" spans="5:5">
      <c r="E455"/>
    </row>
    <row r="456" spans="5:5">
      <c r="E456"/>
    </row>
    <row r="457" spans="5:5">
      <c r="E457"/>
    </row>
    <row r="458" spans="5:5">
      <c r="E458"/>
    </row>
    <row r="459" spans="5:5">
      <c r="E459"/>
    </row>
    <row r="460" spans="5:5">
      <c r="E460"/>
    </row>
    <row r="461" spans="5:5">
      <c r="E461"/>
    </row>
    <row r="462" spans="5:5">
      <c r="E462"/>
    </row>
    <row r="463" spans="5:5">
      <c r="E463"/>
    </row>
    <row r="464" spans="5:5">
      <c r="E464"/>
    </row>
    <row r="465" spans="5:5">
      <c r="E465"/>
    </row>
    <row r="466" spans="5:5">
      <c r="E466"/>
    </row>
    <row r="467" spans="5:5">
      <c r="E467"/>
    </row>
    <row r="468" spans="5:5">
      <c r="E468"/>
    </row>
    <row r="469" spans="5:5">
      <c r="E469"/>
    </row>
    <row r="470" spans="5:5">
      <c r="E470"/>
    </row>
    <row r="471" spans="5:5">
      <c r="E471"/>
    </row>
    <row r="472" spans="5:5">
      <c r="E472"/>
    </row>
    <row r="473" spans="5:5">
      <c r="E473"/>
    </row>
    <row r="474" spans="5:5">
      <c r="E474"/>
    </row>
    <row r="475" spans="5:5">
      <c r="E475"/>
    </row>
    <row r="476" spans="5:5">
      <c r="E476"/>
    </row>
    <row r="477" spans="5:5">
      <c r="E477"/>
    </row>
    <row r="478" spans="5:5">
      <c r="E478"/>
    </row>
    <row r="479" spans="5:5">
      <c r="E479"/>
    </row>
    <row r="480" spans="5:5">
      <c r="E480"/>
    </row>
    <row r="481" spans="5:5">
      <c r="E481"/>
    </row>
    <row r="482" spans="5:5">
      <c r="E482"/>
    </row>
    <row r="483" spans="5:5">
      <c r="E483"/>
    </row>
    <row r="484" spans="5:5">
      <c r="E484"/>
    </row>
    <row r="485" spans="5:5">
      <c r="E485"/>
    </row>
    <row r="486" spans="5:5">
      <c r="E486"/>
    </row>
    <row r="487" spans="5:5">
      <c r="E487"/>
    </row>
    <row r="488" spans="5:5">
      <c r="E488"/>
    </row>
    <row r="489" spans="5:5">
      <c r="E489"/>
    </row>
    <row r="490" spans="5:5">
      <c r="E490"/>
    </row>
    <row r="491" spans="5:5">
      <c r="E491"/>
    </row>
    <row r="492" spans="5:5">
      <c r="E492"/>
    </row>
    <row r="493" spans="5:5">
      <c r="E493"/>
    </row>
    <row r="494" spans="5:5">
      <c r="E494"/>
    </row>
    <row r="495" spans="5:5">
      <c r="E495"/>
    </row>
    <row r="496" spans="5:5">
      <c r="E496"/>
    </row>
    <row r="497" spans="5:5">
      <c r="E497"/>
    </row>
    <row r="498" spans="5:5">
      <c r="E498"/>
    </row>
    <row r="499" spans="5:5">
      <c r="E499"/>
    </row>
    <row r="500" spans="5:5">
      <c r="E500"/>
    </row>
    <row r="501" spans="5:5">
      <c r="E501"/>
    </row>
    <row r="502" spans="5:5">
      <c r="E502"/>
    </row>
    <row r="503" spans="5:5">
      <c r="E503"/>
    </row>
    <row r="504" spans="5:5">
      <c r="E504"/>
    </row>
    <row r="505" spans="5:5">
      <c r="E505"/>
    </row>
    <row r="506" spans="5:5">
      <c r="E506"/>
    </row>
    <row r="507" spans="5:5">
      <c r="E507"/>
    </row>
    <row r="508" spans="5:5">
      <c r="E508"/>
    </row>
    <row r="509" spans="5:5">
      <c r="E509"/>
    </row>
    <row r="510" spans="5:5">
      <c r="E510"/>
    </row>
    <row r="511" spans="5:5">
      <c r="E511"/>
    </row>
    <row r="512" spans="5:5">
      <c r="E512"/>
    </row>
    <row r="513" spans="5:5">
      <c r="E513"/>
    </row>
    <row r="514" spans="5:5">
      <c r="E514"/>
    </row>
    <row r="515" spans="5:5">
      <c r="E515"/>
    </row>
    <row r="516" spans="5:5">
      <c r="E516"/>
    </row>
    <row r="517" spans="5:5">
      <c r="E517"/>
    </row>
    <row r="518" spans="5:5">
      <c r="E518"/>
    </row>
    <row r="519" spans="5:5">
      <c r="E519"/>
    </row>
    <row r="520" spans="5:5">
      <c r="E520"/>
    </row>
    <row r="521" spans="5:5">
      <c r="E521"/>
    </row>
    <row r="522" spans="5:5">
      <c r="E522"/>
    </row>
    <row r="523" spans="5:5">
      <c r="E523"/>
    </row>
    <row r="524" spans="5:5">
      <c r="E524"/>
    </row>
    <row r="525" spans="5:5">
      <c r="E525"/>
    </row>
    <row r="526" spans="5:5">
      <c r="E526"/>
    </row>
    <row r="527" spans="5:5">
      <c r="E527"/>
    </row>
    <row r="528" spans="5:5">
      <c r="E528"/>
    </row>
    <row r="529" spans="1:8">
      <c r="E529"/>
    </row>
    <row r="530" spans="1:8">
      <c r="E530"/>
    </row>
    <row r="531" spans="1:8">
      <c r="E531"/>
    </row>
    <row r="532" spans="1:8">
      <c r="E532"/>
    </row>
    <row r="533" spans="1:8">
      <c r="E533"/>
    </row>
    <row r="534" spans="1:8">
      <c r="E534"/>
    </row>
    <row r="535" spans="1:8">
      <c r="E535"/>
    </row>
    <row r="536" spans="1:8">
      <c r="E536"/>
    </row>
    <row r="537" spans="1:8">
      <c r="E537"/>
    </row>
    <row r="538" spans="1:8">
      <c r="E538"/>
    </row>
    <row r="539" spans="1:8">
      <c r="A539" s="52"/>
      <c r="B539" s="48"/>
      <c r="C539" s="48"/>
      <c r="D539" s="48"/>
      <c r="E539" s="48"/>
      <c r="F539" s="48"/>
      <c r="G539" s="48"/>
      <c r="H539" s="48"/>
    </row>
    <row r="540" spans="1:8">
      <c r="A540" s="48"/>
      <c r="B540" s="86"/>
      <c r="C540" s="818"/>
      <c r="D540" s="818"/>
      <c r="E540" s="818"/>
      <c r="F540" s="818"/>
      <c r="G540" s="86"/>
      <c r="H540" s="86"/>
    </row>
    <row r="541" spans="1:8">
      <c r="A541" s="86"/>
      <c r="B541" s="86"/>
      <c r="C541" s="815"/>
      <c r="D541" s="815"/>
      <c r="E541" s="86"/>
      <c r="F541" s="86"/>
      <c r="G541" s="86"/>
      <c r="H541" s="85"/>
    </row>
    <row r="542" spans="1:8">
      <c r="A542" s="86"/>
      <c r="B542" s="92"/>
      <c r="C542" s="884"/>
      <c r="D542" s="884"/>
      <c r="E542" s="52"/>
      <c r="F542" s="93"/>
      <c r="G542" s="91"/>
      <c r="H542" s="94"/>
    </row>
    <row r="543" spans="1:8">
      <c r="A543" s="49"/>
      <c r="B543" s="50"/>
      <c r="C543" s="51"/>
      <c r="D543" s="51"/>
      <c r="E543" s="52"/>
      <c r="F543" s="93"/>
      <c r="G543" s="91"/>
      <c r="H543" s="94"/>
    </row>
    <row r="544" spans="1:8">
      <c r="A544" s="49"/>
      <c r="B544" s="96"/>
      <c r="C544" s="880"/>
      <c r="D544" s="880"/>
      <c r="E544" s="52"/>
      <c r="F544" s="93"/>
      <c r="G544" s="91"/>
      <c r="H544" s="94"/>
    </row>
    <row r="545" spans="1:8">
      <c r="A545" s="49"/>
      <c r="B545" s="96"/>
      <c r="C545" s="880"/>
      <c r="D545" s="880"/>
      <c r="E545" s="52"/>
      <c r="F545" s="93"/>
      <c r="G545" s="91"/>
      <c r="H545" s="94"/>
    </row>
    <row r="546" spans="1:8">
      <c r="A546" s="49"/>
      <c r="B546" s="96"/>
      <c r="C546" s="880"/>
      <c r="D546" s="880"/>
      <c r="E546" s="52"/>
      <c r="F546" s="93"/>
      <c r="G546" s="91"/>
      <c r="H546" s="94"/>
    </row>
    <row r="547" spans="1:8">
      <c r="A547" s="49"/>
      <c r="B547" s="50"/>
      <c r="C547" s="880"/>
      <c r="D547" s="880"/>
      <c r="E547" s="52"/>
      <c r="F547" s="93"/>
      <c r="G547" s="91"/>
      <c r="H547" s="94"/>
    </row>
    <row r="548" spans="1:8">
      <c r="A548" s="49"/>
      <c r="B548" s="52"/>
      <c r="C548" s="52"/>
      <c r="D548" s="88"/>
      <c r="E548" s="52"/>
      <c r="F548" s="718"/>
      <c r="G548" s="718"/>
      <c r="H548" s="95"/>
    </row>
    <row r="549" spans="1:8">
      <c r="A549" s="52"/>
      <c r="B549" s="48"/>
      <c r="C549" s="48"/>
      <c r="D549" s="48"/>
      <c r="E549" s="48"/>
      <c r="F549" s="48"/>
      <c r="G549" s="48"/>
      <c r="H549" s="48"/>
    </row>
    <row r="550" spans="1:8">
      <c r="A550" s="48"/>
      <c r="B550" s="86"/>
      <c r="C550" s="818"/>
      <c r="D550" s="818"/>
      <c r="E550" s="818"/>
      <c r="F550" s="818"/>
      <c r="G550" s="86"/>
      <c r="H550" s="86"/>
    </row>
    <row r="551" spans="1:8">
      <c r="A551" s="86"/>
      <c r="B551" s="86"/>
      <c r="C551" s="815"/>
      <c r="D551" s="815"/>
      <c r="E551" s="86"/>
      <c r="F551" s="86"/>
      <c r="G551" s="86"/>
      <c r="H551" s="85"/>
    </row>
    <row r="552" spans="1:8">
      <c r="A552" s="86"/>
      <c r="B552" s="92"/>
      <c r="C552" s="884"/>
      <c r="D552" s="884"/>
      <c r="E552" s="52"/>
      <c r="F552" s="93"/>
      <c r="G552" s="91"/>
      <c r="H552" s="94"/>
    </row>
    <row r="553" spans="1:8">
      <c r="A553" s="49"/>
      <c r="B553" s="50"/>
      <c r="C553" s="51"/>
      <c r="D553" s="51"/>
      <c r="E553" s="52"/>
      <c r="F553" s="93"/>
      <c r="G553" s="91"/>
      <c r="H553" s="94"/>
    </row>
    <row r="554" spans="1:8">
      <c r="A554" s="49"/>
      <c r="B554" s="96"/>
      <c r="C554" s="880"/>
      <c r="D554" s="880"/>
      <c r="E554" s="52"/>
      <c r="F554" s="93"/>
      <c r="G554" s="91"/>
      <c r="H554" s="94"/>
    </row>
    <row r="555" spans="1:8">
      <c r="A555" s="49"/>
      <c r="B555" s="96"/>
      <c r="C555" s="880"/>
      <c r="D555" s="880"/>
      <c r="E555" s="52"/>
      <c r="F555" s="93"/>
      <c r="G555" s="91"/>
      <c r="H555" s="94"/>
    </row>
    <row r="556" spans="1:8">
      <c r="A556" s="49"/>
      <c r="B556" s="96"/>
      <c r="C556" s="880"/>
      <c r="D556" s="880"/>
      <c r="E556" s="52"/>
      <c r="F556" s="93"/>
      <c r="G556" s="91"/>
      <c r="H556" s="94"/>
    </row>
    <row r="557" spans="1:8">
      <c r="A557" s="49"/>
      <c r="B557" s="50"/>
      <c r="C557" s="880"/>
      <c r="D557" s="880"/>
      <c r="E557" s="52"/>
      <c r="F557" s="93"/>
      <c r="G557" s="91"/>
      <c r="H557" s="94"/>
    </row>
    <row r="558" spans="1:8">
      <c r="A558" s="49"/>
      <c r="B558" s="52"/>
      <c r="C558" s="52"/>
      <c r="D558" s="88"/>
      <c r="E558" s="52"/>
      <c r="F558" s="718"/>
      <c r="G558" s="718"/>
      <c r="H558" s="95"/>
    </row>
    <row r="559" spans="1:8">
      <c r="A559" s="52"/>
      <c r="B559" s="48"/>
      <c r="C559" s="48"/>
      <c r="D559" s="48"/>
      <c r="E559" s="48"/>
      <c r="F559" s="48"/>
      <c r="G559" s="48"/>
      <c r="H559" s="48"/>
    </row>
    <row r="560" spans="1:8" ht="15">
      <c r="A560" s="48"/>
      <c r="B560" s="882"/>
      <c r="C560" s="882"/>
      <c r="D560" s="882"/>
      <c r="E560" s="97"/>
      <c r="F560" s="97"/>
      <c r="G560" s="97"/>
      <c r="H560" s="85"/>
    </row>
    <row r="561" spans="1:8" ht="15">
      <c r="A561" s="98"/>
      <c r="B561" s="99"/>
      <c r="C561" s="883"/>
      <c r="D561" s="883"/>
      <c r="E561" s="100"/>
      <c r="F561" s="82"/>
      <c r="G561" s="82"/>
      <c r="H561" s="85"/>
    </row>
    <row r="562" spans="1:8" ht="15">
      <c r="A562" s="99"/>
      <c r="B562" s="101"/>
      <c r="C562" s="880"/>
      <c r="D562" s="880"/>
      <c r="E562" s="97"/>
      <c r="F562" s="97"/>
      <c r="G562" s="83"/>
      <c r="H562" s="102"/>
    </row>
    <row r="563" spans="1:8">
      <c r="A563" s="101"/>
      <c r="B563" s="101"/>
      <c r="C563" s="51"/>
      <c r="D563" s="97"/>
      <c r="E563" s="97"/>
      <c r="F563" s="97"/>
      <c r="G563" s="97"/>
      <c r="H563" s="85"/>
    </row>
    <row r="564" spans="1:8">
      <c r="A564" s="103"/>
      <c r="B564" s="48"/>
      <c r="C564" s="48"/>
      <c r="D564" s="48"/>
      <c r="E564" s="48"/>
      <c r="F564" s="48"/>
      <c r="G564" s="48"/>
      <c r="H564" s="48"/>
    </row>
    <row r="565" spans="1:8">
      <c r="A565" s="48"/>
      <c r="B565" s="86"/>
      <c r="C565" s="815"/>
      <c r="D565" s="815"/>
      <c r="E565" s="49"/>
      <c r="F565" s="86"/>
      <c r="G565" s="86"/>
      <c r="H565" s="86"/>
    </row>
    <row r="566" spans="1:8">
      <c r="A566" s="86"/>
      <c r="B566" s="86"/>
      <c r="C566" s="815"/>
      <c r="D566" s="815"/>
      <c r="E566" s="86"/>
      <c r="F566" s="86"/>
      <c r="G566" s="86"/>
      <c r="H566" s="85"/>
    </row>
    <row r="567" spans="1:8">
      <c r="A567" s="86"/>
      <c r="B567" s="49"/>
      <c r="C567" s="884"/>
      <c r="D567" s="884"/>
      <c r="E567" s="52"/>
      <c r="F567" s="104"/>
      <c r="G567" s="91"/>
      <c r="H567" s="94"/>
    </row>
    <row r="568" spans="1:8">
      <c r="A568" s="49"/>
      <c r="B568" s="52"/>
      <c r="C568" s="884"/>
      <c r="D568" s="884"/>
      <c r="E568" s="52"/>
      <c r="F568" s="105"/>
      <c r="G568" s="91"/>
      <c r="H568" s="94"/>
    </row>
    <row r="569" spans="1:8">
      <c r="A569" s="52"/>
      <c r="B569" s="49"/>
      <c r="C569" s="884"/>
      <c r="D569" s="884"/>
      <c r="E569" s="52"/>
      <c r="F569" s="104"/>
      <c r="G569" s="91"/>
      <c r="H569" s="106"/>
    </row>
    <row r="570" spans="1:8">
      <c r="A570" s="49"/>
      <c r="B570" s="49"/>
      <c r="C570" s="884"/>
      <c r="D570" s="884"/>
      <c r="E570" s="52"/>
      <c r="F570" s="104"/>
      <c r="G570" s="91"/>
      <c r="H570" s="106"/>
    </row>
    <row r="571" spans="1:8">
      <c r="A571" s="49"/>
      <c r="B571" s="49"/>
      <c r="C571" s="884"/>
      <c r="D571" s="884"/>
      <c r="E571" s="52"/>
      <c r="F571" s="104"/>
      <c r="G571" s="91"/>
      <c r="H571" s="94"/>
    </row>
    <row r="572" spans="1:8">
      <c r="A572" s="49"/>
      <c r="B572" s="49"/>
      <c r="C572" s="879"/>
      <c r="D572" s="879"/>
      <c r="E572" s="52"/>
      <c r="F572" s="104"/>
      <c r="G572" s="91"/>
      <c r="H572" s="94"/>
    </row>
    <row r="573" spans="1:8">
      <c r="A573" s="49"/>
      <c r="B573" s="49"/>
      <c r="C573" s="884"/>
      <c r="D573" s="884"/>
      <c r="E573" s="52"/>
      <c r="F573" s="104"/>
      <c r="G573" s="91"/>
      <c r="H573" s="106"/>
    </row>
    <row r="574" spans="1:8">
      <c r="A574" s="49"/>
      <c r="B574" s="107"/>
      <c r="C574" s="884"/>
      <c r="D574" s="884"/>
      <c r="E574" s="52"/>
      <c r="F574" s="104"/>
      <c r="G574" s="91"/>
      <c r="H574" s="106"/>
    </row>
    <row r="575" spans="1:8">
      <c r="A575" s="107"/>
      <c r="B575" s="52"/>
      <c r="C575" s="884"/>
      <c r="D575" s="884"/>
      <c r="E575" s="52"/>
      <c r="F575" s="104"/>
      <c r="G575" s="91"/>
      <c r="H575" s="106"/>
    </row>
    <row r="576" spans="1:8">
      <c r="A576" s="52"/>
      <c r="B576" s="108"/>
      <c r="C576" s="879"/>
      <c r="D576" s="879"/>
      <c r="E576" s="52"/>
      <c r="F576" s="109"/>
      <c r="G576" s="90"/>
      <c r="H576" s="110"/>
    </row>
    <row r="577" spans="1:8">
      <c r="A577" s="108"/>
      <c r="B577" s="108"/>
      <c r="C577" s="879"/>
      <c r="D577" s="878"/>
      <c r="E577" s="52"/>
      <c r="F577" s="111"/>
      <c r="G577" s="90"/>
      <c r="H577" s="110"/>
    </row>
    <row r="578" spans="1:8">
      <c r="A578" s="108"/>
      <c r="B578" s="52"/>
      <c r="C578" s="50"/>
      <c r="D578" s="88"/>
      <c r="E578" s="52"/>
      <c r="F578" s="718"/>
      <c r="G578" s="718"/>
      <c r="H578" s="95"/>
    </row>
    <row r="579" spans="1:8">
      <c r="A579" s="52"/>
      <c r="B579" s="48"/>
      <c r="C579" s="48"/>
      <c r="D579" s="48"/>
      <c r="E579" s="48"/>
      <c r="F579" s="48"/>
      <c r="G579" s="48"/>
      <c r="H579" s="48"/>
    </row>
    <row r="580" spans="1:8">
      <c r="A580" s="48"/>
      <c r="B580" s="86"/>
      <c r="C580" s="818"/>
      <c r="D580" s="818"/>
      <c r="E580" s="818"/>
      <c r="F580" s="818"/>
      <c r="G580" s="818"/>
      <c r="H580" s="818"/>
    </row>
    <row r="581" spans="1:8">
      <c r="A581" s="86"/>
      <c r="B581" s="86"/>
      <c r="C581" s="815"/>
      <c r="D581" s="815"/>
      <c r="E581" s="86"/>
      <c r="F581" s="86"/>
      <c r="G581" s="86"/>
      <c r="H581" s="85"/>
    </row>
    <row r="582" spans="1:8">
      <c r="A582" s="86"/>
      <c r="B582" s="52"/>
      <c r="C582" s="884"/>
      <c r="D582" s="884"/>
      <c r="E582" s="52"/>
      <c r="F582" s="104"/>
      <c r="G582" s="91"/>
      <c r="H582" s="94"/>
    </row>
    <row r="583" spans="1:8">
      <c r="A583" s="49"/>
      <c r="B583" s="52"/>
      <c r="C583" s="884"/>
      <c r="D583" s="884"/>
      <c r="E583" s="52"/>
      <c r="F583" s="112"/>
      <c r="G583" s="91"/>
      <c r="H583" s="94"/>
    </row>
    <row r="584" spans="1:8">
      <c r="A584" s="52"/>
      <c r="B584" s="52"/>
      <c r="C584" s="884"/>
      <c r="D584" s="884"/>
      <c r="E584" s="52"/>
      <c r="F584" s="113"/>
      <c r="G584" s="91"/>
      <c r="H584" s="94"/>
    </row>
    <row r="585" spans="1:8">
      <c r="A585" s="49"/>
      <c r="B585" s="52"/>
      <c r="C585" s="879"/>
      <c r="D585" s="879"/>
      <c r="E585" s="52"/>
      <c r="F585" s="93"/>
      <c r="G585" s="91"/>
      <c r="H585" s="94"/>
    </row>
    <row r="586" spans="1:8">
      <c r="A586" s="49"/>
      <c r="B586" s="52"/>
      <c r="C586" s="885"/>
      <c r="D586" s="885"/>
      <c r="E586" s="52"/>
      <c r="F586" s="93"/>
      <c r="G586" s="91"/>
      <c r="H586" s="94"/>
    </row>
    <row r="587" spans="1:8">
      <c r="A587" s="49"/>
      <c r="B587" s="52"/>
      <c r="C587" s="50"/>
      <c r="D587" s="88"/>
      <c r="E587" s="52"/>
      <c r="F587" s="718"/>
      <c r="G587" s="718"/>
      <c r="H587" s="95"/>
    </row>
    <row r="588" spans="1:8">
      <c r="A588" s="52"/>
      <c r="B588" s="48"/>
      <c r="C588" s="48"/>
      <c r="D588" s="48"/>
      <c r="E588" s="48"/>
      <c r="F588" s="48"/>
      <c r="G588" s="48"/>
      <c r="H588" s="48"/>
    </row>
    <row r="589" spans="1:8">
      <c r="A589" s="48"/>
      <c r="B589" s="86"/>
      <c r="C589" s="818"/>
      <c r="D589" s="818"/>
      <c r="E589" s="818"/>
      <c r="F589" s="818"/>
      <c r="G589" s="818"/>
      <c r="H589" s="818"/>
    </row>
    <row r="590" spans="1:8">
      <c r="A590" s="86"/>
      <c r="B590" s="87"/>
      <c r="C590" s="881"/>
      <c r="D590" s="881"/>
      <c r="E590" s="87"/>
      <c r="F590" s="87"/>
      <c r="G590" s="87"/>
      <c r="H590" s="87"/>
    </row>
    <row r="591" spans="1:8">
      <c r="A591" s="87"/>
      <c r="B591" s="52"/>
      <c r="C591" s="879"/>
      <c r="D591" s="879"/>
      <c r="E591" s="52"/>
      <c r="F591" s="89"/>
      <c r="G591" s="90"/>
      <c r="H591" s="114"/>
    </row>
    <row r="592" spans="1:8">
      <c r="A592" s="49"/>
      <c r="B592" s="52"/>
      <c r="C592" s="879"/>
      <c r="D592" s="879"/>
      <c r="E592" s="52"/>
      <c r="F592" s="89"/>
      <c r="G592" s="90"/>
      <c r="H592" s="114"/>
    </row>
    <row r="593" spans="1:8">
      <c r="A593" s="49"/>
      <c r="B593" s="52"/>
      <c r="C593" s="879"/>
      <c r="D593" s="879"/>
      <c r="E593" s="52"/>
      <c r="F593" s="89"/>
      <c r="G593" s="90"/>
      <c r="H593" s="114"/>
    </row>
    <row r="594" spans="1:8">
      <c r="A594" s="49"/>
      <c r="B594" s="52"/>
      <c r="C594" s="879"/>
      <c r="D594" s="879"/>
      <c r="E594" s="52"/>
      <c r="F594" s="89"/>
      <c r="G594" s="90"/>
      <c r="H594" s="114"/>
    </row>
    <row r="595" spans="1:8">
      <c r="A595" s="49"/>
      <c r="B595" s="52"/>
      <c r="C595" s="879"/>
      <c r="D595" s="879"/>
      <c r="E595" s="52"/>
      <c r="F595" s="115"/>
      <c r="G595" s="90"/>
      <c r="H595" s="114"/>
    </row>
    <row r="596" spans="1:8">
      <c r="A596" s="49"/>
      <c r="B596" s="52"/>
      <c r="C596" s="879"/>
      <c r="D596" s="879"/>
      <c r="E596" s="52"/>
      <c r="F596" s="115"/>
      <c r="G596" s="90"/>
      <c r="H596" s="114"/>
    </row>
    <row r="597" spans="1:8">
      <c r="A597" s="49"/>
      <c r="B597" s="52"/>
      <c r="C597" s="879"/>
      <c r="D597" s="879"/>
      <c r="E597" s="52"/>
      <c r="F597" s="115"/>
      <c r="G597" s="90"/>
      <c r="H597" s="114"/>
    </row>
    <row r="598" spans="1:8">
      <c r="A598" s="49"/>
      <c r="B598" s="52"/>
      <c r="C598" s="879"/>
      <c r="D598" s="879"/>
      <c r="E598" s="52"/>
      <c r="F598" s="89"/>
      <c r="G598" s="90"/>
      <c r="H598" s="114"/>
    </row>
    <row r="599" spans="1:8">
      <c r="A599" s="49"/>
      <c r="B599" s="52"/>
      <c r="C599" s="880"/>
      <c r="D599" s="880"/>
      <c r="E599" s="52"/>
      <c r="F599" s="89"/>
      <c r="G599" s="90"/>
      <c r="H599" s="114"/>
    </row>
    <row r="600" spans="1:8">
      <c r="A600" s="49"/>
      <c r="B600" s="52"/>
      <c r="C600" s="879"/>
      <c r="D600" s="879"/>
      <c r="E600" s="52"/>
      <c r="F600" s="89"/>
      <c r="G600" s="90"/>
      <c r="H600" s="114"/>
    </row>
    <row r="601" spans="1:8">
      <c r="A601" s="49"/>
      <c r="B601" s="52"/>
      <c r="C601" s="879"/>
      <c r="D601" s="879"/>
      <c r="E601" s="52"/>
      <c r="F601" s="89"/>
      <c r="G601" s="90"/>
      <c r="H601" s="114"/>
    </row>
    <row r="602" spans="1:8">
      <c r="A602" s="49"/>
      <c r="B602" s="52"/>
      <c r="C602" s="880"/>
      <c r="D602" s="880"/>
      <c r="E602" s="52"/>
      <c r="F602" s="89"/>
      <c r="G602" s="91"/>
      <c r="H602" s="114"/>
    </row>
    <row r="603" spans="1:8">
      <c r="A603" s="49"/>
      <c r="B603" s="52"/>
      <c r="C603" s="879"/>
      <c r="D603" s="879"/>
      <c r="E603" s="52"/>
      <c r="F603" s="89"/>
      <c r="G603" s="90"/>
      <c r="H603" s="114"/>
    </row>
    <row r="604" spans="1:8">
      <c r="A604" s="49"/>
      <c r="B604" s="52"/>
      <c r="C604" s="880"/>
      <c r="D604" s="880"/>
      <c r="E604" s="52"/>
      <c r="F604" s="89"/>
      <c r="G604" s="90"/>
      <c r="H604" s="114"/>
    </row>
    <row r="605" spans="1:8">
      <c r="A605" s="49"/>
      <c r="B605" s="92"/>
      <c r="C605" s="880"/>
      <c r="D605" s="880"/>
      <c r="E605" s="52"/>
      <c r="F605" s="89"/>
      <c r="G605" s="91"/>
      <c r="H605" s="114"/>
    </row>
    <row r="606" spans="1:8">
      <c r="A606" s="49"/>
      <c r="B606" s="49"/>
      <c r="C606" s="878"/>
      <c r="D606" s="878"/>
      <c r="E606" s="49"/>
      <c r="F606" s="815"/>
      <c r="G606" s="815"/>
      <c r="H606" s="53"/>
    </row>
    <row r="607" spans="1:8">
      <c r="A607" s="49"/>
      <c r="B607" s="48"/>
      <c r="C607" s="48"/>
      <c r="D607" s="48"/>
      <c r="E607" s="48"/>
      <c r="F607" s="48"/>
      <c r="G607" s="48"/>
      <c r="H607" s="48"/>
    </row>
    <row r="608" spans="1:8">
      <c r="A608" s="48"/>
      <c r="B608" s="48"/>
      <c r="C608" s="48"/>
      <c r="D608" s="48"/>
      <c r="E608" s="48"/>
      <c r="F608" s="48"/>
      <c r="G608" s="48"/>
      <c r="H608" s="48"/>
    </row>
    <row r="609" spans="1:8">
      <c r="A609" s="48"/>
      <c r="B609" s="48"/>
      <c r="C609" s="48"/>
      <c r="D609" s="48"/>
      <c r="E609" s="48"/>
      <c r="F609" s="48"/>
      <c r="G609" s="48"/>
      <c r="H609" s="48"/>
    </row>
    <row r="610" spans="1:8">
      <c r="A610" s="48"/>
      <c r="B610" s="48"/>
      <c r="C610" s="48"/>
      <c r="D610" s="48"/>
      <c r="E610" s="48"/>
      <c r="F610" s="48"/>
      <c r="G610" s="48"/>
      <c r="H610" s="48"/>
    </row>
    <row r="611" spans="1:8">
      <c r="A611" s="48"/>
      <c r="B611" s="48"/>
      <c r="C611" s="48"/>
      <c r="D611" s="48"/>
      <c r="E611" s="48"/>
      <c r="F611" s="48"/>
      <c r="G611" s="48"/>
      <c r="H611" s="48"/>
    </row>
    <row r="612" spans="1:8">
      <c r="A612" s="48"/>
      <c r="B612" s="48"/>
      <c r="C612" s="48"/>
      <c r="D612" s="48"/>
      <c r="E612" s="48"/>
      <c r="F612" s="48"/>
      <c r="G612" s="48"/>
      <c r="H612" s="48"/>
    </row>
    <row r="613" spans="1:8">
      <c r="A613" s="48"/>
      <c r="B613" s="48"/>
      <c r="C613" s="48"/>
      <c r="D613" s="48"/>
      <c r="E613" s="48"/>
      <c r="F613" s="48"/>
      <c r="G613" s="48"/>
      <c r="H613" s="48"/>
    </row>
    <row r="614" spans="1:8">
      <c r="A614" s="48"/>
      <c r="B614" s="48"/>
      <c r="C614" s="48"/>
      <c r="D614" s="48"/>
      <c r="E614" s="48"/>
      <c r="F614" s="48"/>
      <c r="G614" s="48"/>
      <c r="H614" s="48"/>
    </row>
    <row r="615" spans="1:8">
      <c r="A615" s="48"/>
      <c r="B615" s="48"/>
      <c r="C615" s="48"/>
      <c r="D615" s="48"/>
      <c r="E615" s="48"/>
      <c r="F615" s="48"/>
      <c r="G615" s="48"/>
      <c r="H615" s="48"/>
    </row>
    <row r="616" spans="1:8">
      <c r="A616" s="48"/>
      <c r="B616" s="48"/>
      <c r="C616" s="48"/>
      <c r="D616" s="48"/>
      <c r="E616" s="48"/>
      <c r="F616" s="48"/>
      <c r="G616" s="48"/>
      <c r="H616" s="48"/>
    </row>
    <row r="617" spans="1:8">
      <c r="A617" s="48"/>
      <c r="B617" s="48"/>
      <c r="C617" s="48"/>
      <c r="D617" s="48"/>
      <c r="E617" s="48"/>
      <c r="F617" s="48"/>
      <c r="G617" s="48"/>
      <c r="H617" s="48"/>
    </row>
    <row r="618" spans="1:8">
      <c r="A618" s="48"/>
      <c r="B618" s="48"/>
      <c r="C618" s="48"/>
      <c r="D618" s="48"/>
      <c r="E618" s="48"/>
      <c r="F618" s="48"/>
      <c r="G618" s="48"/>
      <c r="H618" s="48"/>
    </row>
    <row r="619" spans="1:8">
      <c r="A619" s="48"/>
      <c r="B619" s="48"/>
      <c r="C619" s="48"/>
      <c r="D619" s="48"/>
      <c r="E619" s="48"/>
      <c r="F619" s="48"/>
      <c r="G619" s="48"/>
      <c r="H619" s="48"/>
    </row>
    <row r="620" spans="1:8">
      <c r="A620" s="48"/>
      <c r="B620" s="48"/>
      <c r="C620" s="48"/>
      <c r="D620" s="48"/>
      <c r="E620" s="48"/>
      <c r="F620" s="48"/>
      <c r="G620" s="48"/>
      <c r="H620" s="48"/>
    </row>
    <row r="621" spans="1:8">
      <c r="A621" s="48"/>
      <c r="B621" s="48"/>
      <c r="C621" s="48"/>
      <c r="D621" s="48"/>
      <c r="E621" s="48"/>
      <c r="F621" s="48"/>
      <c r="G621" s="48"/>
      <c r="H621" s="48"/>
    </row>
    <row r="622" spans="1:8">
      <c r="A622" s="48"/>
      <c r="B622" s="48"/>
      <c r="C622" s="48"/>
      <c r="D622" s="48"/>
      <c r="E622" s="48"/>
      <c r="F622" s="48"/>
      <c r="G622" s="48"/>
      <c r="H622" s="48"/>
    </row>
    <row r="623" spans="1:8">
      <c r="A623" s="48"/>
      <c r="B623" s="48"/>
      <c r="C623" s="48"/>
      <c r="D623" s="48"/>
      <c r="E623" s="48"/>
      <c r="F623" s="48"/>
      <c r="G623" s="48"/>
      <c r="H623" s="48"/>
    </row>
    <row r="624" spans="1:8">
      <c r="A624" s="48"/>
      <c r="B624" s="48"/>
      <c r="C624" s="48"/>
      <c r="D624" s="48"/>
      <c r="E624" s="48"/>
      <c r="F624" s="48"/>
      <c r="G624" s="48"/>
      <c r="H624" s="48"/>
    </row>
    <row r="625" spans="1:8">
      <c r="A625" s="48"/>
      <c r="B625" s="48"/>
      <c r="C625" s="48"/>
      <c r="D625" s="48"/>
      <c r="E625" s="48"/>
      <c r="F625" s="48"/>
      <c r="G625" s="48"/>
      <c r="H625" s="48"/>
    </row>
    <row r="626" spans="1:8">
      <c r="A626" s="48"/>
      <c r="B626" s="48"/>
      <c r="C626" s="48"/>
      <c r="D626" s="48"/>
      <c r="E626" s="48"/>
      <c r="F626" s="48"/>
      <c r="G626" s="48"/>
      <c r="H626" s="48"/>
    </row>
    <row r="627" spans="1:8">
      <c r="A627" s="48"/>
      <c r="B627" s="48"/>
      <c r="C627" s="48"/>
      <c r="D627" s="48"/>
      <c r="E627" s="48"/>
      <c r="F627" s="48"/>
      <c r="G627" s="48"/>
      <c r="H627" s="48"/>
    </row>
    <row r="628" spans="1:8">
      <c r="A628" s="48"/>
      <c r="B628" s="48"/>
      <c r="C628" s="48"/>
      <c r="D628" s="48"/>
      <c r="E628" s="48"/>
      <c r="F628" s="48"/>
      <c r="G628" s="48"/>
      <c r="H628" s="48"/>
    </row>
    <row r="629" spans="1:8">
      <c r="A629" s="48"/>
      <c r="B629" s="48"/>
      <c r="C629" s="48"/>
      <c r="D629" s="48"/>
      <c r="E629" s="48"/>
      <c r="F629" s="48"/>
      <c r="G629" s="48"/>
      <c r="H629" s="48"/>
    </row>
    <row r="630" spans="1:8">
      <c r="A630" s="48"/>
      <c r="B630" s="48"/>
      <c r="C630" s="48"/>
      <c r="D630" s="48"/>
      <c r="E630" s="48"/>
      <c r="F630" s="48"/>
      <c r="G630" s="48"/>
      <c r="H630" s="48"/>
    </row>
    <row r="631" spans="1:8">
      <c r="A631" s="48"/>
      <c r="B631" s="48"/>
      <c r="C631" s="48"/>
      <c r="D631" s="48"/>
      <c r="E631" s="48"/>
      <c r="F631" s="48"/>
      <c r="G631" s="48"/>
      <c r="H631" s="48"/>
    </row>
    <row r="632" spans="1:8">
      <c r="A632" s="48"/>
      <c r="B632" s="48"/>
      <c r="C632" s="48"/>
      <c r="D632" s="48"/>
      <c r="E632" s="48"/>
      <c r="F632" s="48"/>
      <c r="G632" s="48"/>
      <c r="H632" s="48"/>
    </row>
    <row r="633" spans="1:8">
      <c r="A633" s="48"/>
      <c r="B633" s="48"/>
      <c r="C633" s="48"/>
      <c r="D633" s="48"/>
      <c r="E633" s="48"/>
      <c r="F633" s="48"/>
      <c r="G633" s="48"/>
      <c r="H633" s="48"/>
    </row>
    <row r="634" spans="1:8">
      <c r="A634" s="48"/>
      <c r="B634" s="48"/>
      <c r="C634" s="48"/>
      <c r="D634" s="48"/>
      <c r="E634" s="48"/>
      <c r="F634" s="48"/>
      <c r="G634" s="48"/>
      <c r="H634" s="48"/>
    </row>
    <row r="635" spans="1:8">
      <c r="A635" s="48"/>
      <c r="B635" s="48"/>
      <c r="C635" s="48"/>
      <c r="D635" s="48"/>
      <c r="E635" s="48"/>
      <c r="F635" s="48"/>
      <c r="G635" s="48"/>
      <c r="H635" s="48"/>
    </row>
    <row r="636" spans="1:8">
      <c r="A636" s="48"/>
      <c r="B636" s="48"/>
      <c r="C636" s="48"/>
      <c r="D636" s="48"/>
      <c r="E636" s="48"/>
      <c r="F636" s="48"/>
      <c r="G636" s="48"/>
      <c r="H636" s="48"/>
    </row>
    <row r="637" spans="1:8">
      <c r="A637" s="48"/>
      <c r="B637" s="48"/>
      <c r="C637" s="48"/>
      <c r="D637" s="48"/>
      <c r="E637" s="48"/>
      <c r="F637" s="48"/>
      <c r="G637" s="48"/>
      <c r="H637" s="48"/>
    </row>
    <row r="638" spans="1:8">
      <c r="A638" s="48"/>
      <c r="B638" s="48"/>
      <c r="C638" s="48"/>
      <c r="D638" s="48"/>
      <c r="E638" s="48"/>
      <c r="F638" s="48"/>
      <c r="G638" s="48"/>
      <c r="H638" s="48"/>
    </row>
    <row r="639" spans="1:8">
      <c r="E639" s="84"/>
    </row>
  </sheetData>
  <mergeCells count="519">
    <mergeCell ref="C556:D556"/>
    <mergeCell ref="C189:D189"/>
    <mergeCell ref="C190:D190"/>
    <mergeCell ref="C191:D191"/>
    <mergeCell ref="C566:D566"/>
    <mergeCell ref="C557:D557"/>
    <mergeCell ref="F558:G558"/>
    <mergeCell ref="F548:G548"/>
    <mergeCell ref="C550:F550"/>
    <mergeCell ref="C551:D551"/>
    <mergeCell ref="C552:D552"/>
    <mergeCell ref="C542:D542"/>
    <mergeCell ref="C544:D544"/>
    <mergeCell ref="C545:D545"/>
    <mergeCell ref="C546:D546"/>
    <mergeCell ref="C547:D547"/>
    <mergeCell ref="C554:D554"/>
    <mergeCell ref="C555:D555"/>
    <mergeCell ref="C541:D541"/>
    <mergeCell ref="C562:D562"/>
    <mergeCell ref="C540:F540"/>
    <mergeCell ref="F299:G299"/>
    <mergeCell ref="C381:D381"/>
    <mergeCell ref="C379:D379"/>
    <mergeCell ref="C311:D311"/>
    <mergeCell ref="C309:D309"/>
    <mergeCell ref="C308:D308"/>
    <mergeCell ref="C310:D310"/>
    <mergeCell ref="C223:D223"/>
    <mergeCell ref="C235:D235"/>
    <mergeCell ref="F236:G236"/>
    <mergeCell ref="C212:D212"/>
    <mergeCell ref="C240:D240"/>
    <mergeCell ref="C241:D241"/>
    <mergeCell ref="F242:G242"/>
    <mergeCell ref="F262:G262"/>
    <mergeCell ref="C198:D198"/>
    <mergeCell ref="C213:D213"/>
    <mergeCell ref="C333:D333"/>
    <mergeCell ref="C334:D334"/>
    <mergeCell ref="C332:D332"/>
    <mergeCell ref="C360:D360"/>
    <mergeCell ref="C361:D361"/>
    <mergeCell ref="C362:D362"/>
    <mergeCell ref="C363:D363"/>
    <mergeCell ref="C254:D254"/>
    <mergeCell ref="C245:D245"/>
    <mergeCell ref="C246:D246"/>
    <mergeCell ref="C247:D247"/>
    <mergeCell ref="C248:D248"/>
    <mergeCell ref="C249:D249"/>
    <mergeCell ref="C298:D298"/>
    <mergeCell ref="C348:D348"/>
    <mergeCell ref="C349:D349"/>
    <mergeCell ref="C217:D217"/>
    <mergeCell ref="C233:D233"/>
    <mergeCell ref="C234:D234"/>
    <mergeCell ref="C236:D236"/>
    <mergeCell ref="C219:D219"/>
    <mergeCell ref="C222:D222"/>
    <mergeCell ref="C590:D590"/>
    <mergeCell ref="B560:D560"/>
    <mergeCell ref="C561:D561"/>
    <mergeCell ref="C584:D584"/>
    <mergeCell ref="C585:D585"/>
    <mergeCell ref="C586:D586"/>
    <mergeCell ref="F587:G587"/>
    <mergeCell ref="C589:H589"/>
    <mergeCell ref="C567:D567"/>
    <mergeCell ref="C568:D568"/>
    <mergeCell ref="C569:D569"/>
    <mergeCell ref="C570:D570"/>
    <mergeCell ref="C571:D571"/>
    <mergeCell ref="C572:D572"/>
    <mergeCell ref="C573:D573"/>
    <mergeCell ref="C574:D574"/>
    <mergeCell ref="C575:D575"/>
    <mergeCell ref="C576:D576"/>
    <mergeCell ref="C577:D577"/>
    <mergeCell ref="F578:G578"/>
    <mergeCell ref="C580:H580"/>
    <mergeCell ref="C581:D581"/>
    <mergeCell ref="C582:D582"/>
    <mergeCell ref="C583:D583"/>
    <mergeCell ref="C606:D606"/>
    <mergeCell ref="F606:G606"/>
    <mergeCell ref="C591:D591"/>
    <mergeCell ref="C592:D592"/>
    <mergeCell ref="C593:D593"/>
    <mergeCell ref="C594:D594"/>
    <mergeCell ref="C595:D595"/>
    <mergeCell ref="C596:D596"/>
    <mergeCell ref="C597:D597"/>
    <mergeCell ref="C598:D598"/>
    <mergeCell ref="C599:D599"/>
    <mergeCell ref="C600:D600"/>
    <mergeCell ref="C601:D601"/>
    <mergeCell ref="C602:D602"/>
    <mergeCell ref="C605:D605"/>
    <mergeCell ref="C603:D603"/>
    <mergeCell ref="C604:D604"/>
    <mergeCell ref="C565:D565"/>
    <mergeCell ref="C118:D118"/>
    <mergeCell ref="C119:D119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85:D185"/>
    <mergeCell ref="C186:D186"/>
    <mergeCell ref="C183:D183"/>
    <mergeCell ref="C208:D208"/>
    <mergeCell ref="C150:D150"/>
    <mergeCell ref="C151:D151"/>
    <mergeCell ref="C152:D152"/>
    <mergeCell ref="C153:D153"/>
    <mergeCell ref="C177:D177"/>
    <mergeCell ref="C178:D178"/>
    <mergeCell ref="C182:D182"/>
    <mergeCell ref="C437:D437"/>
    <mergeCell ref="C85:D85"/>
    <mergeCell ref="C89:D89"/>
    <mergeCell ref="C90:D90"/>
    <mergeCell ref="C91:D91"/>
    <mergeCell ref="C92:D92"/>
    <mergeCell ref="C115:D115"/>
    <mergeCell ref="C138:D138"/>
    <mergeCell ref="C135:D135"/>
    <mergeCell ref="C136:D136"/>
    <mergeCell ref="C137:D137"/>
    <mergeCell ref="C129:D129"/>
    <mergeCell ref="C130:D130"/>
    <mergeCell ref="C131:D131"/>
    <mergeCell ref="C99:D99"/>
    <mergeCell ref="C100:D100"/>
    <mergeCell ref="C101:D101"/>
    <mergeCell ref="C102:D102"/>
    <mergeCell ref="C103:D103"/>
    <mergeCell ref="C104:D104"/>
    <mergeCell ref="C105:D105"/>
    <mergeCell ref="C109:D109"/>
    <mergeCell ref="C110:D110"/>
    <mergeCell ref="C111:D111"/>
    <mergeCell ref="C70:D70"/>
    <mergeCell ref="C74:D74"/>
    <mergeCell ref="C75:D75"/>
    <mergeCell ref="C76:D76"/>
    <mergeCell ref="C77:D77"/>
    <mergeCell ref="C78:D78"/>
    <mergeCell ref="C82:D82"/>
    <mergeCell ref="C83:D83"/>
    <mergeCell ref="C84:D84"/>
    <mergeCell ref="F30:G30"/>
    <mergeCell ref="C31:D31"/>
    <mergeCell ref="C32:H32"/>
    <mergeCell ref="C144:D144"/>
    <mergeCell ref="C145:D145"/>
    <mergeCell ref="C281:D281"/>
    <mergeCell ref="C282:D282"/>
    <mergeCell ref="C286:D286"/>
    <mergeCell ref="C33:D33"/>
    <mergeCell ref="C34:D34"/>
    <mergeCell ref="C35:D35"/>
    <mergeCell ref="C36:D36"/>
    <mergeCell ref="C37:D37"/>
    <mergeCell ref="C38:D38"/>
    <mergeCell ref="C53:D53"/>
    <mergeCell ref="C42:D42"/>
    <mergeCell ref="C43:D43"/>
    <mergeCell ref="C44:D44"/>
    <mergeCell ref="C45:D45"/>
    <mergeCell ref="C46:D46"/>
    <mergeCell ref="C47:D47"/>
    <mergeCell ref="C48:D48"/>
    <mergeCell ref="C49:D49"/>
    <mergeCell ref="C65:D65"/>
    <mergeCell ref="E1:H4"/>
    <mergeCell ref="C18:D18"/>
    <mergeCell ref="C8:D8"/>
    <mergeCell ref="C9:D9"/>
    <mergeCell ref="C10:D10"/>
    <mergeCell ref="C11:D11"/>
    <mergeCell ref="C12:D12"/>
    <mergeCell ref="C13:D13"/>
    <mergeCell ref="C17:D17"/>
    <mergeCell ref="A6:H6"/>
    <mergeCell ref="A7:B7"/>
    <mergeCell ref="C7:H7"/>
    <mergeCell ref="C14:D14"/>
    <mergeCell ref="F14:G14"/>
    <mergeCell ref="C15:D15"/>
    <mergeCell ref="A16:B16"/>
    <mergeCell ref="C16:H16"/>
    <mergeCell ref="C30:D30"/>
    <mergeCell ref="F328:G328"/>
    <mergeCell ref="C327:D327"/>
    <mergeCell ref="C328:D328"/>
    <mergeCell ref="A301:B301"/>
    <mergeCell ref="C302:D302"/>
    <mergeCell ref="C304:D304"/>
    <mergeCell ref="C112:D112"/>
    <mergeCell ref="C113:D113"/>
    <mergeCell ref="C114:D114"/>
    <mergeCell ref="C142:D142"/>
    <mergeCell ref="C146:D146"/>
    <mergeCell ref="C160:D160"/>
    <mergeCell ref="F305:G305"/>
    <mergeCell ref="A307:B307"/>
    <mergeCell ref="C307:H307"/>
    <mergeCell ref="C154:D154"/>
    <mergeCell ref="C168:D168"/>
    <mergeCell ref="C169:D169"/>
    <mergeCell ref="C170:D170"/>
    <mergeCell ref="C294:D294"/>
    <mergeCell ref="C295:D295"/>
    <mergeCell ref="C293:D293"/>
    <mergeCell ref="C296:D296"/>
    <mergeCell ref="C199:D199"/>
    <mergeCell ref="A330:B330"/>
    <mergeCell ref="C330:G330"/>
    <mergeCell ref="C331:D331"/>
    <mergeCell ref="C319:D319"/>
    <mergeCell ref="C325:D325"/>
    <mergeCell ref="C297:D297"/>
    <mergeCell ref="C314:D314"/>
    <mergeCell ref="C315:D315"/>
    <mergeCell ref="C312:D312"/>
    <mergeCell ref="F316:G316"/>
    <mergeCell ref="A318:B318"/>
    <mergeCell ref="C318:H318"/>
    <mergeCell ref="C321:D321"/>
    <mergeCell ref="F322:G322"/>
    <mergeCell ref="A324:B324"/>
    <mergeCell ref="C324:H324"/>
    <mergeCell ref="F204:G204"/>
    <mergeCell ref="C204:D204"/>
    <mergeCell ref="C200:D200"/>
    <mergeCell ref="C201:D201"/>
    <mergeCell ref="C202:D202"/>
    <mergeCell ref="C203:D203"/>
    <mergeCell ref="C238:H238"/>
    <mergeCell ref="A359:B359"/>
    <mergeCell ref="C359:H359"/>
    <mergeCell ref="C335:D335"/>
    <mergeCell ref="C336:D336"/>
    <mergeCell ref="C337:D337"/>
    <mergeCell ref="C338:D338"/>
    <mergeCell ref="F339:G339"/>
    <mergeCell ref="A341:B341"/>
    <mergeCell ref="C342:D342"/>
    <mergeCell ref="C343:D343"/>
    <mergeCell ref="C341:G341"/>
    <mergeCell ref="C344:D344"/>
    <mergeCell ref="C347:D347"/>
    <mergeCell ref="C346:D346"/>
    <mergeCell ref="C345:D345"/>
    <mergeCell ref="F350:G350"/>
    <mergeCell ref="A352:B352"/>
    <mergeCell ref="C352:H352"/>
    <mergeCell ref="C353:D353"/>
    <mergeCell ref="C354:D354"/>
    <mergeCell ref="C438:D438"/>
    <mergeCell ref="A373:B373"/>
    <mergeCell ref="A374:B374"/>
    <mergeCell ref="C374:H374"/>
    <mergeCell ref="C378:D378"/>
    <mergeCell ref="C394:D394"/>
    <mergeCell ref="F395:G395"/>
    <mergeCell ref="A397:B397"/>
    <mergeCell ref="C399:D399"/>
    <mergeCell ref="C400:D400"/>
    <mergeCell ref="C373:D373"/>
    <mergeCell ref="C375:D375"/>
    <mergeCell ref="C376:D376"/>
    <mergeCell ref="C377:D377"/>
    <mergeCell ref="C388:D388"/>
    <mergeCell ref="C389:D389"/>
    <mergeCell ref="C390:D390"/>
    <mergeCell ref="C391:D391"/>
    <mergeCell ref="C383:D383"/>
    <mergeCell ref="F385:G385"/>
    <mergeCell ref="A387:B387"/>
    <mergeCell ref="C387:D387"/>
    <mergeCell ref="C401:D401"/>
    <mergeCell ref="C380:D380"/>
    <mergeCell ref="C431:D431"/>
    <mergeCell ref="C424:D424"/>
    <mergeCell ref="C422:D422"/>
    <mergeCell ref="C393:D393"/>
    <mergeCell ref="C403:D403"/>
    <mergeCell ref="C402:D402"/>
    <mergeCell ref="C423:D423"/>
    <mergeCell ref="C432:D432"/>
    <mergeCell ref="C412:D412"/>
    <mergeCell ref="C418:D418"/>
    <mergeCell ref="C428:D428"/>
    <mergeCell ref="C429:D429"/>
    <mergeCell ref="C430:D430"/>
    <mergeCell ref="C409:D409"/>
    <mergeCell ref="C410:D410"/>
    <mergeCell ref="C419:D419"/>
    <mergeCell ref="C420:D420"/>
    <mergeCell ref="C421:D421"/>
    <mergeCell ref="C426:D426"/>
    <mergeCell ref="C413:D413"/>
    <mergeCell ref="C414:D414"/>
    <mergeCell ref="A206:B206"/>
    <mergeCell ref="C206:H206"/>
    <mergeCell ref="C207:D207"/>
    <mergeCell ref="C210:D210"/>
    <mergeCell ref="F213:G213"/>
    <mergeCell ref="A215:B215"/>
    <mergeCell ref="C215:H215"/>
    <mergeCell ref="C216:D216"/>
    <mergeCell ref="C232:D232"/>
    <mergeCell ref="C224:D224"/>
    <mergeCell ref="C225:D225"/>
    <mergeCell ref="C228:D228"/>
    <mergeCell ref="C226:D226"/>
    <mergeCell ref="C227:D227"/>
    <mergeCell ref="C209:D209"/>
    <mergeCell ref="C211:D211"/>
    <mergeCell ref="C218:D218"/>
    <mergeCell ref="C220:D220"/>
    <mergeCell ref="C221:D221"/>
    <mergeCell ref="F106:G106"/>
    <mergeCell ref="B108:H108"/>
    <mergeCell ref="C116:D116"/>
    <mergeCell ref="C117:D117"/>
    <mergeCell ref="F132:G132"/>
    <mergeCell ref="B134:H134"/>
    <mergeCell ref="C98:F98"/>
    <mergeCell ref="C93:D93"/>
    <mergeCell ref="C94:D94"/>
    <mergeCell ref="C95:D95"/>
    <mergeCell ref="A98:B98"/>
    <mergeCell ref="F96:G96"/>
    <mergeCell ref="A140:B140"/>
    <mergeCell ref="C140:H140"/>
    <mergeCell ref="C141:D141"/>
    <mergeCell ref="A72:B72"/>
    <mergeCell ref="C72:H72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41:D41"/>
    <mergeCell ref="C39:D39"/>
    <mergeCell ref="C40:D40"/>
    <mergeCell ref="C54:D54"/>
    <mergeCell ref="C55:D55"/>
    <mergeCell ref="C56:D56"/>
    <mergeCell ref="C57:D57"/>
    <mergeCell ref="C58:D58"/>
    <mergeCell ref="C59:D59"/>
    <mergeCell ref="C60:D60"/>
    <mergeCell ref="A32:B32"/>
    <mergeCell ref="A81:B81"/>
    <mergeCell ref="C81:H81"/>
    <mergeCell ref="C86:D86"/>
    <mergeCell ref="F86:G86"/>
    <mergeCell ref="A88:B88"/>
    <mergeCell ref="C88:F88"/>
    <mergeCell ref="F70:G70"/>
    <mergeCell ref="C79:D79"/>
    <mergeCell ref="F79:G79"/>
    <mergeCell ref="C51:D51"/>
    <mergeCell ref="C52:D52"/>
    <mergeCell ref="C50:D50"/>
    <mergeCell ref="C61:D61"/>
    <mergeCell ref="C62:D62"/>
    <mergeCell ref="C63:D63"/>
    <mergeCell ref="C64:D64"/>
    <mergeCell ref="C66:D66"/>
    <mergeCell ref="C67:D67"/>
    <mergeCell ref="C68:D68"/>
    <mergeCell ref="C69:D69"/>
    <mergeCell ref="C73:D73"/>
    <mergeCell ref="F147:G147"/>
    <mergeCell ref="A149:B149"/>
    <mergeCell ref="C149:H149"/>
    <mergeCell ref="C155:D155"/>
    <mergeCell ref="F156:G156"/>
    <mergeCell ref="A158:B158"/>
    <mergeCell ref="C158:H158"/>
    <mergeCell ref="C143:D143"/>
    <mergeCell ref="C159:D159"/>
    <mergeCell ref="F164:G164"/>
    <mergeCell ref="A166:B166"/>
    <mergeCell ref="C166:H166"/>
    <mergeCell ref="C167:D167"/>
    <mergeCell ref="C171:D171"/>
    <mergeCell ref="C175:D175"/>
    <mergeCell ref="C176:D176"/>
    <mergeCell ref="C162:D162"/>
    <mergeCell ref="C163:D163"/>
    <mergeCell ref="C164:D164"/>
    <mergeCell ref="C172:D172"/>
    <mergeCell ref="C173:D173"/>
    <mergeCell ref="C174:D174"/>
    <mergeCell ref="F178:G178"/>
    <mergeCell ref="A181:B181"/>
    <mergeCell ref="C181:H181"/>
    <mergeCell ref="C184:D184"/>
    <mergeCell ref="C187:D187"/>
    <mergeCell ref="C188:D188"/>
    <mergeCell ref="C192:D192"/>
    <mergeCell ref="F195:G195"/>
    <mergeCell ref="A197:B197"/>
    <mergeCell ref="C197:H197"/>
    <mergeCell ref="C193:D193"/>
    <mergeCell ref="C194:D194"/>
    <mergeCell ref="C195:D195"/>
    <mergeCell ref="C239:D239"/>
    <mergeCell ref="C242:D242"/>
    <mergeCell ref="A253:B253"/>
    <mergeCell ref="C253:F253"/>
    <mergeCell ref="F251:G251"/>
    <mergeCell ref="C259:D259"/>
    <mergeCell ref="C260:D260"/>
    <mergeCell ref="J225:K225"/>
    <mergeCell ref="J226:K226"/>
    <mergeCell ref="J227:K227"/>
    <mergeCell ref="F228:G228"/>
    <mergeCell ref="J228:K228"/>
    <mergeCell ref="J229:K229"/>
    <mergeCell ref="A230:B230"/>
    <mergeCell ref="C230:H230"/>
    <mergeCell ref="C231:D231"/>
    <mergeCell ref="A238:B238"/>
    <mergeCell ref="C250:D250"/>
    <mergeCell ref="C255:D255"/>
    <mergeCell ref="C256:D256"/>
    <mergeCell ref="C257:D257"/>
    <mergeCell ref="C258:D258"/>
    <mergeCell ref="C265:D265"/>
    <mergeCell ref="C266:D266"/>
    <mergeCell ref="C267:D267"/>
    <mergeCell ref="A244:B244"/>
    <mergeCell ref="C244:H244"/>
    <mergeCell ref="C404:D404"/>
    <mergeCell ref="F405:G405"/>
    <mergeCell ref="C382:D382"/>
    <mergeCell ref="C355:D355"/>
    <mergeCell ref="A264:B264"/>
    <mergeCell ref="C264:F264"/>
    <mergeCell ref="C268:D268"/>
    <mergeCell ref="C269:D269"/>
    <mergeCell ref="C261:D261"/>
    <mergeCell ref="C384:D384"/>
    <mergeCell ref="A367:B367"/>
    <mergeCell ref="C368:D368"/>
    <mergeCell ref="C371:D371"/>
    <mergeCell ref="C392:D392"/>
    <mergeCell ref="C397:D397"/>
    <mergeCell ref="C398:D398"/>
    <mergeCell ref="C364:D364"/>
    <mergeCell ref="F365:G365"/>
    <mergeCell ref="C367:H367"/>
    <mergeCell ref="C369:D369"/>
    <mergeCell ref="C370:D370"/>
    <mergeCell ref="F372:G372"/>
    <mergeCell ref="C313:D313"/>
    <mergeCell ref="C301:H301"/>
    <mergeCell ref="F270:G270"/>
    <mergeCell ref="A273:B273"/>
    <mergeCell ref="C277:D277"/>
    <mergeCell ref="F283:G283"/>
    <mergeCell ref="A285:B285"/>
    <mergeCell ref="C285:G285"/>
    <mergeCell ref="F290:G290"/>
    <mergeCell ref="A292:B292"/>
    <mergeCell ref="C292:H292"/>
    <mergeCell ref="C278:D278"/>
    <mergeCell ref="C279:D279"/>
    <mergeCell ref="C280:D280"/>
    <mergeCell ref="C274:D274"/>
    <mergeCell ref="C275:D275"/>
    <mergeCell ref="C276:D276"/>
    <mergeCell ref="C273:D273"/>
    <mergeCell ref="C287:D287"/>
    <mergeCell ref="C288:D288"/>
    <mergeCell ref="C289:D289"/>
    <mergeCell ref="C356:D356"/>
    <mergeCell ref="F357:G357"/>
    <mergeCell ref="A441:B441"/>
    <mergeCell ref="F442:G442"/>
    <mergeCell ref="C441:D441"/>
    <mergeCell ref="A427:B427"/>
    <mergeCell ref="C427:H427"/>
    <mergeCell ref="C433:D433"/>
    <mergeCell ref="F434:G434"/>
    <mergeCell ref="B436:H436"/>
    <mergeCell ref="A437:B437"/>
    <mergeCell ref="A438:B438"/>
    <mergeCell ref="A439:B439"/>
    <mergeCell ref="A440:B440"/>
    <mergeCell ref="C439:D439"/>
    <mergeCell ref="C440:D440"/>
    <mergeCell ref="A407:B407"/>
    <mergeCell ref="C407:F407"/>
    <mergeCell ref="C408:D408"/>
    <mergeCell ref="C411:D411"/>
    <mergeCell ref="F415:G415"/>
    <mergeCell ref="A417:B417"/>
    <mergeCell ref="C417:F417"/>
    <mergeCell ref="F425:G425"/>
  </mergeCells>
  <pageMargins left="0.511811024" right="0.511811024" top="0.78740157499999996" bottom="0.78740157499999996" header="0.31496062000000002" footer="0.31496062000000002"/>
  <pageSetup paperSize="9" scale="7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J33"/>
  <sheetViews>
    <sheetView topLeftCell="A7" zoomScale="70" zoomScaleNormal="70" workbookViewId="0">
      <selection activeCell="A6" sqref="A6"/>
    </sheetView>
  </sheetViews>
  <sheetFormatPr defaultRowHeight="12.75"/>
  <cols>
    <col min="2" max="2" width="54.140625" customWidth="1"/>
    <col min="3" max="3" width="26.42578125" customWidth="1"/>
    <col min="4" max="4" width="12.42578125" customWidth="1"/>
    <col min="5" max="5" width="19.7109375" customWidth="1"/>
    <col min="6" max="6" width="11.28515625" customWidth="1"/>
    <col min="7" max="7" width="25.140625" customWidth="1"/>
    <col min="8" max="8" width="13.28515625" customWidth="1"/>
    <col min="9" max="9" width="18" customWidth="1"/>
    <col min="10" max="10" width="12.5703125" customWidth="1"/>
  </cols>
  <sheetData>
    <row r="1" spans="1:10" ht="20.25">
      <c r="A1" s="349" t="s">
        <v>936</v>
      </c>
      <c r="B1" s="350"/>
      <c r="C1" s="351"/>
      <c r="D1" s="352"/>
      <c r="E1" s="339"/>
      <c r="F1" s="339"/>
      <c r="J1" s="388"/>
    </row>
    <row r="2" spans="1:10" ht="18">
      <c r="A2" s="892" t="s">
        <v>510</v>
      </c>
      <c r="B2" s="893"/>
      <c r="C2" s="340"/>
      <c r="D2" s="340"/>
      <c r="E2" s="340"/>
      <c r="F2" s="340"/>
      <c r="G2" s="896" t="s">
        <v>937</v>
      </c>
      <c r="H2" s="897"/>
      <c r="I2" s="384" t="s">
        <v>959</v>
      </c>
      <c r="J2" s="385"/>
    </row>
    <row r="3" spans="1:10" ht="18">
      <c r="A3" s="892" t="s">
        <v>960</v>
      </c>
      <c r="B3" s="893"/>
      <c r="C3" s="341"/>
      <c r="D3" s="341"/>
      <c r="E3" s="341"/>
      <c r="F3" s="341"/>
      <c r="G3" s="888" t="s">
        <v>938</v>
      </c>
      <c r="H3" s="889"/>
      <c r="I3" s="890"/>
      <c r="J3" s="891"/>
    </row>
    <row r="4" spans="1:10" ht="40.5" customHeight="1">
      <c r="A4" s="898" t="s">
        <v>939</v>
      </c>
      <c r="B4" s="898"/>
      <c r="C4" s="898"/>
      <c r="D4" s="898"/>
      <c r="E4" s="898"/>
      <c r="F4" s="341"/>
      <c r="G4" s="888" t="s">
        <v>940</v>
      </c>
      <c r="H4" s="889"/>
      <c r="I4" s="890"/>
      <c r="J4" s="891"/>
    </row>
    <row r="5" spans="1:10" ht="18" customHeight="1">
      <c r="A5" s="389" t="str">
        <f>CONSOLIDADA!A5</f>
        <v>OBRA: UNIDADE BÁSICA DE SAÚDE - PADRÃO 3</v>
      </c>
      <c r="B5" s="342"/>
      <c r="C5" s="342"/>
      <c r="D5" s="342"/>
      <c r="E5" s="342"/>
      <c r="F5" s="343"/>
      <c r="G5" s="888" t="s">
        <v>961</v>
      </c>
      <c r="H5" s="889"/>
      <c r="I5" s="890"/>
      <c r="J5" s="891"/>
    </row>
    <row r="6" spans="1:10" ht="16.5" customHeight="1">
      <c r="A6" s="390" t="str">
        <f>CONSOLIDADA!A6</f>
        <v xml:space="preserve">ENDEREÇO: RUA NOVA OLIMPIA S/N - COHAB CABO MICHEL </v>
      </c>
      <c r="B6" s="342"/>
      <c r="C6" s="343"/>
      <c r="D6" s="343"/>
      <c r="E6" s="343"/>
      <c r="F6" s="343"/>
      <c r="G6" s="888" t="s">
        <v>941</v>
      </c>
      <c r="H6" s="889"/>
      <c r="I6" s="890"/>
      <c r="J6" s="891"/>
    </row>
    <row r="7" spans="1:10" ht="16.5">
      <c r="A7" s="344" t="str">
        <f>CONSOLIDADA!A7</f>
        <v>MUNICÍPIO:  VARZEA GRANDE- MT</v>
      </c>
      <c r="B7" s="341"/>
      <c r="C7" s="343"/>
      <c r="D7" s="343"/>
      <c r="E7" s="343"/>
      <c r="F7" s="343"/>
      <c r="G7" s="903" t="s">
        <v>942</v>
      </c>
      <c r="H7" s="903"/>
      <c r="I7" s="890"/>
      <c r="J7" s="891"/>
    </row>
    <row r="8" spans="1:10" ht="17.25" thickBot="1">
      <c r="A8" s="353"/>
      <c r="B8" s="345"/>
      <c r="C8" s="346"/>
      <c r="D8" s="346"/>
      <c r="E8" s="346"/>
      <c r="F8" s="346"/>
      <c r="G8" s="346"/>
      <c r="H8" s="347"/>
      <c r="I8" s="347"/>
      <c r="J8" s="348"/>
    </row>
    <row r="9" spans="1:10">
      <c r="A9" s="901" t="s">
        <v>5</v>
      </c>
      <c r="B9" s="901" t="s">
        <v>514</v>
      </c>
      <c r="C9" s="904" t="s">
        <v>962</v>
      </c>
      <c r="D9" s="904" t="s">
        <v>943</v>
      </c>
      <c r="E9" s="906" t="s">
        <v>944</v>
      </c>
      <c r="F9" s="906" t="s">
        <v>943</v>
      </c>
      <c r="G9" s="904" t="s">
        <v>945</v>
      </c>
      <c r="H9" s="906" t="s">
        <v>943</v>
      </c>
      <c r="I9" s="904" t="s">
        <v>946</v>
      </c>
      <c r="J9" s="904" t="s">
        <v>943</v>
      </c>
    </row>
    <row r="10" spans="1:10">
      <c r="A10" s="902"/>
      <c r="B10" s="902"/>
      <c r="C10" s="905"/>
      <c r="D10" s="905"/>
      <c r="E10" s="907"/>
      <c r="F10" s="907"/>
      <c r="G10" s="905"/>
      <c r="H10" s="907"/>
      <c r="I10" s="905"/>
      <c r="J10" s="905"/>
    </row>
    <row r="11" spans="1:10" ht="13.5" thickBot="1">
      <c r="A11" s="902"/>
      <c r="B11" s="902"/>
      <c r="C11" s="905"/>
      <c r="D11" s="905"/>
      <c r="E11" s="907"/>
      <c r="F11" s="907"/>
      <c r="G11" s="905"/>
      <c r="H11" s="907"/>
      <c r="I11" s="905"/>
      <c r="J11" s="905"/>
    </row>
    <row r="12" spans="1:10" ht="16.5" thickBot="1">
      <c r="A12" s="354"/>
      <c r="B12" s="391" t="s">
        <v>516</v>
      </c>
      <c r="C12" s="355"/>
      <c r="D12" s="355"/>
      <c r="E12" s="355"/>
      <c r="F12" s="355"/>
      <c r="G12" s="355"/>
      <c r="H12" s="355"/>
      <c r="I12" s="355"/>
      <c r="J12" s="356"/>
    </row>
    <row r="13" spans="1:10" ht="33">
      <c r="A13" s="392" t="str">
        <f>CONSOLIDADA!A12</f>
        <v>1.0</v>
      </c>
      <c r="B13" s="393" t="str">
        <f>CONSOLIDADA!B12</f>
        <v>MOBILIZAÇÃO - CANTEIRO DE OBRAS - DEMOLIÇÕES</v>
      </c>
      <c r="C13" s="394">
        <f>CONSOLIDADA!C12</f>
        <v>39757.387767579996</v>
      </c>
      <c r="D13" s="395">
        <f t="shared" ref="D13:D23" si="0">C13/C$24</f>
        <v>5.4960726484469064E-2</v>
      </c>
      <c r="E13" s="396"/>
      <c r="F13" s="395" t="e">
        <f>E13/#REF!</f>
        <v>#REF!</v>
      </c>
      <c r="G13" s="396">
        <f>E13</f>
        <v>0</v>
      </c>
      <c r="H13" s="395">
        <f t="shared" ref="H13:H23" si="1">G13/C$24</f>
        <v>0</v>
      </c>
      <c r="I13" s="396">
        <f>C13-G13</f>
        <v>39757.387767579996</v>
      </c>
      <c r="J13" s="395">
        <f t="shared" ref="J13:J23" si="2">I13/C$24</f>
        <v>5.4960726484469064E-2</v>
      </c>
    </row>
    <row r="14" spans="1:10" ht="18">
      <c r="A14" s="392" t="str">
        <f>CONSOLIDADA!A13</f>
        <v>2.0</v>
      </c>
      <c r="B14" s="393" t="str">
        <f>CONSOLIDADA!B13</f>
        <v>COBERTURA</v>
      </c>
      <c r="C14" s="394">
        <f>CONSOLIDADA!C13</f>
        <v>67537.426819046566</v>
      </c>
      <c r="D14" s="395">
        <f t="shared" si="0"/>
        <v>9.3363931870124595E-2</v>
      </c>
      <c r="E14" s="396"/>
      <c r="F14" s="395" t="e">
        <f>E14/#REF!</f>
        <v>#REF!</v>
      </c>
      <c r="G14" s="396">
        <f t="shared" ref="G14:G23" si="3">E14</f>
        <v>0</v>
      </c>
      <c r="H14" s="397">
        <f t="shared" si="1"/>
        <v>0</v>
      </c>
      <c r="I14" s="398">
        <f t="shared" ref="I14:I23" si="4">C14-G14</f>
        <v>67537.426819046566</v>
      </c>
      <c r="J14" s="397">
        <f t="shared" si="2"/>
        <v>9.3363931870124595E-2</v>
      </c>
    </row>
    <row r="15" spans="1:10" ht="18">
      <c r="A15" s="392" t="str">
        <f>CONSOLIDADA!A14</f>
        <v>3.0</v>
      </c>
      <c r="B15" s="393" t="str">
        <f>CONSOLIDADA!B14</f>
        <v>ESTRUTURA</v>
      </c>
      <c r="C15" s="394">
        <f>CONSOLIDADA!C14</f>
        <v>50017.246429963379</v>
      </c>
      <c r="D15" s="395">
        <f t="shared" si="0"/>
        <v>6.9143984424076071E-2</v>
      </c>
      <c r="E15" s="396"/>
      <c r="F15" s="395" t="e">
        <f>E15/#REF!</f>
        <v>#REF!</v>
      </c>
      <c r="G15" s="396">
        <f t="shared" si="3"/>
        <v>0</v>
      </c>
      <c r="H15" s="397">
        <f t="shared" si="1"/>
        <v>0</v>
      </c>
      <c r="I15" s="398">
        <f t="shared" si="4"/>
        <v>50017.246429963379</v>
      </c>
      <c r="J15" s="397">
        <f t="shared" si="2"/>
        <v>6.9143984424076071E-2</v>
      </c>
    </row>
    <row r="16" spans="1:10" ht="18">
      <c r="A16" s="392" t="str">
        <f>CONSOLIDADA!A15</f>
        <v>4.0</v>
      </c>
      <c r="B16" s="393" t="str">
        <f>CONSOLIDADA!B15</f>
        <v>ALVENARIA - VEDAÇÃO</v>
      </c>
      <c r="C16" s="394">
        <f>CONSOLIDADA!C15</f>
        <v>51691.811277545596</v>
      </c>
      <c r="D16" s="399">
        <f t="shared" si="0"/>
        <v>7.1458907655615009E-2</v>
      </c>
      <c r="E16" s="394"/>
      <c r="F16" s="399" t="e">
        <f>E16/#REF!</f>
        <v>#REF!</v>
      </c>
      <c r="G16" s="396">
        <f t="shared" si="3"/>
        <v>0</v>
      </c>
      <c r="H16" s="400">
        <f t="shared" si="1"/>
        <v>0</v>
      </c>
      <c r="I16" s="401">
        <f t="shared" si="4"/>
        <v>51691.811277545596</v>
      </c>
      <c r="J16" s="400">
        <f t="shared" si="2"/>
        <v>7.1458907655615009E-2</v>
      </c>
    </row>
    <row r="17" spans="1:10" ht="18">
      <c r="A17" s="392" t="str">
        <f>CONSOLIDADA!A16</f>
        <v>5.0</v>
      </c>
      <c r="B17" s="393" t="str">
        <f>CONSOLIDADA!B16</f>
        <v>IMPERMEABILIZAÇÃO</v>
      </c>
      <c r="C17" s="394">
        <f>CONSOLIDADA!C16</f>
        <v>171.46098368</v>
      </c>
      <c r="D17" s="399">
        <f t="shared" si="0"/>
        <v>2.3702815390901882E-4</v>
      </c>
      <c r="E17" s="394"/>
      <c r="F17" s="399" t="e">
        <f>E17/#REF!</f>
        <v>#REF!</v>
      </c>
      <c r="G17" s="396">
        <f t="shared" si="3"/>
        <v>0</v>
      </c>
      <c r="H17" s="400">
        <f t="shared" si="1"/>
        <v>0</v>
      </c>
      <c r="I17" s="401">
        <f t="shared" si="4"/>
        <v>171.46098368</v>
      </c>
      <c r="J17" s="400">
        <f t="shared" si="2"/>
        <v>2.3702815390901882E-4</v>
      </c>
    </row>
    <row r="18" spans="1:10" ht="18.75" customHeight="1">
      <c r="A18" s="392" t="str">
        <f>CONSOLIDADA!A17</f>
        <v>6.0</v>
      </c>
      <c r="B18" s="393" t="str">
        <f>CONSOLIDADA!B17</f>
        <v>REVESTIMENTOS - PISOS, PAREDES E TETOS</v>
      </c>
      <c r="C18" s="394">
        <f>CONSOLIDADA!C17</f>
        <v>214716.87445278847</v>
      </c>
      <c r="D18" s="399">
        <f t="shared" si="0"/>
        <v>0.29682522094730945</v>
      </c>
      <c r="E18" s="394"/>
      <c r="F18" s="399" t="e">
        <f>E18/#REF!</f>
        <v>#REF!</v>
      </c>
      <c r="G18" s="396">
        <f t="shared" si="3"/>
        <v>0</v>
      </c>
      <c r="H18" s="400">
        <f t="shared" si="1"/>
        <v>0</v>
      </c>
      <c r="I18" s="401">
        <f t="shared" si="4"/>
        <v>214716.87445278847</v>
      </c>
      <c r="J18" s="400">
        <f t="shared" si="2"/>
        <v>0.29682522094730945</v>
      </c>
    </row>
    <row r="19" spans="1:10" ht="18">
      <c r="A19" s="392" t="str">
        <f>CONSOLIDADA!A18</f>
        <v>7.0</v>
      </c>
      <c r="B19" s="393" t="str">
        <f>CONSOLIDADA!B18</f>
        <v>ESQUARIAS</v>
      </c>
      <c r="C19" s="394">
        <f>CONSOLIDADA!C18</f>
        <v>114165.56645033065</v>
      </c>
      <c r="D19" s="395">
        <f t="shared" si="0"/>
        <v>0.15782280536896129</v>
      </c>
      <c r="E19" s="396"/>
      <c r="F19" s="395" t="e">
        <f>E19/#REF!</f>
        <v>#REF!</v>
      </c>
      <c r="G19" s="396">
        <f t="shared" si="3"/>
        <v>0</v>
      </c>
      <c r="H19" s="397">
        <f t="shared" si="1"/>
        <v>0</v>
      </c>
      <c r="I19" s="398">
        <f t="shared" si="4"/>
        <v>114165.56645033065</v>
      </c>
      <c r="J19" s="397">
        <f t="shared" si="2"/>
        <v>0.15782280536896129</v>
      </c>
    </row>
    <row r="20" spans="1:10" ht="18">
      <c r="A20" s="392" t="str">
        <f>CONSOLIDADA!A19</f>
        <v>8.0</v>
      </c>
      <c r="B20" s="393" t="str">
        <f>CONSOLIDADA!B19</f>
        <v>INSTALAÇÕES ELETRICAS</v>
      </c>
      <c r="C20" s="394">
        <f>CONSOLIDADA!C19</f>
        <v>72496.906104000009</v>
      </c>
      <c r="D20" s="395">
        <f t="shared" si="0"/>
        <v>0.10021993020882802</v>
      </c>
      <c r="E20" s="396"/>
      <c r="F20" s="395" t="e">
        <f>E20/#REF!</f>
        <v>#REF!</v>
      </c>
      <c r="G20" s="396">
        <f t="shared" si="3"/>
        <v>0</v>
      </c>
      <c r="H20" s="397">
        <f t="shared" si="1"/>
        <v>0</v>
      </c>
      <c r="I20" s="398">
        <f t="shared" si="4"/>
        <v>72496.906104000009</v>
      </c>
      <c r="J20" s="397">
        <f t="shared" si="2"/>
        <v>0.10021993020882802</v>
      </c>
    </row>
    <row r="21" spans="1:10" ht="18">
      <c r="A21" s="392" t="str">
        <f>CONSOLIDADA!A20</f>
        <v>9.0</v>
      </c>
      <c r="B21" s="393" t="str">
        <f>CONSOLIDADA!B20</f>
        <v>INSTALAÇÕES HIDROSANITARIAS</v>
      </c>
      <c r="C21" s="394">
        <f>CONSOLIDADA!C20</f>
        <v>94810.94275133012</v>
      </c>
      <c r="D21" s="395">
        <f t="shared" si="0"/>
        <v>0.13106691824807715</v>
      </c>
      <c r="E21" s="396"/>
      <c r="F21" s="395" t="e">
        <f>E21/#REF!</f>
        <v>#REF!</v>
      </c>
      <c r="G21" s="396">
        <f t="shared" si="3"/>
        <v>0</v>
      </c>
      <c r="H21" s="397">
        <f t="shared" si="1"/>
        <v>0</v>
      </c>
      <c r="I21" s="398">
        <f t="shared" si="4"/>
        <v>94810.94275133012</v>
      </c>
      <c r="J21" s="397">
        <f t="shared" si="2"/>
        <v>0.13106691824807715</v>
      </c>
    </row>
    <row r="22" spans="1:10" ht="18">
      <c r="A22" s="392" t="str">
        <f>CONSOLIDADA!A21</f>
        <v>10.0</v>
      </c>
      <c r="B22" s="393" t="str">
        <f>CONSOLIDADA!B21</f>
        <v>REDE AR COMPRIMIDO</v>
      </c>
      <c r="C22" s="394">
        <f>CONSOLIDADA!C21</f>
        <v>15621.580806854399</v>
      </c>
      <c r="D22" s="395">
        <f t="shared" si="0"/>
        <v>2.1595317956998081E-2</v>
      </c>
      <c r="E22" s="396"/>
      <c r="F22" s="395" t="e">
        <f>E22/#REF!</f>
        <v>#REF!</v>
      </c>
      <c r="G22" s="396">
        <f t="shared" si="3"/>
        <v>0</v>
      </c>
      <c r="H22" s="397">
        <f t="shared" si="1"/>
        <v>0</v>
      </c>
      <c r="I22" s="398">
        <f t="shared" si="4"/>
        <v>15621.580806854399</v>
      </c>
      <c r="J22" s="397">
        <f t="shared" si="2"/>
        <v>2.1595317956998081E-2</v>
      </c>
    </row>
    <row r="23" spans="1:10" ht="18.75" thickBot="1">
      <c r="A23" s="392" t="str">
        <f>CONSOLIDADA!A22</f>
        <v>11.0</v>
      </c>
      <c r="B23" s="393" t="str">
        <f>CONSOLIDADA!B22</f>
        <v>DIVERSOS E LIMPEZA DA OBRA</v>
      </c>
      <c r="C23" s="394">
        <f>CONSOLIDADA!C22</f>
        <v>2390.9301561599996</v>
      </c>
      <c r="D23" s="395">
        <f t="shared" si="0"/>
        <v>3.3052286816322011E-3</v>
      </c>
      <c r="E23" s="396"/>
      <c r="F23" s="395" t="e">
        <f>E23/#REF!</f>
        <v>#REF!</v>
      </c>
      <c r="G23" s="396">
        <f t="shared" si="3"/>
        <v>0</v>
      </c>
      <c r="H23" s="397">
        <f t="shared" si="1"/>
        <v>0</v>
      </c>
      <c r="I23" s="398">
        <f t="shared" si="4"/>
        <v>2390.9301561599996</v>
      </c>
      <c r="J23" s="397">
        <f t="shared" si="2"/>
        <v>3.3052286816322011E-3</v>
      </c>
    </row>
    <row r="24" spans="1:10" ht="18.75" thickBot="1">
      <c r="A24" s="899" t="s">
        <v>290</v>
      </c>
      <c r="B24" s="900"/>
      <c r="C24" s="357">
        <f t="shared" ref="C24:J24" si="5">SUM(C13:C23)</f>
        <v>723378.13399927923</v>
      </c>
      <c r="D24" s="358">
        <f t="shared" si="5"/>
        <v>1</v>
      </c>
      <c r="E24" s="357">
        <f t="shared" si="5"/>
        <v>0</v>
      </c>
      <c r="F24" s="358" t="e">
        <f t="shared" si="5"/>
        <v>#REF!</v>
      </c>
      <c r="G24" s="359">
        <f t="shared" si="5"/>
        <v>0</v>
      </c>
      <c r="H24" s="358">
        <f t="shared" si="5"/>
        <v>0</v>
      </c>
      <c r="I24" s="357">
        <f t="shared" si="5"/>
        <v>723378.13399927923</v>
      </c>
      <c r="J24" s="358">
        <f t="shared" si="5"/>
        <v>1</v>
      </c>
    </row>
    <row r="25" spans="1:10" ht="15.75">
      <c r="A25" s="360"/>
      <c r="B25" s="361" t="s">
        <v>947</v>
      </c>
      <c r="C25" s="362"/>
      <c r="D25" s="363"/>
      <c r="E25" s="364"/>
      <c r="F25" s="364"/>
      <c r="G25" s="363"/>
      <c r="H25" s="363"/>
      <c r="I25" s="363"/>
      <c r="J25" s="365"/>
    </row>
    <row r="26" spans="1:10" ht="16.5" thickBot="1">
      <c r="A26" s="360"/>
      <c r="B26" s="361"/>
      <c r="C26" s="362"/>
      <c r="D26" s="364"/>
      <c r="E26" s="364"/>
      <c r="F26" s="364"/>
      <c r="G26" s="363"/>
      <c r="H26" s="363"/>
      <c r="I26" s="366"/>
      <c r="J26" s="365"/>
    </row>
    <row r="27" spans="1:10" ht="18.75" thickBot="1">
      <c r="A27" s="360"/>
      <c r="B27" s="367" t="s">
        <v>948</v>
      </c>
      <c r="C27" s="368">
        <f>C25</f>
        <v>0</v>
      </c>
      <c r="D27" s="369">
        <f>C27/C24</f>
        <v>0</v>
      </c>
      <c r="E27" s="364"/>
      <c r="F27" s="364"/>
      <c r="G27" s="363"/>
      <c r="H27" s="363"/>
      <c r="I27" s="363"/>
      <c r="J27" s="365"/>
    </row>
    <row r="28" spans="1:10" ht="15.75">
      <c r="A28" s="360"/>
      <c r="B28" s="370" t="s">
        <v>949</v>
      </c>
      <c r="C28" s="371" t="s">
        <v>950</v>
      </c>
      <c r="D28" s="364"/>
      <c r="E28" s="364"/>
      <c r="F28" s="364"/>
      <c r="G28" s="363"/>
      <c r="H28" s="363"/>
      <c r="I28" s="363"/>
      <c r="J28" s="365"/>
    </row>
    <row r="29" spans="1:10" ht="18">
      <c r="A29" s="372"/>
      <c r="B29" s="373"/>
      <c r="C29" s="908"/>
      <c r="D29" s="908"/>
      <c r="E29" s="908"/>
      <c r="F29" s="908"/>
      <c r="G29" s="908"/>
      <c r="H29" s="908"/>
      <c r="I29" s="908"/>
      <c r="J29" s="909"/>
    </row>
    <row r="30" spans="1:10" ht="15.75">
      <c r="A30" s="372"/>
      <c r="B30" s="374" t="s">
        <v>951</v>
      </c>
      <c r="C30" s="364"/>
      <c r="D30" s="910" t="s">
        <v>952</v>
      </c>
      <c r="E30" s="910"/>
      <c r="F30" s="364"/>
      <c r="G30" s="911" t="s">
        <v>953</v>
      </c>
      <c r="H30" s="911"/>
      <c r="I30" s="911"/>
      <c r="J30" s="375"/>
    </row>
    <row r="31" spans="1:10" ht="15.75">
      <c r="A31" s="376"/>
      <c r="B31" s="377" t="s">
        <v>954</v>
      </c>
      <c r="C31" s="363"/>
      <c r="D31" s="894" t="s">
        <v>955</v>
      </c>
      <c r="E31" s="894"/>
      <c r="F31" s="363"/>
      <c r="G31" s="895" t="s">
        <v>956</v>
      </c>
      <c r="H31" s="895"/>
      <c r="I31" s="895"/>
      <c r="J31" s="378"/>
    </row>
    <row r="32" spans="1:10" ht="15.75">
      <c r="A32" s="376"/>
      <c r="B32" s="377" t="s">
        <v>957</v>
      </c>
      <c r="C32" s="363"/>
      <c r="D32" s="894" t="s">
        <v>963</v>
      </c>
      <c r="E32" s="894"/>
      <c r="F32" s="363"/>
      <c r="G32" s="895" t="s">
        <v>958</v>
      </c>
      <c r="H32" s="895"/>
      <c r="I32" s="895"/>
      <c r="J32" s="378"/>
    </row>
    <row r="33" spans="1:10" ht="16.5" thickBot="1">
      <c r="A33" s="379"/>
      <c r="B33" s="380"/>
      <c r="C33" s="381"/>
      <c r="D33" s="381"/>
      <c r="E33" s="381"/>
      <c r="F33" s="381"/>
      <c r="G33" s="382"/>
      <c r="H33" s="382"/>
      <c r="I33" s="382"/>
      <c r="J33" s="383"/>
    </row>
  </sheetData>
  <mergeCells count="32">
    <mergeCell ref="I4:J4"/>
    <mergeCell ref="G5:H5"/>
    <mergeCell ref="I5:J5"/>
    <mergeCell ref="D32:E32"/>
    <mergeCell ref="G32:I32"/>
    <mergeCell ref="G9:G11"/>
    <mergeCell ref="H9:H11"/>
    <mergeCell ref="I9:I11"/>
    <mergeCell ref="C29:J29"/>
    <mergeCell ref="C9:C11"/>
    <mergeCell ref="D9:D11"/>
    <mergeCell ref="E9:E11"/>
    <mergeCell ref="F9:F11"/>
    <mergeCell ref="D30:E30"/>
    <mergeCell ref="G30:I30"/>
    <mergeCell ref="J9:J11"/>
    <mergeCell ref="G6:H6"/>
    <mergeCell ref="I6:J6"/>
    <mergeCell ref="A2:B2"/>
    <mergeCell ref="A3:B3"/>
    <mergeCell ref="D31:E31"/>
    <mergeCell ref="G31:I31"/>
    <mergeCell ref="G3:H3"/>
    <mergeCell ref="I3:J3"/>
    <mergeCell ref="G2:H2"/>
    <mergeCell ref="A4:E4"/>
    <mergeCell ref="A24:B24"/>
    <mergeCell ref="A9:A11"/>
    <mergeCell ref="B9:B11"/>
    <mergeCell ref="G7:H7"/>
    <mergeCell ref="I7:J7"/>
    <mergeCell ref="G4:H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>
  <dimension ref="A1:F83"/>
  <sheetViews>
    <sheetView view="pageBreakPreview" zoomScaleNormal="110" zoomScaleSheetLayoutView="100" workbookViewId="0">
      <selection activeCell="G5" sqref="G5"/>
    </sheetView>
  </sheetViews>
  <sheetFormatPr defaultRowHeight="12.75"/>
  <cols>
    <col min="1" max="1" width="6.5703125" customWidth="1"/>
    <col min="2" max="2" width="33.85546875" customWidth="1"/>
    <col min="3" max="3" width="42.85546875" customWidth="1"/>
    <col min="4" max="4" width="14.7109375" style="289" customWidth="1"/>
    <col min="5" max="5" width="15.28515625" customWidth="1"/>
  </cols>
  <sheetData>
    <row r="1" spans="1:5">
      <c r="A1" s="4" t="s">
        <v>132</v>
      </c>
      <c r="B1" s="5"/>
      <c r="C1" s="5"/>
      <c r="D1" s="687"/>
      <c r="E1" s="687"/>
    </row>
    <row r="2" spans="1:5">
      <c r="A2" s="7" t="s">
        <v>133</v>
      </c>
      <c r="B2" s="5"/>
      <c r="C2" s="8" t="s">
        <v>134</v>
      </c>
      <c r="D2" s="597">
        <v>0.28239999999999998</v>
      </c>
      <c r="E2" s="687"/>
    </row>
    <row r="3" spans="1:5">
      <c r="A3" s="4" t="s">
        <v>135</v>
      </c>
      <c r="B3" s="5"/>
      <c r="C3" s="5"/>
      <c r="D3" s="687"/>
      <c r="E3" s="687"/>
    </row>
    <row r="4" spans="1:5">
      <c r="A4" s="4" t="s">
        <v>136</v>
      </c>
      <c r="B4" s="5"/>
      <c r="C4" s="5"/>
      <c r="D4" s="687"/>
      <c r="E4" s="687"/>
    </row>
    <row r="5" spans="1:5" ht="17.25" thickBot="1">
      <c r="A5" s="9"/>
      <c r="B5" s="9"/>
      <c r="C5" s="9"/>
      <c r="D5" s="10"/>
      <c r="E5" s="687"/>
    </row>
    <row r="6" spans="1:5" ht="13.5" thickBot="1">
      <c r="A6" s="157" t="s">
        <v>287</v>
      </c>
      <c r="B6" s="158" t="s">
        <v>288</v>
      </c>
      <c r="C6" s="159" t="s">
        <v>289</v>
      </c>
      <c r="D6" s="322" t="s">
        <v>290</v>
      </c>
      <c r="E6" s="160" t="s">
        <v>291</v>
      </c>
    </row>
    <row r="7" spans="1:5" ht="13.5" thickBot="1">
      <c r="A7" s="161" t="s">
        <v>517</v>
      </c>
      <c r="B7" s="162" t="s">
        <v>292</v>
      </c>
      <c r="C7" s="163"/>
      <c r="D7" s="323"/>
      <c r="E7" s="164"/>
    </row>
    <row r="8" spans="1:5">
      <c r="A8" s="245" t="s">
        <v>6</v>
      </c>
      <c r="B8" s="246" t="s">
        <v>293</v>
      </c>
      <c r="C8" s="247" t="s">
        <v>737</v>
      </c>
      <c r="D8" s="324">
        <v>1008.5</v>
      </c>
      <c r="E8" s="248" t="s">
        <v>28</v>
      </c>
    </row>
    <row r="9" spans="1:5">
      <c r="A9" s="245" t="s">
        <v>553</v>
      </c>
      <c r="B9" s="246" t="s">
        <v>294</v>
      </c>
      <c r="C9" s="247" t="s">
        <v>786</v>
      </c>
      <c r="D9" s="324">
        <v>204.67</v>
      </c>
      <c r="E9" s="248" t="s">
        <v>28</v>
      </c>
    </row>
    <row r="10" spans="1:5">
      <c r="A10" s="245" t="s">
        <v>7</v>
      </c>
      <c r="B10" s="249" t="s">
        <v>295</v>
      </c>
      <c r="C10" s="250" t="s">
        <v>296</v>
      </c>
      <c r="D10" s="324">
        <f>4*3.5</f>
        <v>14</v>
      </c>
      <c r="E10" s="248" t="s">
        <v>28</v>
      </c>
    </row>
    <row r="11" spans="1:5">
      <c r="A11" s="250" t="s">
        <v>8</v>
      </c>
      <c r="B11" s="249" t="s">
        <v>297</v>
      </c>
      <c r="C11" s="250" t="s">
        <v>298</v>
      </c>
      <c r="D11" s="325">
        <v>445.65</v>
      </c>
      <c r="E11" s="250" t="s">
        <v>28</v>
      </c>
    </row>
    <row r="12" spans="1:5">
      <c r="A12" s="250" t="s">
        <v>9</v>
      </c>
      <c r="B12" s="249" t="s">
        <v>299</v>
      </c>
      <c r="C12" s="250" t="s">
        <v>428</v>
      </c>
      <c r="D12" s="325">
        <v>4.5</v>
      </c>
      <c r="E12" s="250" t="s">
        <v>28</v>
      </c>
    </row>
    <row r="13" spans="1:5">
      <c r="A13" s="250" t="s">
        <v>10</v>
      </c>
      <c r="B13" s="249" t="s">
        <v>429</v>
      </c>
      <c r="C13" s="293" t="s">
        <v>785</v>
      </c>
      <c r="D13" s="325">
        <v>109.48</v>
      </c>
      <c r="E13" s="250" t="s">
        <v>31</v>
      </c>
    </row>
    <row r="14" spans="1:5">
      <c r="A14" s="250" t="s">
        <v>11</v>
      </c>
      <c r="B14" s="249" t="s">
        <v>541</v>
      </c>
      <c r="C14" s="293" t="s">
        <v>738</v>
      </c>
      <c r="D14" s="325">
        <v>130.25</v>
      </c>
      <c r="E14" s="250" t="s">
        <v>28</v>
      </c>
    </row>
    <row r="15" spans="1:5">
      <c r="A15" s="250" t="s">
        <v>742</v>
      </c>
      <c r="B15" s="249" t="s">
        <v>739</v>
      </c>
      <c r="C15" s="293" t="s">
        <v>738</v>
      </c>
      <c r="D15" s="325">
        <v>429.17</v>
      </c>
      <c r="E15" s="250" t="s">
        <v>28</v>
      </c>
    </row>
    <row r="16" spans="1:5">
      <c r="A16" s="250" t="s">
        <v>12</v>
      </c>
      <c r="B16" s="249" t="s">
        <v>741</v>
      </c>
      <c r="C16" s="293" t="s">
        <v>738</v>
      </c>
      <c r="D16" s="325">
        <v>429.17</v>
      </c>
      <c r="E16" s="250" t="s">
        <v>28</v>
      </c>
    </row>
    <row r="17" spans="1:6" ht="22.5">
      <c r="A17" s="250" t="s">
        <v>542</v>
      </c>
      <c r="B17" s="249" t="s">
        <v>540</v>
      </c>
      <c r="C17" s="293" t="s">
        <v>749</v>
      </c>
      <c r="D17" s="325">
        <f>D14*0.06+D16*0.05</f>
        <v>29.273499999999999</v>
      </c>
      <c r="E17" s="250" t="s">
        <v>30</v>
      </c>
    </row>
    <row r="18" spans="1:6">
      <c r="A18" s="250" t="s">
        <v>545</v>
      </c>
      <c r="B18" s="249" t="s">
        <v>748</v>
      </c>
      <c r="C18" s="293" t="s">
        <v>781</v>
      </c>
      <c r="D18" s="325">
        <f>D17*30</f>
        <v>878.20499999999993</v>
      </c>
      <c r="E18" s="250" t="s">
        <v>30</v>
      </c>
    </row>
    <row r="19" spans="1:6" ht="13.5" thickBot="1">
      <c r="A19" s="294" t="s">
        <v>518</v>
      </c>
      <c r="B19" s="295" t="s">
        <v>21</v>
      </c>
      <c r="C19" s="296"/>
      <c r="D19" s="326"/>
      <c r="E19" s="297"/>
    </row>
    <row r="20" spans="1:6" ht="22.5">
      <c r="A20" s="273" t="s">
        <v>300</v>
      </c>
      <c r="B20" s="264" t="s">
        <v>311</v>
      </c>
      <c r="C20" s="262" t="s">
        <v>312</v>
      </c>
      <c r="D20" s="321">
        <v>0</v>
      </c>
      <c r="E20" s="272" t="s">
        <v>28</v>
      </c>
    </row>
    <row r="21" spans="1:6" ht="22.5">
      <c r="A21" s="273" t="s">
        <v>551</v>
      </c>
      <c r="B21" s="264" t="s">
        <v>440</v>
      </c>
      <c r="C21" s="262" t="s">
        <v>312</v>
      </c>
      <c r="D21" s="321">
        <v>485.5</v>
      </c>
      <c r="E21" s="272" t="s">
        <v>28</v>
      </c>
    </row>
    <row r="22" spans="1:6">
      <c r="A22" s="273" t="s">
        <v>552</v>
      </c>
      <c r="B22" s="264" t="s">
        <v>313</v>
      </c>
      <c r="C22" s="262" t="s">
        <v>312</v>
      </c>
      <c r="D22" s="321">
        <v>0</v>
      </c>
      <c r="E22" s="272" t="s">
        <v>28</v>
      </c>
    </row>
    <row r="23" spans="1:6" ht="13.5" thickBot="1">
      <c r="A23" s="273" t="s">
        <v>13</v>
      </c>
      <c r="B23" s="264" t="s">
        <v>314</v>
      </c>
      <c r="C23" s="262" t="s">
        <v>312</v>
      </c>
      <c r="D23" s="321">
        <v>485.5</v>
      </c>
      <c r="E23" s="272" t="s">
        <v>28</v>
      </c>
    </row>
    <row r="24" spans="1:6" ht="13.5" thickBot="1">
      <c r="A24" s="161" t="s">
        <v>519</v>
      </c>
      <c r="B24" s="162" t="s">
        <v>23</v>
      </c>
      <c r="C24" s="163"/>
      <c r="D24" s="323"/>
      <c r="E24" s="164"/>
    </row>
    <row r="25" spans="1:6" ht="13.5" thickBot="1">
      <c r="A25" s="267"/>
      <c r="B25" s="268" t="s">
        <v>764</v>
      </c>
      <c r="C25" s="262" t="s">
        <v>301</v>
      </c>
      <c r="D25" s="327">
        <f>CALCULO_ESTRUTURA!A354</f>
        <v>65.956006849999994</v>
      </c>
      <c r="E25" s="269" t="s">
        <v>28</v>
      </c>
      <c r="F25" t="s">
        <v>554</v>
      </c>
    </row>
    <row r="26" spans="1:6">
      <c r="A26" s="267"/>
      <c r="B26" s="268" t="s">
        <v>765</v>
      </c>
      <c r="C26" s="262" t="s">
        <v>301</v>
      </c>
      <c r="D26" s="327">
        <f>CALCULO_ESTRUTURA!B354</f>
        <v>143.42325</v>
      </c>
      <c r="E26" s="269" t="s">
        <v>28</v>
      </c>
    </row>
    <row r="27" spans="1:6">
      <c r="A27" s="270"/>
      <c r="B27" s="246" t="s">
        <v>302</v>
      </c>
      <c r="C27" s="262" t="s">
        <v>301</v>
      </c>
      <c r="D27" s="321">
        <f>CALCULO_ESTRUTURA!H351</f>
        <v>1209.6267900639996</v>
      </c>
      <c r="E27" s="263" t="s">
        <v>32</v>
      </c>
    </row>
    <row r="28" spans="1:6">
      <c r="A28" s="270"/>
      <c r="B28" s="249" t="s">
        <v>303</v>
      </c>
      <c r="C28" s="262" t="s">
        <v>301</v>
      </c>
      <c r="D28" s="321">
        <f>CALCULO_ESTRUTURA!G351</f>
        <v>197.86628966079999</v>
      </c>
      <c r="E28" s="248" t="s">
        <v>32</v>
      </c>
    </row>
    <row r="29" spans="1:6">
      <c r="A29" s="270"/>
      <c r="B29" s="249" t="s">
        <v>767</v>
      </c>
      <c r="C29" s="262" t="s">
        <v>301</v>
      </c>
      <c r="D29" s="321">
        <f>CALCULO_ESTRUTURA!D354</f>
        <v>4.5119999999999996</v>
      </c>
      <c r="E29" s="248" t="s">
        <v>30</v>
      </c>
    </row>
    <row r="30" spans="1:6">
      <c r="A30" s="270"/>
      <c r="B30" s="249" t="s">
        <v>768</v>
      </c>
      <c r="C30" s="262" t="s">
        <v>301</v>
      </c>
      <c r="D30" s="321">
        <f>CALCULO_ESTRUTURA!C354</f>
        <v>13.905601027499999</v>
      </c>
      <c r="E30" s="248" t="s">
        <v>30</v>
      </c>
    </row>
    <row r="31" spans="1:6" ht="13.5" thickBot="1">
      <c r="A31" s="271"/>
      <c r="B31" s="265" t="s">
        <v>548</v>
      </c>
      <c r="C31" s="262" t="s">
        <v>646</v>
      </c>
      <c r="D31" s="328">
        <v>41.25</v>
      </c>
      <c r="E31" s="266" t="s">
        <v>30</v>
      </c>
    </row>
    <row r="32" spans="1:6" ht="13.5" thickBot="1">
      <c r="A32" s="161" t="s">
        <v>520</v>
      </c>
      <c r="B32" s="162" t="s">
        <v>306</v>
      </c>
      <c r="C32" s="163"/>
      <c r="D32" s="323"/>
      <c r="E32" s="164"/>
    </row>
    <row r="33" spans="1:5">
      <c r="A33" s="245"/>
      <c r="B33" s="246" t="s">
        <v>307</v>
      </c>
      <c r="C33" s="262" t="s">
        <v>308</v>
      </c>
      <c r="D33" s="324">
        <f>ALVENARIA!D13</f>
        <v>265.90049999999997</v>
      </c>
      <c r="E33" s="263" t="s">
        <v>28</v>
      </c>
    </row>
    <row r="34" spans="1:5" ht="13.5" thickBot="1">
      <c r="A34" s="275"/>
      <c r="B34" s="265" t="s">
        <v>309</v>
      </c>
      <c r="C34" s="274" t="s">
        <v>310</v>
      </c>
      <c r="D34" s="329">
        <v>228.3</v>
      </c>
      <c r="E34" s="266" t="s">
        <v>31</v>
      </c>
    </row>
    <row r="35" spans="1:5">
      <c r="A35" s="270"/>
      <c r="B35" s="249" t="s">
        <v>666</v>
      </c>
      <c r="C35" s="262" t="s">
        <v>782</v>
      </c>
      <c r="D35" s="321">
        <v>88.83</v>
      </c>
      <c r="E35" s="248" t="s">
        <v>31</v>
      </c>
    </row>
    <row r="36" spans="1:5" ht="13.5" thickBot="1">
      <c r="A36" s="270"/>
      <c r="B36" s="249" t="s">
        <v>783</v>
      </c>
      <c r="C36" s="262" t="s">
        <v>784</v>
      </c>
      <c r="D36" s="321">
        <v>141.28</v>
      </c>
      <c r="E36" s="248" t="s">
        <v>28</v>
      </c>
    </row>
    <row r="37" spans="1:5" ht="13.5" thickBot="1">
      <c r="A37" s="161" t="s">
        <v>305</v>
      </c>
      <c r="B37" s="162" t="s">
        <v>27</v>
      </c>
      <c r="C37" s="163"/>
      <c r="D37" s="323"/>
      <c r="E37" s="164"/>
    </row>
    <row r="38" spans="1:5">
      <c r="A38" s="245"/>
      <c r="B38" s="276" t="s">
        <v>717</v>
      </c>
      <c r="C38" s="262" t="s">
        <v>718</v>
      </c>
      <c r="D38" s="324">
        <f>ALVENARIA!K72</f>
        <v>418.26150000000013</v>
      </c>
      <c r="E38" s="248" t="s">
        <v>28</v>
      </c>
    </row>
    <row r="39" spans="1:5">
      <c r="A39" s="245"/>
      <c r="B39" s="276" t="s">
        <v>323</v>
      </c>
      <c r="C39" s="262" t="s">
        <v>723</v>
      </c>
      <c r="D39" s="324">
        <v>259.74</v>
      </c>
      <c r="E39" s="248" t="s">
        <v>28</v>
      </c>
    </row>
    <row r="40" spans="1:5">
      <c r="A40" s="245"/>
      <c r="B40" s="276" t="s">
        <v>324</v>
      </c>
      <c r="C40" s="262" t="s">
        <v>316</v>
      </c>
      <c r="D40" s="324">
        <f>D38</f>
        <v>418.26150000000013</v>
      </c>
      <c r="E40" s="248" t="s">
        <v>28</v>
      </c>
    </row>
    <row r="41" spans="1:5">
      <c r="A41" s="245"/>
      <c r="B41" s="276" t="s">
        <v>325</v>
      </c>
      <c r="C41" s="262" t="s">
        <v>326</v>
      </c>
      <c r="D41" s="324">
        <v>310.2</v>
      </c>
      <c r="E41" s="248" t="s">
        <v>31</v>
      </c>
    </row>
    <row r="42" spans="1:5">
      <c r="A42" s="245"/>
      <c r="B42" s="276" t="s">
        <v>719</v>
      </c>
      <c r="C42" s="262" t="s">
        <v>453</v>
      </c>
      <c r="D42" s="324">
        <v>75.819999999999993</v>
      </c>
      <c r="E42" s="248" t="s">
        <v>31</v>
      </c>
    </row>
    <row r="43" spans="1:5" ht="13.5" thickBot="1">
      <c r="A43" s="245"/>
      <c r="B43" s="276" t="s">
        <v>720</v>
      </c>
      <c r="C43" s="262" t="s">
        <v>721</v>
      </c>
      <c r="D43" s="324">
        <f>D42*0.45</f>
        <v>34.119</v>
      </c>
      <c r="E43" s="248" t="s">
        <v>31</v>
      </c>
    </row>
    <row r="44" spans="1:5" ht="13.5" thickBot="1">
      <c r="A44" s="161"/>
      <c r="B44" s="162" t="s">
        <v>319</v>
      </c>
      <c r="C44" s="163"/>
      <c r="D44" s="323"/>
      <c r="E44" s="164"/>
    </row>
    <row r="45" spans="1:5">
      <c r="A45" s="245"/>
      <c r="B45" s="276" t="s">
        <v>320</v>
      </c>
      <c r="C45" s="262" t="s">
        <v>452</v>
      </c>
      <c r="D45" s="324">
        <f>ALVENARIA!F24</f>
        <v>841.55499999999995</v>
      </c>
      <c r="E45" s="263" t="s">
        <v>28</v>
      </c>
    </row>
    <row r="46" spans="1:5">
      <c r="A46" s="245"/>
      <c r="B46" s="276" t="s">
        <v>321</v>
      </c>
      <c r="C46" s="262" t="s">
        <v>452</v>
      </c>
      <c r="D46" s="324">
        <f>D45</f>
        <v>841.55499999999995</v>
      </c>
      <c r="E46" s="248" t="s">
        <v>28</v>
      </c>
    </row>
    <row r="47" spans="1:5">
      <c r="A47" s="245"/>
      <c r="B47" s="276" t="s">
        <v>322</v>
      </c>
      <c r="C47" s="262" t="s">
        <v>316</v>
      </c>
      <c r="D47" s="324">
        <f>ALVENARIA!K68</f>
        <v>187.36999999999995</v>
      </c>
      <c r="E47" s="248" t="s">
        <v>28</v>
      </c>
    </row>
    <row r="48" spans="1:5">
      <c r="A48" s="250"/>
      <c r="B48" s="284" t="s">
        <v>667</v>
      </c>
      <c r="C48" s="262" t="s">
        <v>724</v>
      </c>
      <c r="D48" s="325">
        <f>ALVENARIA!K73</f>
        <v>963.06200000000001</v>
      </c>
      <c r="E48" s="250" t="s">
        <v>28</v>
      </c>
    </row>
    <row r="49" spans="1:5">
      <c r="A49" s="250"/>
      <c r="B49" s="284" t="s">
        <v>726</v>
      </c>
      <c r="C49" s="262" t="s">
        <v>727</v>
      </c>
      <c r="D49" s="325">
        <f>ALVENARIA!K71</f>
        <v>608.54999999999995</v>
      </c>
      <c r="E49" s="250" t="s">
        <v>28</v>
      </c>
    </row>
    <row r="50" spans="1:5">
      <c r="A50" s="250"/>
      <c r="B50" s="284" t="s">
        <v>454</v>
      </c>
      <c r="C50" s="262" t="s">
        <v>728</v>
      </c>
      <c r="D50" s="325">
        <f>ALVENARIA!K69</f>
        <v>161.98999999999998</v>
      </c>
      <c r="E50" s="250" t="s">
        <v>28</v>
      </c>
    </row>
    <row r="51" spans="1:5">
      <c r="A51" s="250"/>
      <c r="B51" s="284"/>
      <c r="C51" s="262"/>
      <c r="D51" s="325"/>
      <c r="E51" s="250"/>
    </row>
    <row r="52" spans="1:5">
      <c r="A52" s="250"/>
      <c r="B52" s="284" t="s">
        <v>731</v>
      </c>
      <c r="C52" s="262" t="s">
        <v>733</v>
      </c>
      <c r="D52" s="325">
        <f>ALVENARIA!K75</f>
        <v>71.67</v>
      </c>
      <c r="E52" s="250" t="s">
        <v>28</v>
      </c>
    </row>
    <row r="53" spans="1:5">
      <c r="A53" s="250"/>
      <c r="B53" s="284" t="s">
        <v>732</v>
      </c>
      <c r="C53" s="262" t="s">
        <v>733</v>
      </c>
      <c r="D53" s="325">
        <f>D52</f>
        <v>71.67</v>
      </c>
      <c r="E53" s="250" t="s">
        <v>28</v>
      </c>
    </row>
    <row r="54" spans="1:5">
      <c r="A54" s="250"/>
      <c r="B54" s="284" t="s">
        <v>730</v>
      </c>
      <c r="C54" s="262" t="s">
        <v>734</v>
      </c>
      <c r="D54" s="325">
        <f>ALVENARIA!K72</f>
        <v>418.26150000000013</v>
      </c>
      <c r="E54" s="250" t="s">
        <v>28</v>
      </c>
    </row>
    <row r="55" spans="1:5">
      <c r="A55" s="250"/>
      <c r="B55" s="284" t="s">
        <v>725</v>
      </c>
      <c r="C55" s="262" t="s">
        <v>734</v>
      </c>
      <c r="D55" s="325">
        <f>ALVENARIA!K72</f>
        <v>418.26150000000013</v>
      </c>
      <c r="E55" s="250" t="s">
        <v>28</v>
      </c>
    </row>
    <row r="56" spans="1:5" ht="13.5" thickBot="1">
      <c r="A56" s="250"/>
      <c r="B56" s="284" t="s">
        <v>726</v>
      </c>
      <c r="C56" s="262" t="s">
        <v>736</v>
      </c>
      <c r="D56" s="325">
        <f>ALVENARIA!K76</f>
        <v>60.7</v>
      </c>
      <c r="E56" s="250" t="s">
        <v>28</v>
      </c>
    </row>
    <row r="57" spans="1:5" ht="13.5" thickBot="1">
      <c r="A57" s="161"/>
      <c r="B57" s="162" t="s">
        <v>315</v>
      </c>
      <c r="C57" s="163"/>
      <c r="D57" s="323"/>
      <c r="E57" s="164"/>
    </row>
    <row r="58" spans="1:5">
      <c r="A58" s="172"/>
      <c r="B58" s="173" t="s">
        <v>443</v>
      </c>
      <c r="C58" s="174" t="s">
        <v>316</v>
      </c>
      <c r="D58" s="330">
        <v>8.8000000000000007</v>
      </c>
      <c r="E58" s="171" t="s">
        <v>28</v>
      </c>
    </row>
    <row r="59" spans="1:5">
      <c r="A59" s="175"/>
      <c r="B59" s="177" t="s">
        <v>441</v>
      </c>
      <c r="C59" s="169" t="s">
        <v>316</v>
      </c>
      <c r="D59" s="331">
        <v>28.8</v>
      </c>
      <c r="E59" s="167" t="s">
        <v>28</v>
      </c>
    </row>
    <row r="60" spans="1:5">
      <c r="A60" s="175"/>
      <c r="B60" s="177" t="s">
        <v>442</v>
      </c>
      <c r="C60" s="169" t="s">
        <v>316</v>
      </c>
      <c r="D60" s="331">
        <v>4.4000000000000004</v>
      </c>
      <c r="E60" s="167" t="s">
        <v>28</v>
      </c>
    </row>
    <row r="61" spans="1:5">
      <c r="A61" s="175"/>
      <c r="B61" s="177" t="s">
        <v>444</v>
      </c>
      <c r="C61" s="169" t="s">
        <v>316</v>
      </c>
      <c r="D61" s="331">
        <v>1.2</v>
      </c>
      <c r="E61" s="167" t="s">
        <v>28</v>
      </c>
    </row>
    <row r="62" spans="1:5">
      <c r="A62" s="175"/>
      <c r="B62" s="177" t="s">
        <v>445</v>
      </c>
      <c r="C62" s="169" t="s">
        <v>316</v>
      </c>
      <c r="D62" s="331">
        <v>0.8</v>
      </c>
      <c r="E62" s="167" t="s">
        <v>121</v>
      </c>
    </row>
    <row r="63" spans="1:5">
      <c r="A63" s="175"/>
      <c r="B63" s="176" t="s">
        <v>446</v>
      </c>
      <c r="C63" s="169" t="s">
        <v>316</v>
      </c>
      <c r="D63" s="331">
        <v>3.78</v>
      </c>
      <c r="E63" s="167" t="s">
        <v>28</v>
      </c>
    </row>
    <row r="64" spans="1:5">
      <c r="A64" s="175"/>
      <c r="B64" s="176" t="s">
        <v>447</v>
      </c>
      <c r="C64" s="169" t="s">
        <v>316</v>
      </c>
      <c r="D64" s="331">
        <v>3.36</v>
      </c>
      <c r="E64" s="167" t="s">
        <v>28</v>
      </c>
    </row>
    <row r="65" spans="1:5">
      <c r="A65" s="175"/>
      <c r="B65" s="177" t="s">
        <v>317</v>
      </c>
      <c r="C65" s="169" t="s">
        <v>316</v>
      </c>
      <c r="D65" s="331">
        <v>9</v>
      </c>
      <c r="E65" s="167" t="s">
        <v>121</v>
      </c>
    </row>
    <row r="66" spans="1:5">
      <c r="A66" s="175"/>
      <c r="B66" s="177" t="s">
        <v>448</v>
      </c>
      <c r="C66" s="169" t="s">
        <v>316</v>
      </c>
      <c r="D66" s="331">
        <v>17</v>
      </c>
      <c r="E66" s="167" t="s">
        <v>121</v>
      </c>
    </row>
    <row r="67" spans="1:5">
      <c r="A67" s="175"/>
      <c r="B67" s="177" t="s">
        <v>318</v>
      </c>
      <c r="C67" s="169" t="s">
        <v>316</v>
      </c>
      <c r="D67" s="331">
        <v>2</v>
      </c>
      <c r="E67" s="167" t="s">
        <v>121</v>
      </c>
    </row>
    <row r="68" spans="1:5">
      <c r="A68" s="175"/>
      <c r="B68" s="177" t="s">
        <v>449</v>
      </c>
      <c r="C68" s="169" t="s">
        <v>316</v>
      </c>
      <c r="D68" s="331">
        <v>3</v>
      </c>
      <c r="E68" s="167" t="s">
        <v>51</v>
      </c>
    </row>
    <row r="69" spans="1:5">
      <c r="A69" s="185"/>
      <c r="B69" s="176" t="s">
        <v>450</v>
      </c>
      <c r="C69" s="169" t="s">
        <v>316</v>
      </c>
      <c r="D69" s="332">
        <v>13.47</v>
      </c>
      <c r="E69" s="167" t="s">
        <v>28</v>
      </c>
    </row>
    <row r="70" spans="1:5" ht="13.5" thickBot="1">
      <c r="A70" s="178"/>
      <c r="B70" s="179" t="s">
        <v>451</v>
      </c>
      <c r="C70" s="169" t="s">
        <v>316</v>
      </c>
      <c r="D70" s="333">
        <v>20.67</v>
      </c>
      <c r="E70" s="167" t="s">
        <v>28</v>
      </c>
    </row>
    <row r="71" spans="1:5" ht="13.5" thickBot="1">
      <c r="A71" s="161"/>
      <c r="B71" s="162" t="s">
        <v>327</v>
      </c>
      <c r="C71" s="163"/>
      <c r="D71" s="323"/>
      <c r="E71" s="164"/>
    </row>
    <row r="72" spans="1:5" ht="13.5" thickBot="1">
      <c r="A72" s="168"/>
      <c r="B72" s="182" t="s">
        <v>328</v>
      </c>
      <c r="C72" s="169" t="s">
        <v>316</v>
      </c>
      <c r="D72" s="335">
        <f>D58+D59+(0.09*2)+D67</f>
        <v>39.78</v>
      </c>
      <c r="E72" s="181" t="s">
        <v>28</v>
      </c>
    </row>
    <row r="73" spans="1:5" ht="13.5" thickBot="1">
      <c r="A73" s="161"/>
      <c r="B73" s="162" t="s">
        <v>329</v>
      </c>
      <c r="C73" s="163"/>
      <c r="D73" s="323"/>
      <c r="E73" s="164"/>
    </row>
    <row r="74" spans="1:5">
      <c r="A74" s="172"/>
      <c r="B74" s="173" t="s">
        <v>330</v>
      </c>
      <c r="C74" s="183" t="s">
        <v>316</v>
      </c>
      <c r="D74" s="330">
        <v>10</v>
      </c>
      <c r="E74" s="184" t="s">
        <v>121</v>
      </c>
    </row>
    <row r="75" spans="1:5">
      <c r="A75" s="185"/>
      <c r="B75" s="176" t="s">
        <v>331</v>
      </c>
      <c r="C75" s="186" t="s">
        <v>316</v>
      </c>
      <c r="D75" s="332">
        <f>((1.15*2)+0.3+0.25+0.35)*1.9*2</f>
        <v>12.159999999999998</v>
      </c>
      <c r="E75" s="187" t="s">
        <v>159</v>
      </c>
    </row>
    <row r="76" spans="1:5" ht="22.5">
      <c r="A76" s="229"/>
      <c r="B76" s="200" t="s">
        <v>332</v>
      </c>
      <c r="C76" s="230" t="s">
        <v>316</v>
      </c>
      <c r="D76" s="337">
        <f>1.62+1.62+1.02+1.62+1.32+1.41+1.41+1.02+0.9+0.9+0.72</f>
        <v>13.56</v>
      </c>
      <c r="E76" s="199" t="s">
        <v>31</v>
      </c>
    </row>
    <row r="77" spans="1:5" ht="23.25" thickBot="1">
      <c r="A77" s="185"/>
      <c r="B77" s="176" t="s">
        <v>534</v>
      </c>
      <c r="C77" s="186" t="s">
        <v>316</v>
      </c>
      <c r="D77" s="332">
        <v>3</v>
      </c>
      <c r="E77" s="187" t="s">
        <v>121</v>
      </c>
    </row>
    <row r="78" spans="1:5" ht="13.5" thickBot="1">
      <c r="A78" s="188"/>
      <c r="B78" s="189" t="s">
        <v>333</v>
      </c>
      <c r="C78" s="163"/>
      <c r="D78" s="323"/>
      <c r="E78" s="164"/>
    </row>
    <row r="79" spans="1:5" ht="13.5" thickBot="1">
      <c r="A79" s="190"/>
      <c r="B79" s="191"/>
      <c r="C79" s="180" t="s">
        <v>334</v>
      </c>
      <c r="D79" s="336"/>
      <c r="E79" s="192"/>
    </row>
    <row r="80" spans="1:5" ht="13.5" thickBot="1">
      <c r="A80" s="188"/>
      <c r="B80" s="189" t="s">
        <v>335</v>
      </c>
      <c r="C80" s="163"/>
      <c r="D80" s="323"/>
      <c r="E80" s="164"/>
    </row>
    <row r="81" spans="1:5" ht="13.5" thickBot="1">
      <c r="A81" s="190"/>
      <c r="B81" s="193"/>
      <c r="C81" s="194" t="s">
        <v>336</v>
      </c>
      <c r="D81" s="334"/>
      <c r="E81" s="195"/>
    </row>
    <row r="82" spans="1:5" ht="13.5" thickBot="1">
      <c r="A82" s="188"/>
      <c r="B82" s="189" t="s">
        <v>337</v>
      </c>
      <c r="C82" s="163"/>
      <c r="D82" s="323"/>
      <c r="E82" s="164"/>
    </row>
    <row r="83" spans="1:5">
      <c r="A83" s="165"/>
      <c r="B83" s="166" t="s">
        <v>338</v>
      </c>
      <c r="C83" s="196" t="s">
        <v>339</v>
      </c>
      <c r="D83" s="338">
        <v>573.78</v>
      </c>
      <c r="E83" s="170" t="s">
        <v>28</v>
      </c>
    </row>
  </sheetData>
  <pageMargins left="0.511811024" right="0.511811024" top="0.78740157499999996" bottom="0.78740157499999996" header="0.31496062000000002" footer="0.31496062000000002"/>
  <pageSetup paperSize="9" scale="8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354"/>
  <sheetViews>
    <sheetView topLeftCell="A16" workbookViewId="0">
      <selection activeCell="Q8" sqref="Q8"/>
    </sheetView>
  </sheetViews>
  <sheetFormatPr defaultRowHeight="12.75"/>
  <cols>
    <col min="6" max="6" width="10.5703125" bestFit="1" customWidth="1"/>
  </cols>
  <sheetData>
    <row r="1" spans="1:9">
      <c r="A1" t="s">
        <v>555</v>
      </c>
    </row>
    <row r="3" spans="1:9">
      <c r="A3" t="s">
        <v>556</v>
      </c>
    </row>
    <row r="4" spans="1:9" s="243" customFormat="1" ht="30.75" customHeight="1">
      <c r="A4" s="256" t="s">
        <v>604</v>
      </c>
      <c r="B4" s="257" t="s">
        <v>228</v>
      </c>
      <c r="C4" s="257" t="s">
        <v>558</v>
      </c>
      <c r="D4" s="257" t="s">
        <v>439</v>
      </c>
      <c r="E4" s="258" t="s">
        <v>559</v>
      </c>
      <c r="F4" s="258" t="s">
        <v>560</v>
      </c>
      <c r="G4" s="257" t="s">
        <v>606</v>
      </c>
      <c r="H4" s="257" t="s">
        <v>607</v>
      </c>
      <c r="I4" s="260" t="s">
        <v>612</v>
      </c>
    </row>
    <row r="5" spans="1:9">
      <c r="B5" s="251">
        <v>30</v>
      </c>
      <c r="C5" s="251">
        <v>15</v>
      </c>
      <c r="D5" s="251">
        <v>520</v>
      </c>
      <c r="E5" s="251">
        <f>(B5+C5)*2*D5/10000</f>
        <v>4.68</v>
      </c>
      <c r="F5" s="251">
        <f>B5*C5*D5/1000000</f>
        <v>0.23400000000000001</v>
      </c>
      <c r="G5" s="254">
        <f>F8</f>
        <v>4.2080766000000001</v>
      </c>
      <c r="H5" s="254">
        <f>F14</f>
        <v>23.54141452</v>
      </c>
    </row>
    <row r="7" spans="1:9" ht="25.5">
      <c r="A7" s="252" t="s">
        <v>587</v>
      </c>
      <c r="B7" s="243" t="s">
        <v>564</v>
      </c>
      <c r="C7" s="243" t="s">
        <v>562</v>
      </c>
      <c r="D7" s="253" t="s">
        <v>565</v>
      </c>
      <c r="E7" s="243" t="s">
        <v>566</v>
      </c>
      <c r="F7" s="243" t="s">
        <v>563</v>
      </c>
    </row>
    <row r="8" spans="1:9">
      <c r="A8" t="s">
        <v>572</v>
      </c>
      <c r="B8" s="243">
        <v>78</v>
      </c>
      <c r="C8" s="243">
        <v>35</v>
      </c>
      <c r="D8" s="243">
        <f>B8*C8</f>
        <v>2730</v>
      </c>
      <c r="E8" s="255">
        <v>0.154142</v>
      </c>
      <c r="F8" s="255">
        <f>D8*E8/100</f>
        <v>4.2080766000000001</v>
      </c>
    </row>
    <row r="9" spans="1:9">
      <c r="B9" s="243"/>
      <c r="C9" s="243"/>
      <c r="D9" s="243"/>
      <c r="E9" s="255"/>
      <c r="F9" s="255"/>
    </row>
    <row r="10" spans="1:9" ht="25.5">
      <c r="A10" s="252" t="s">
        <v>588</v>
      </c>
      <c r="B10" s="243" t="s">
        <v>564</v>
      </c>
      <c r="C10" s="243" t="s">
        <v>562</v>
      </c>
      <c r="D10" s="253" t="s">
        <v>565</v>
      </c>
      <c r="E10" s="243" t="s">
        <v>566</v>
      </c>
      <c r="F10" s="243" t="s">
        <v>563</v>
      </c>
    </row>
    <row r="11" spans="1:9">
      <c r="A11" t="s">
        <v>574</v>
      </c>
      <c r="B11" s="243">
        <v>197</v>
      </c>
      <c r="C11" s="243">
        <v>4</v>
      </c>
      <c r="D11" s="243">
        <f>B11*C11</f>
        <v>788</v>
      </c>
      <c r="E11" s="255">
        <v>0.96323300000000001</v>
      </c>
      <c r="F11" s="255">
        <f>D11*E11/100</f>
        <v>7.59027604</v>
      </c>
    </row>
    <row r="12" spans="1:9">
      <c r="A12" t="s">
        <v>575</v>
      </c>
      <c r="B12" s="243">
        <v>287</v>
      </c>
      <c r="C12" s="243">
        <v>4</v>
      </c>
      <c r="D12" s="243">
        <f t="shared" ref="D12:D13" si="0">B12*C12</f>
        <v>1148</v>
      </c>
      <c r="E12" s="255">
        <v>0.96323300000000001</v>
      </c>
      <c r="F12" s="255">
        <f t="shared" ref="F12:F13" si="1">D12*E12/100</f>
        <v>11.05791484</v>
      </c>
    </row>
    <row r="13" spans="1:9">
      <c r="A13" t="s">
        <v>576</v>
      </c>
      <c r="B13" s="243">
        <v>127</v>
      </c>
      <c r="C13" s="243">
        <v>4</v>
      </c>
      <c r="D13" s="243">
        <f t="shared" si="0"/>
        <v>508</v>
      </c>
      <c r="E13" s="255">
        <v>0.96323300000000001</v>
      </c>
      <c r="F13" s="255">
        <f t="shared" si="1"/>
        <v>4.8932236399999995</v>
      </c>
    </row>
    <row r="14" spans="1:9">
      <c r="F14" s="255">
        <f>SUM(F11:F13)</f>
        <v>23.54141452</v>
      </c>
    </row>
    <row r="16" spans="1:9" ht="25.5">
      <c r="A16" s="256" t="s">
        <v>605</v>
      </c>
      <c r="B16" s="257" t="s">
        <v>228</v>
      </c>
      <c r="C16" s="257" t="s">
        <v>558</v>
      </c>
      <c r="D16" s="257" t="s">
        <v>439</v>
      </c>
      <c r="E16" s="258" t="s">
        <v>559</v>
      </c>
      <c r="F16" s="258" t="s">
        <v>560</v>
      </c>
      <c r="G16" s="257" t="s">
        <v>606</v>
      </c>
      <c r="H16" s="257" t="s">
        <v>607</v>
      </c>
      <c r="I16" s="260" t="s">
        <v>612</v>
      </c>
    </row>
    <row r="17" spans="1:9">
      <c r="B17" s="251">
        <v>30</v>
      </c>
      <c r="C17" s="251">
        <v>15</v>
      </c>
      <c r="D17" s="251">
        <v>520</v>
      </c>
      <c r="E17" s="251">
        <f>(B17+C17)*2*D17/10000</f>
        <v>4.68</v>
      </c>
      <c r="F17" s="251">
        <f>B17*C17*D17/1000000</f>
        <v>0.23400000000000001</v>
      </c>
      <c r="G17" s="254">
        <f>F20</f>
        <v>6.2519995200000009</v>
      </c>
      <c r="H17" s="254">
        <f>F26</f>
        <v>14.623522319999999</v>
      </c>
    </row>
    <row r="19" spans="1:9" ht="25.5">
      <c r="A19" s="252" t="s">
        <v>587</v>
      </c>
      <c r="B19" s="243" t="s">
        <v>564</v>
      </c>
      <c r="C19" s="243" t="s">
        <v>562</v>
      </c>
      <c r="D19" s="253" t="s">
        <v>565</v>
      </c>
      <c r="E19" s="243" t="s">
        <v>566</v>
      </c>
      <c r="F19" s="243" t="s">
        <v>563</v>
      </c>
    </row>
    <row r="20" spans="1:9">
      <c r="A20" t="s">
        <v>572</v>
      </c>
      <c r="B20" s="243">
        <v>78</v>
      </c>
      <c r="C20" s="243">
        <v>52</v>
      </c>
      <c r="D20" s="243">
        <f>B20*C20</f>
        <v>4056</v>
      </c>
      <c r="E20" s="255">
        <v>0.154142</v>
      </c>
      <c r="F20" s="255">
        <f>D20*E20/100</f>
        <v>6.2519995200000009</v>
      </c>
    </row>
    <row r="21" spans="1:9">
      <c r="B21" s="243"/>
      <c r="C21" s="243"/>
      <c r="D21" s="243"/>
      <c r="E21" s="255"/>
      <c r="F21" s="255"/>
    </row>
    <row r="22" spans="1:9" ht="25.5">
      <c r="A22" s="252" t="s">
        <v>590</v>
      </c>
      <c r="B22" s="243" t="s">
        <v>564</v>
      </c>
      <c r="C22" s="243" t="s">
        <v>562</v>
      </c>
      <c r="D22" s="253" t="s">
        <v>565</v>
      </c>
      <c r="E22" s="243" t="s">
        <v>566</v>
      </c>
      <c r="F22" s="243" t="s">
        <v>563</v>
      </c>
    </row>
    <row r="23" spans="1:9">
      <c r="A23" t="s">
        <v>608</v>
      </c>
      <c r="B23" s="243">
        <v>188</v>
      </c>
      <c r="C23" s="243">
        <v>4</v>
      </c>
      <c r="D23" s="243">
        <f>B23*C23</f>
        <v>752</v>
      </c>
      <c r="E23" s="255">
        <v>0.616506</v>
      </c>
      <c r="F23" s="255">
        <f>D23*E23/100</f>
        <v>4.63612512</v>
      </c>
    </row>
    <row r="24" spans="1:9">
      <c r="A24" t="s">
        <v>609</v>
      </c>
      <c r="B24" s="243">
        <v>278</v>
      </c>
      <c r="C24" s="243">
        <v>4</v>
      </c>
      <c r="D24" s="243">
        <f t="shared" ref="D24:D25" si="2">B24*C24</f>
        <v>1112</v>
      </c>
      <c r="E24" s="255">
        <v>0.616506</v>
      </c>
      <c r="F24" s="255">
        <f t="shared" ref="F24:F25" si="3">D24*E24/100</f>
        <v>6.8555467199999995</v>
      </c>
    </row>
    <row r="25" spans="1:9">
      <c r="A25" t="s">
        <v>610</v>
      </c>
      <c r="B25" s="243">
        <v>127</v>
      </c>
      <c r="C25" s="243">
        <v>4</v>
      </c>
      <c r="D25" s="243">
        <f t="shared" si="2"/>
        <v>508</v>
      </c>
      <c r="E25" s="255">
        <v>0.616506</v>
      </c>
      <c r="F25" s="255">
        <f t="shared" si="3"/>
        <v>3.1318504799999998</v>
      </c>
    </row>
    <row r="26" spans="1:9">
      <c r="F26" s="255">
        <f>SUM(F23:F25)</f>
        <v>14.623522319999999</v>
      </c>
    </row>
    <row r="27" spans="1:9">
      <c r="F27" s="255"/>
    </row>
    <row r="28" spans="1:9" ht="25.5">
      <c r="A28" s="256" t="s">
        <v>611</v>
      </c>
      <c r="B28" s="257" t="s">
        <v>228</v>
      </c>
      <c r="C28" s="257" t="s">
        <v>558</v>
      </c>
      <c r="D28" s="257" t="s">
        <v>439</v>
      </c>
      <c r="E28" s="258" t="s">
        <v>559</v>
      </c>
      <c r="F28" s="258" t="s">
        <v>560</v>
      </c>
      <c r="G28" s="257" t="s">
        <v>606</v>
      </c>
      <c r="H28" s="257" t="s">
        <v>607</v>
      </c>
      <c r="I28" s="260" t="s">
        <v>612</v>
      </c>
    </row>
    <row r="29" spans="1:9">
      <c r="B29" s="251">
        <v>30</v>
      </c>
      <c r="C29" s="251">
        <v>15</v>
      </c>
      <c r="D29" s="251">
        <v>520</v>
      </c>
      <c r="E29" s="251">
        <f>(B29+C29)*2*D29/10000</f>
        <v>4.68</v>
      </c>
      <c r="F29" s="251">
        <f>B29*C29*D29/1000000</f>
        <v>0.23400000000000001</v>
      </c>
      <c r="G29" s="254">
        <f>F32</f>
        <v>6.2519995200000009</v>
      </c>
      <c r="H29" s="254">
        <f>F38</f>
        <v>14.623522319999999</v>
      </c>
    </row>
    <row r="31" spans="1:9" ht="25.5">
      <c r="A31" s="252" t="s">
        <v>587</v>
      </c>
      <c r="B31" s="243" t="s">
        <v>564</v>
      </c>
      <c r="C31" s="243" t="s">
        <v>562</v>
      </c>
      <c r="D31" s="253" t="s">
        <v>565</v>
      </c>
      <c r="E31" s="243" t="s">
        <v>566</v>
      </c>
      <c r="F31" s="243" t="s">
        <v>563</v>
      </c>
    </row>
    <row r="32" spans="1:9">
      <c r="A32" t="s">
        <v>572</v>
      </c>
      <c r="B32" s="243">
        <v>78</v>
      </c>
      <c r="C32" s="243">
        <v>52</v>
      </c>
      <c r="D32" s="243">
        <f>B32*C32</f>
        <v>4056</v>
      </c>
      <c r="E32" s="255">
        <v>0.154142</v>
      </c>
      <c r="F32" s="255">
        <f>D32*E32/100</f>
        <v>6.2519995200000009</v>
      </c>
    </row>
    <row r="33" spans="1:9">
      <c r="B33" s="243"/>
      <c r="C33" s="243"/>
      <c r="D33" s="243"/>
      <c r="E33" s="255"/>
      <c r="F33" s="255"/>
    </row>
    <row r="34" spans="1:9" ht="25.5">
      <c r="A34" s="252" t="s">
        <v>590</v>
      </c>
      <c r="B34" s="243" t="s">
        <v>564</v>
      </c>
      <c r="C34" s="243" t="s">
        <v>562</v>
      </c>
      <c r="D34" s="253" t="s">
        <v>565</v>
      </c>
      <c r="E34" s="243" t="s">
        <v>566</v>
      </c>
      <c r="F34" s="243" t="s">
        <v>563</v>
      </c>
    </row>
    <row r="35" spans="1:9">
      <c r="A35" t="s">
        <v>608</v>
      </c>
      <c r="B35" s="243">
        <v>188</v>
      </c>
      <c r="C35" s="243">
        <v>4</v>
      </c>
      <c r="D35" s="243">
        <f>B35*C35</f>
        <v>752</v>
      </c>
      <c r="E35" s="255">
        <v>0.616506</v>
      </c>
      <c r="F35" s="255">
        <f>D35*E35/100</f>
        <v>4.63612512</v>
      </c>
    </row>
    <row r="36" spans="1:9">
      <c r="A36" t="s">
        <v>609</v>
      </c>
      <c r="B36" s="243">
        <v>278</v>
      </c>
      <c r="C36" s="243">
        <v>4</v>
      </c>
      <c r="D36" s="243">
        <f t="shared" ref="D36:D37" si="4">B36*C36</f>
        <v>1112</v>
      </c>
      <c r="E36" s="255">
        <v>0.616506</v>
      </c>
      <c r="F36" s="255">
        <f t="shared" ref="F36:F37" si="5">D36*E36/100</f>
        <v>6.8555467199999995</v>
      </c>
    </row>
    <row r="37" spans="1:9">
      <c r="A37" t="s">
        <v>610</v>
      </c>
      <c r="B37" s="243">
        <v>127</v>
      </c>
      <c r="C37" s="243">
        <v>4</v>
      </c>
      <c r="D37" s="243">
        <f t="shared" si="4"/>
        <v>508</v>
      </c>
      <c r="E37" s="255">
        <v>0.616506</v>
      </c>
      <c r="F37" s="255">
        <f t="shared" si="5"/>
        <v>3.1318504799999998</v>
      </c>
    </row>
    <row r="38" spans="1:9">
      <c r="F38" s="255">
        <f>SUM(F35:F37)</f>
        <v>14.623522319999999</v>
      </c>
    </row>
    <row r="40" spans="1:9" s="243" customFormat="1" ht="30.75" customHeight="1">
      <c r="A40" s="256" t="s">
        <v>557</v>
      </c>
      <c r="B40" s="257" t="s">
        <v>228</v>
      </c>
      <c r="C40" s="257" t="s">
        <v>558</v>
      </c>
      <c r="D40" s="257" t="s">
        <v>439</v>
      </c>
      <c r="E40" s="258" t="s">
        <v>559</v>
      </c>
      <c r="F40" s="258" t="s">
        <v>560</v>
      </c>
      <c r="G40" s="257" t="s">
        <v>606</v>
      </c>
      <c r="H40" s="257" t="s">
        <v>607</v>
      </c>
      <c r="I40" s="260" t="s">
        <v>613</v>
      </c>
    </row>
    <row r="41" spans="1:9">
      <c r="B41" s="251">
        <v>20</v>
      </c>
      <c r="C41" s="251">
        <v>20</v>
      </c>
      <c r="D41" s="251">
        <v>300</v>
      </c>
      <c r="E41" s="251">
        <f>(B41+C41)*2*D41/10000</f>
        <v>2.4</v>
      </c>
      <c r="F41" s="251">
        <f>B41*C41*D41/1000000</f>
        <v>0.12</v>
      </c>
      <c r="G41" s="254">
        <f>F44</f>
        <v>3.4589464800000003</v>
      </c>
      <c r="H41" s="254">
        <f>F50</f>
        <v>22.847886760000002</v>
      </c>
    </row>
    <row r="43" spans="1:9" ht="25.5">
      <c r="A43" s="252" t="s">
        <v>587</v>
      </c>
      <c r="B43" s="243" t="s">
        <v>564</v>
      </c>
      <c r="C43" s="243" t="s">
        <v>562</v>
      </c>
      <c r="D43" s="253" t="s">
        <v>565</v>
      </c>
      <c r="E43" s="243" t="s">
        <v>566</v>
      </c>
      <c r="F43" s="243" t="s">
        <v>563</v>
      </c>
    </row>
    <row r="44" spans="1:9">
      <c r="A44" t="s">
        <v>561</v>
      </c>
      <c r="B44" s="243">
        <v>68</v>
      </c>
      <c r="C44" s="243">
        <f>7+20+6</f>
        <v>33</v>
      </c>
      <c r="D44" s="243">
        <f>B44*C44</f>
        <v>2244</v>
      </c>
      <c r="E44" s="255">
        <v>0.154142</v>
      </c>
      <c r="F44" s="255">
        <f>D44*E44/100</f>
        <v>3.4589464800000003</v>
      </c>
    </row>
    <row r="45" spans="1:9">
      <c r="B45" s="243"/>
      <c r="C45" s="243"/>
      <c r="D45" s="243"/>
      <c r="E45" s="255"/>
      <c r="F45" s="255"/>
    </row>
    <row r="46" spans="1:9" ht="25.5">
      <c r="A46" s="252" t="s">
        <v>588</v>
      </c>
      <c r="B46" s="243" t="s">
        <v>564</v>
      </c>
      <c r="C46" s="243" t="s">
        <v>562</v>
      </c>
      <c r="D46" s="253" t="s">
        <v>565</v>
      </c>
      <c r="E46" s="243" t="s">
        <v>566</v>
      </c>
      <c r="F46" s="243" t="s">
        <v>563</v>
      </c>
    </row>
    <row r="47" spans="1:9">
      <c r="A47" t="s">
        <v>567</v>
      </c>
      <c r="B47" s="243">
        <v>164</v>
      </c>
      <c r="C47" s="243">
        <v>4</v>
      </c>
      <c r="D47" s="243">
        <f>B47*C47</f>
        <v>656</v>
      </c>
      <c r="E47" s="255">
        <v>0.96323300000000001</v>
      </c>
      <c r="F47" s="255">
        <f>D47*E47/100</f>
        <v>6.3188084800000004</v>
      </c>
    </row>
    <row r="48" spans="1:9">
      <c r="A48" t="s">
        <v>568</v>
      </c>
      <c r="B48" s="243">
        <v>347</v>
      </c>
      <c r="C48" s="243">
        <v>4</v>
      </c>
      <c r="D48" s="243">
        <f t="shared" ref="D48:D49" si="6">B48*C48</f>
        <v>1388</v>
      </c>
      <c r="E48" s="255">
        <v>0.96323300000000001</v>
      </c>
      <c r="F48" s="255">
        <f t="shared" ref="F48:F49" si="7">D48*E48/100</f>
        <v>13.36967404</v>
      </c>
    </row>
    <row r="49" spans="1:8">
      <c r="A49" t="s">
        <v>570</v>
      </c>
      <c r="B49" s="243">
        <v>82</v>
      </c>
      <c r="C49" s="243">
        <v>4</v>
      </c>
      <c r="D49" s="243">
        <f t="shared" si="6"/>
        <v>328</v>
      </c>
      <c r="E49" s="255">
        <v>0.96323300000000001</v>
      </c>
      <c r="F49" s="255">
        <f t="shared" si="7"/>
        <v>3.1594042400000002</v>
      </c>
    </row>
    <row r="50" spans="1:8">
      <c r="F50" s="255">
        <f>SUM(F47:F49)</f>
        <v>22.847886760000002</v>
      </c>
    </row>
    <row r="51" spans="1:8">
      <c r="F51" s="255"/>
    </row>
    <row r="52" spans="1:8" ht="25.5">
      <c r="A52" s="256" t="s">
        <v>614</v>
      </c>
      <c r="B52" s="257" t="s">
        <v>228</v>
      </c>
      <c r="C52" s="257" t="s">
        <v>558</v>
      </c>
      <c r="D52" s="257" t="s">
        <v>439</v>
      </c>
      <c r="E52" s="258" t="s">
        <v>559</v>
      </c>
      <c r="F52" s="258" t="s">
        <v>560</v>
      </c>
      <c r="G52" s="257" t="s">
        <v>606</v>
      </c>
      <c r="H52" s="257" t="s">
        <v>607</v>
      </c>
    </row>
    <row r="53" spans="1:8">
      <c r="B53" s="251">
        <v>30</v>
      </c>
      <c r="C53" s="251">
        <v>15</v>
      </c>
      <c r="D53" s="251">
        <v>520</v>
      </c>
      <c r="E53" s="251">
        <f>(B53+C53)*2*D53/10000</f>
        <v>4.68</v>
      </c>
      <c r="F53" s="251">
        <f>B53*C53*D53/1000000</f>
        <v>0.23400000000000001</v>
      </c>
      <c r="G53" s="254">
        <f>F56</f>
        <v>6.2519995200000009</v>
      </c>
      <c r="H53" s="254">
        <f>F62</f>
        <v>14.623522319999999</v>
      </c>
    </row>
    <row r="55" spans="1:8" ht="25.5">
      <c r="A55" s="252" t="s">
        <v>587</v>
      </c>
      <c r="B55" s="243" t="s">
        <v>564</v>
      </c>
      <c r="C55" s="243" t="s">
        <v>562</v>
      </c>
      <c r="D55" s="253" t="s">
        <v>565</v>
      </c>
      <c r="E55" s="243" t="s">
        <v>566</v>
      </c>
      <c r="F55" s="243" t="s">
        <v>563</v>
      </c>
    </row>
    <row r="56" spans="1:8">
      <c r="A56" t="s">
        <v>572</v>
      </c>
      <c r="B56" s="243">
        <v>78</v>
      </c>
      <c r="C56" s="243">
        <v>52</v>
      </c>
      <c r="D56" s="243">
        <f>B56*C56</f>
        <v>4056</v>
      </c>
      <c r="E56" s="255">
        <v>0.154142</v>
      </c>
      <c r="F56" s="255">
        <f>D56*E56/100</f>
        <v>6.2519995200000009</v>
      </c>
    </row>
    <row r="57" spans="1:8">
      <c r="B57" s="243"/>
      <c r="C57" s="243"/>
      <c r="D57" s="243"/>
      <c r="E57" s="255"/>
      <c r="F57" s="255"/>
    </row>
    <row r="58" spans="1:8" ht="25.5">
      <c r="A58" s="252" t="s">
        <v>590</v>
      </c>
      <c r="B58" s="243" t="s">
        <v>564</v>
      </c>
      <c r="C58" s="243" t="s">
        <v>562</v>
      </c>
      <c r="D58" s="253" t="s">
        <v>565</v>
      </c>
      <c r="E58" s="243" t="s">
        <v>566</v>
      </c>
      <c r="F58" s="243" t="s">
        <v>563</v>
      </c>
    </row>
    <row r="59" spans="1:8">
      <c r="A59" t="s">
        <v>608</v>
      </c>
      <c r="B59" s="243">
        <v>188</v>
      </c>
      <c r="C59" s="243">
        <v>4</v>
      </c>
      <c r="D59" s="243">
        <f>B59*C59</f>
        <v>752</v>
      </c>
      <c r="E59" s="255">
        <v>0.616506</v>
      </c>
      <c r="F59" s="255">
        <f>D59*E59/100</f>
        <v>4.63612512</v>
      </c>
    </row>
    <row r="60" spans="1:8">
      <c r="A60" t="s">
        <v>609</v>
      </c>
      <c r="B60" s="243">
        <v>278</v>
      </c>
      <c r="C60" s="243">
        <v>4</v>
      </c>
      <c r="D60" s="243">
        <f t="shared" ref="D60:D61" si="8">B60*C60</f>
        <v>1112</v>
      </c>
      <c r="E60" s="255">
        <v>0.616506</v>
      </c>
      <c r="F60" s="255">
        <f t="shared" ref="F60:F61" si="9">D60*E60/100</f>
        <v>6.8555467199999995</v>
      </c>
    </row>
    <row r="61" spans="1:8">
      <c r="A61" t="s">
        <v>610</v>
      </c>
      <c r="B61" s="243">
        <v>127</v>
      </c>
      <c r="C61" s="243">
        <v>4</v>
      </c>
      <c r="D61" s="243">
        <f t="shared" si="8"/>
        <v>508</v>
      </c>
      <c r="E61" s="255">
        <v>0.616506</v>
      </c>
      <c r="F61" s="255">
        <f t="shared" si="9"/>
        <v>3.1318504799999998</v>
      </c>
    </row>
    <row r="62" spans="1:8">
      <c r="F62" s="255">
        <f>SUM(F59:F61)</f>
        <v>14.623522319999999</v>
      </c>
    </row>
    <row r="63" spans="1:8">
      <c r="F63" s="255"/>
    </row>
    <row r="64" spans="1:8" ht="25.5">
      <c r="A64" s="256" t="s">
        <v>615</v>
      </c>
      <c r="B64" s="257" t="s">
        <v>228</v>
      </c>
      <c r="C64" s="257" t="s">
        <v>558</v>
      </c>
      <c r="D64" s="257" t="s">
        <v>439</v>
      </c>
      <c r="E64" s="258" t="s">
        <v>559</v>
      </c>
      <c r="F64" s="258" t="s">
        <v>560</v>
      </c>
      <c r="G64" s="257" t="s">
        <v>606</v>
      </c>
      <c r="H64" s="257" t="s">
        <v>607</v>
      </c>
    </row>
    <row r="65" spans="1:8">
      <c r="B65" s="251">
        <v>30</v>
      </c>
      <c r="C65" s="251">
        <v>15</v>
      </c>
      <c r="D65" s="251">
        <v>520</v>
      </c>
      <c r="E65" s="251">
        <f>(B65+C65)*2*D65/10000</f>
        <v>4.68</v>
      </c>
      <c r="F65" s="251">
        <f>B65*C65*D65/1000000</f>
        <v>0.23400000000000001</v>
      </c>
      <c r="G65" s="254">
        <f>F68</f>
        <v>6.2519995200000009</v>
      </c>
      <c r="H65" s="254">
        <f>F74</f>
        <v>14.623522319999999</v>
      </c>
    </row>
    <row r="67" spans="1:8" ht="25.5">
      <c r="A67" s="252" t="s">
        <v>587</v>
      </c>
      <c r="B67" s="243" t="s">
        <v>564</v>
      </c>
      <c r="C67" s="243" t="s">
        <v>562</v>
      </c>
      <c r="D67" s="253" t="s">
        <v>565</v>
      </c>
      <c r="E67" s="243" t="s">
        <v>566</v>
      </c>
      <c r="F67" s="243" t="s">
        <v>563</v>
      </c>
    </row>
    <row r="68" spans="1:8">
      <c r="A68" t="s">
        <v>572</v>
      </c>
      <c r="B68" s="243">
        <v>78</v>
      </c>
      <c r="C68" s="243">
        <v>52</v>
      </c>
      <c r="D68" s="243">
        <f>B68*C68</f>
        <v>4056</v>
      </c>
      <c r="E68" s="255">
        <v>0.154142</v>
      </c>
      <c r="F68" s="255">
        <f>D68*E68/100</f>
        <v>6.2519995200000009</v>
      </c>
    </row>
    <row r="69" spans="1:8">
      <c r="B69" s="243"/>
      <c r="C69" s="243"/>
      <c r="D69" s="243"/>
      <c r="E69" s="255"/>
      <c r="F69" s="255"/>
    </row>
    <row r="70" spans="1:8" ht="25.5">
      <c r="A70" s="252" t="s">
        <v>590</v>
      </c>
      <c r="B70" s="243" t="s">
        <v>564</v>
      </c>
      <c r="C70" s="243" t="s">
        <v>562</v>
      </c>
      <c r="D70" s="253" t="s">
        <v>565</v>
      </c>
      <c r="E70" s="243" t="s">
        <v>566</v>
      </c>
      <c r="F70" s="243" t="s">
        <v>563</v>
      </c>
    </row>
    <row r="71" spans="1:8">
      <c r="A71" t="s">
        <v>608</v>
      </c>
      <c r="B71" s="243">
        <v>188</v>
      </c>
      <c r="C71" s="243">
        <v>4</v>
      </c>
      <c r="D71" s="243">
        <f>B71*C71</f>
        <v>752</v>
      </c>
      <c r="E71" s="255">
        <v>0.616506</v>
      </c>
      <c r="F71" s="255">
        <f>D71*E71/100</f>
        <v>4.63612512</v>
      </c>
    </row>
    <row r="72" spans="1:8">
      <c r="A72" t="s">
        <v>609</v>
      </c>
      <c r="B72" s="243">
        <v>278</v>
      </c>
      <c r="C72" s="243">
        <v>4</v>
      </c>
      <c r="D72" s="243">
        <f t="shared" ref="D72:D73" si="10">B72*C72</f>
        <v>1112</v>
      </c>
      <c r="E72" s="255">
        <v>0.616506</v>
      </c>
      <c r="F72" s="255">
        <f t="shared" ref="F72:F73" si="11">D72*E72/100</f>
        <v>6.8555467199999995</v>
      </c>
    </row>
    <row r="73" spans="1:8">
      <c r="A73" t="s">
        <v>610</v>
      </c>
      <c r="B73" s="243">
        <v>127</v>
      </c>
      <c r="C73" s="243">
        <v>4</v>
      </c>
      <c r="D73" s="243">
        <f t="shared" si="10"/>
        <v>508</v>
      </c>
      <c r="E73" s="255">
        <v>0.616506</v>
      </c>
      <c r="F73" s="255">
        <f t="shared" si="11"/>
        <v>3.1318504799999998</v>
      </c>
    </row>
    <row r="74" spans="1:8">
      <c r="F74" s="255">
        <f>SUM(F71:F73)</f>
        <v>14.623522319999999</v>
      </c>
    </row>
    <row r="75" spans="1:8">
      <c r="B75" s="243"/>
      <c r="C75" s="243"/>
      <c r="D75" s="243"/>
      <c r="E75" s="255"/>
      <c r="F75" s="255"/>
    </row>
    <row r="76" spans="1:8" ht="25.5">
      <c r="A76" s="256" t="s">
        <v>616</v>
      </c>
      <c r="B76" s="257" t="s">
        <v>228</v>
      </c>
      <c r="C76" s="257" t="s">
        <v>558</v>
      </c>
      <c r="D76" s="257" t="s">
        <v>439</v>
      </c>
      <c r="E76" s="258" t="s">
        <v>559</v>
      </c>
      <c r="F76" s="258" t="s">
        <v>560</v>
      </c>
      <c r="G76" s="257" t="s">
        <v>606</v>
      </c>
      <c r="H76" s="257" t="s">
        <v>607</v>
      </c>
    </row>
    <row r="77" spans="1:8">
      <c r="B77" s="251">
        <v>30</v>
      </c>
      <c r="C77" s="251">
        <v>15</v>
      </c>
      <c r="D77" s="251">
        <v>520</v>
      </c>
      <c r="E77" s="251">
        <f>(B77+C77)*2*D77/10000</f>
        <v>4.68</v>
      </c>
      <c r="F77" s="251">
        <f>B77*C77*D77/1000000</f>
        <v>0.23400000000000001</v>
      </c>
      <c r="G77" s="254">
        <f>F80</f>
        <v>4.4485381200000003</v>
      </c>
      <c r="H77" s="254">
        <f>F89</f>
        <v>42.960191800000004</v>
      </c>
    </row>
    <row r="79" spans="1:8" ht="25.5">
      <c r="A79" s="252" t="s">
        <v>587</v>
      </c>
      <c r="B79" s="243" t="s">
        <v>564</v>
      </c>
      <c r="C79" s="243" t="s">
        <v>562</v>
      </c>
      <c r="D79" s="253" t="s">
        <v>565</v>
      </c>
      <c r="E79" s="243" t="s">
        <v>566</v>
      </c>
      <c r="F79" s="243" t="s">
        <v>563</v>
      </c>
    </row>
    <row r="80" spans="1:8">
      <c r="A80" t="s">
        <v>572</v>
      </c>
      <c r="B80" s="243">
        <v>78</v>
      </c>
      <c r="C80" s="243">
        <v>37</v>
      </c>
      <c r="D80" s="243">
        <f>B80*C80</f>
        <v>2886</v>
      </c>
      <c r="E80" s="255">
        <v>0.154142</v>
      </c>
      <c r="F80" s="255">
        <f>D80*E80/100</f>
        <v>4.4485381200000003</v>
      </c>
    </row>
    <row r="81" spans="1:8">
      <c r="A81" t="s">
        <v>573</v>
      </c>
      <c r="B81" s="243">
        <v>24</v>
      </c>
      <c r="C81" s="243">
        <v>10</v>
      </c>
      <c r="D81" s="243">
        <f>B81*C81</f>
        <v>240</v>
      </c>
      <c r="E81" s="255">
        <v>0.154142</v>
      </c>
      <c r="F81" s="255">
        <f>D81*E81/100</f>
        <v>0.36994079999999996</v>
      </c>
    </row>
    <row r="82" spans="1:8">
      <c r="B82" s="243"/>
      <c r="C82" s="243"/>
      <c r="D82" s="243"/>
      <c r="E82" s="255"/>
      <c r="F82" s="255">
        <f>SUM(F80:F81)</f>
        <v>4.8184789200000004</v>
      </c>
    </row>
    <row r="83" spans="1:8">
      <c r="B83" s="243"/>
      <c r="C83" s="243"/>
      <c r="D83" s="243"/>
      <c r="E83" s="255"/>
      <c r="F83" s="255"/>
    </row>
    <row r="84" spans="1:8" ht="25.5">
      <c r="A84" s="252" t="s">
        <v>588</v>
      </c>
      <c r="B84" s="243" t="s">
        <v>564</v>
      </c>
      <c r="C84" s="243" t="s">
        <v>562</v>
      </c>
      <c r="D84" s="253" t="s">
        <v>565</v>
      </c>
      <c r="E84" s="243" t="s">
        <v>566</v>
      </c>
      <c r="F84" s="243" t="s">
        <v>563</v>
      </c>
    </row>
    <row r="85" spans="1:8">
      <c r="A85" t="s">
        <v>569</v>
      </c>
      <c r="B85" s="243">
        <v>147</v>
      </c>
      <c r="C85" s="243">
        <v>2</v>
      </c>
      <c r="D85" s="243">
        <f>B85*C85</f>
        <v>294</v>
      </c>
      <c r="E85" s="255">
        <v>0.96323300000000001</v>
      </c>
      <c r="F85" s="255">
        <f>D85*E85/100</f>
        <v>2.8319050199999998</v>
      </c>
    </row>
    <row r="86" spans="1:8">
      <c r="A86" t="s">
        <v>574</v>
      </c>
      <c r="B86" s="243">
        <v>197</v>
      </c>
      <c r="C86" s="243">
        <v>4</v>
      </c>
      <c r="D86" s="243">
        <f t="shared" ref="D86:D88" si="12">B86*C86</f>
        <v>788</v>
      </c>
      <c r="E86" s="255">
        <v>0.96323300000000001</v>
      </c>
      <c r="F86" s="255">
        <f t="shared" ref="F86:F87" si="13">D86*E86/100</f>
        <v>7.59027604</v>
      </c>
    </row>
    <row r="87" spans="1:8">
      <c r="A87" t="s">
        <v>575</v>
      </c>
      <c r="B87" s="243">
        <v>287</v>
      </c>
      <c r="C87" s="243">
        <v>4</v>
      </c>
      <c r="D87" s="243">
        <f t="shared" si="12"/>
        <v>1148</v>
      </c>
      <c r="E87" s="255">
        <v>0.96323300000000001</v>
      </c>
      <c r="F87" s="255">
        <f t="shared" si="13"/>
        <v>11.05791484</v>
      </c>
    </row>
    <row r="88" spans="1:8">
      <c r="A88" t="s">
        <v>576</v>
      </c>
      <c r="B88" s="243">
        <v>127</v>
      </c>
      <c r="C88" s="243">
        <v>4</v>
      </c>
      <c r="D88" s="243">
        <f t="shared" si="12"/>
        <v>508</v>
      </c>
      <c r="E88" s="255">
        <v>0.96323300000000001</v>
      </c>
      <c r="F88" s="255">
        <f>SUM(F85:F87)</f>
        <v>21.480095900000002</v>
      </c>
    </row>
    <row r="89" spans="1:8">
      <c r="F89" s="255">
        <f>SUM(F85:F88)</f>
        <v>42.960191800000004</v>
      </c>
    </row>
    <row r="90" spans="1:8">
      <c r="F90" s="255"/>
    </row>
    <row r="91" spans="1:8" ht="25.5">
      <c r="A91" s="256" t="s">
        <v>617</v>
      </c>
      <c r="B91" s="257" t="s">
        <v>228</v>
      </c>
      <c r="C91" s="257" t="s">
        <v>558</v>
      </c>
      <c r="D91" s="257" t="s">
        <v>439</v>
      </c>
      <c r="E91" s="258" t="s">
        <v>559</v>
      </c>
      <c r="F91" s="258" t="s">
        <v>560</v>
      </c>
      <c r="G91" s="257" t="s">
        <v>606</v>
      </c>
      <c r="H91" s="257" t="s">
        <v>607</v>
      </c>
    </row>
    <row r="92" spans="1:8">
      <c r="B92" s="251">
        <v>30</v>
      </c>
      <c r="C92" s="251">
        <v>15</v>
      </c>
      <c r="D92" s="251">
        <v>520</v>
      </c>
      <c r="E92" s="251">
        <f>(B92+C92)*2*D92/10000</f>
        <v>4.68</v>
      </c>
      <c r="F92" s="251">
        <f>B92*C92*D92/1000000</f>
        <v>0.23400000000000001</v>
      </c>
      <c r="G92" s="254">
        <f>F95</f>
        <v>4.4485381200000003</v>
      </c>
      <c r="H92" s="254">
        <f>F104</f>
        <v>42.960191800000004</v>
      </c>
    </row>
    <row r="94" spans="1:8" ht="25.5">
      <c r="A94" s="252" t="s">
        <v>587</v>
      </c>
      <c r="B94" s="243" t="s">
        <v>564</v>
      </c>
      <c r="C94" s="243" t="s">
        <v>562</v>
      </c>
      <c r="D94" s="253" t="s">
        <v>565</v>
      </c>
      <c r="E94" s="243" t="s">
        <v>566</v>
      </c>
      <c r="F94" s="243" t="s">
        <v>563</v>
      </c>
    </row>
    <row r="95" spans="1:8">
      <c r="A95" t="s">
        <v>572</v>
      </c>
      <c r="B95" s="243">
        <v>78</v>
      </c>
      <c r="C95" s="243">
        <v>37</v>
      </c>
      <c r="D95" s="243">
        <f>B95*C95</f>
        <v>2886</v>
      </c>
      <c r="E95" s="255">
        <v>0.154142</v>
      </c>
      <c r="F95" s="255">
        <f>D95*E95/100</f>
        <v>4.4485381200000003</v>
      </c>
    </row>
    <row r="96" spans="1:8">
      <c r="A96" t="s">
        <v>573</v>
      </c>
      <c r="B96" s="243">
        <v>24</v>
      </c>
      <c r="C96" s="243">
        <v>10</v>
      </c>
      <c r="D96" s="243">
        <f>B96*C96</f>
        <v>240</v>
      </c>
      <c r="E96" s="255">
        <v>0.154142</v>
      </c>
      <c r="F96" s="255">
        <f>D96*E96/100</f>
        <v>0.36994079999999996</v>
      </c>
    </row>
    <row r="97" spans="1:8">
      <c r="B97" s="243"/>
      <c r="C97" s="243"/>
      <c r="D97" s="243"/>
      <c r="E97" s="255"/>
      <c r="F97" s="255">
        <f>SUM(F95:F96)</f>
        <v>4.8184789200000004</v>
      </c>
    </row>
    <row r="98" spans="1:8">
      <c r="B98" s="243"/>
      <c r="C98" s="243"/>
      <c r="D98" s="243"/>
      <c r="E98" s="255"/>
      <c r="F98" s="255"/>
    </row>
    <row r="99" spans="1:8" ht="25.5">
      <c r="A99" s="252" t="s">
        <v>588</v>
      </c>
      <c r="B99" s="243" t="s">
        <v>564</v>
      </c>
      <c r="C99" s="243" t="s">
        <v>562</v>
      </c>
      <c r="D99" s="253" t="s">
        <v>565</v>
      </c>
      <c r="E99" s="243" t="s">
        <v>566</v>
      </c>
      <c r="F99" s="243" t="s">
        <v>563</v>
      </c>
    </row>
    <row r="100" spans="1:8">
      <c r="A100" t="s">
        <v>569</v>
      </c>
      <c r="B100" s="243">
        <v>147</v>
      </c>
      <c r="C100" s="243">
        <v>2</v>
      </c>
      <c r="D100" s="243">
        <f>B100*C100</f>
        <v>294</v>
      </c>
      <c r="E100" s="255">
        <v>0.96323300000000001</v>
      </c>
      <c r="F100" s="255">
        <f>D100*E100/100</f>
        <v>2.8319050199999998</v>
      </c>
    </row>
    <row r="101" spans="1:8">
      <c r="A101" t="s">
        <v>574</v>
      </c>
      <c r="B101" s="243">
        <v>197</v>
      </c>
      <c r="C101" s="243">
        <v>4</v>
      </c>
      <c r="D101" s="243">
        <f t="shared" ref="D101:D103" si="14">B101*C101</f>
        <v>788</v>
      </c>
      <c r="E101" s="255">
        <v>0.96323300000000001</v>
      </c>
      <c r="F101" s="255">
        <f t="shared" ref="F101:F102" si="15">D101*E101/100</f>
        <v>7.59027604</v>
      </c>
    </row>
    <row r="102" spans="1:8">
      <c r="A102" t="s">
        <v>575</v>
      </c>
      <c r="B102" s="243">
        <v>287</v>
      </c>
      <c r="C102" s="243">
        <v>4</v>
      </c>
      <c r="D102" s="243">
        <f t="shared" si="14"/>
        <v>1148</v>
      </c>
      <c r="E102" s="255">
        <v>0.96323300000000001</v>
      </c>
      <c r="F102" s="255">
        <f t="shared" si="15"/>
        <v>11.05791484</v>
      </c>
    </row>
    <row r="103" spans="1:8">
      <c r="A103" t="s">
        <v>576</v>
      </c>
      <c r="B103" s="243">
        <v>127</v>
      </c>
      <c r="C103" s="243">
        <v>4</v>
      </c>
      <c r="D103" s="243">
        <f t="shared" si="14"/>
        <v>508</v>
      </c>
      <c r="E103" s="255">
        <v>0.96323300000000001</v>
      </c>
      <c r="F103" s="255">
        <f>SUM(F100:F102)</f>
        <v>21.480095900000002</v>
      </c>
    </row>
    <row r="104" spans="1:8">
      <c r="F104" s="255">
        <f>SUM(F100:F103)</f>
        <v>42.960191800000004</v>
      </c>
    </row>
    <row r="105" spans="1:8">
      <c r="F105" s="255"/>
    </row>
    <row r="106" spans="1:8" ht="25.5">
      <c r="A106" s="256" t="s">
        <v>618</v>
      </c>
      <c r="B106" s="257" t="s">
        <v>228</v>
      </c>
      <c r="C106" s="257" t="s">
        <v>558</v>
      </c>
      <c r="D106" s="257" t="s">
        <v>439</v>
      </c>
      <c r="E106" s="258" t="s">
        <v>559</v>
      </c>
      <c r="F106" s="258" t="s">
        <v>560</v>
      </c>
      <c r="G106" s="257" t="s">
        <v>606</v>
      </c>
      <c r="H106" s="257" t="s">
        <v>607</v>
      </c>
    </row>
    <row r="107" spans="1:8">
      <c r="B107" s="251">
        <v>30</v>
      </c>
      <c r="C107" s="251">
        <v>15</v>
      </c>
      <c r="D107" s="251">
        <v>520</v>
      </c>
      <c r="E107" s="251">
        <f>(B107+C107)*2*D107/10000</f>
        <v>4.68</v>
      </c>
      <c r="F107" s="251">
        <f>B107*C107*D107/1000000</f>
        <v>0.23400000000000001</v>
      </c>
      <c r="G107" s="254">
        <f>F110</f>
        <v>6.2519995200000009</v>
      </c>
      <c r="H107" s="254">
        <f>F116</f>
        <v>14.623522319999999</v>
      </c>
    </row>
    <row r="109" spans="1:8" ht="25.5">
      <c r="A109" s="252" t="s">
        <v>587</v>
      </c>
      <c r="B109" s="243" t="s">
        <v>564</v>
      </c>
      <c r="C109" s="243" t="s">
        <v>562</v>
      </c>
      <c r="D109" s="253" t="s">
        <v>565</v>
      </c>
      <c r="E109" s="243" t="s">
        <v>566</v>
      </c>
      <c r="F109" s="243" t="s">
        <v>563</v>
      </c>
    </row>
    <row r="110" spans="1:8">
      <c r="A110" t="s">
        <v>572</v>
      </c>
      <c r="B110" s="243">
        <v>78</v>
      </c>
      <c r="C110" s="243">
        <v>52</v>
      </c>
      <c r="D110" s="243">
        <f>B110*C110</f>
        <v>4056</v>
      </c>
      <c r="E110" s="255">
        <v>0.154142</v>
      </c>
      <c r="F110" s="255">
        <f>D110*E110/100</f>
        <v>6.2519995200000009</v>
      </c>
    </row>
    <row r="111" spans="1:8">
      <c r="B111" s="243"/>
      <c r="C111" s="243"/>
      <c r="D111" s="243"/>
      <c r="E111" s="255"/>
      <c r="F111" s="255"/>
    </row>
    <row r="112" spans="1:8" ht="25.5">
      <c r="A112" s="252" t="s">
        <v>590</v>
      </c>
      <c r="B112" s="243" t="s">
        <v>564</v>
      </c>
      <c r="C112" s="243" t="s">
        <v>562</v>
      </c>
      <c r="D112" s="253" t="s">
        <v>565</v>
      </c>
      <c r="E112" s="243" t="s">
        <v>566</v>
      </c>
      <c r="F112" s="243" t="s">
        <v>563</v>
      </c>
    </row>
    <row r="113" spans="1:8">
      <c r="A113" t="s">
        <v>608</v>
      </c>
      <c r="B113" s="243">
        <v>188</v>
      </c>
      <c r="C113" s="243">
        <v>4</v>
      </c>
      <c r="D113" s="243">
        <f>B113*C113</f>
        <v>752</v>
      </c>
      <c r="E113" s="255">
        <v>0.616506</v>
      </c>
      <c r="F113" s="255">
        <f>D113*E113/100</f>
        <v>4.63612512</v>
      </c>
    </row>
    <row r="114" spans="1:8">
      <c r="A114" t="s">
        <v>609</v>
      </c>
      <c r="B114" s="243">
        <v>278</v>
      </c>
      <c r="C114" s="243">
        <v>4</v>
      </c>
      <c r="D114" s="243">
        <f t="shared" ref="D114:D115" si="16">B114*C114</f>
        <v>1112</v>
      </c>
      <c r="E114" s="255">
        <v>0.616506</v>
      </c>
      <c r="F114" s="255">
        <f t="shared" ref="F114:F115" si="17">D114*E114/100</f>
        <v>6.8555467199999995</v>
      </c>
    </row>
    <row r="115" spans="1:8">
      <c r="A115" t="s">
        <v>610</v>
      </c>
      <c r="B115" s="243">
        <v>127</v>
      </c>
      <c r="C115" s="243">
        <v>4</v>
      </c>
      <c r="D115" s="243">
        <f t="shared" si="16"/>
        <v>508</v>
      </c>
      <c r="E115" s="255">
        <v>0.616506</v>
      </c>
      <c r="F115" s="255">
        <f t="shared" si="17"/>
        <v>3.1318504799999998</v>
      </c>
    </row>
    <row r="116" spans="1:8">
      <c r="F116" s="255">
        <f>SUM(F113:F115)</f>
        <v>14.623522319999999</v>
      </c>
    </row>
    <row r="117" spans="1:8">
      <c r="F117" s="255"/>
    </row>
    <row r="118" spans="1:8" ht="25.5">
      <c r="A118" s="256" t="s">
        <v>619</v>
      </c>
      <c r="B118" s="257" t="s">
        <v>228</v>
      </c>
      <c r="C118" s="257" t="s">
        <v>558</v>
      </c>
      <c r="D118" s="257" t="s">
        <v>439</v>
      </c>
      <c r="E118" s="258" t="s">
        <v>559</v>
      </c>
      <c r="F118" s="258" t="s">
        <v>560</v>
      </c>
      <c r="G118" s="257" t="s">
        <v>606</v>
      </c>
      <c r="H118" s="257" t="s">
        <v>607</v>
      </c>
    </row>
    <row r="119" spans="1:8">
      <c r="B119" s="251">
        <v>30</v>
      </c>
      <c r="C119" s="251">
        <v>15</v>
      </c>
      <c r="D119" s="251">
        <v>520</v>
      </c>
      <c r="E119" s="251">
        <f>(B119+C119)*2*D119/10000</f>
        <v>4.68</v>
      </c>
      <c r="F119" s="251">
        <f>B119*C119*D119/1000000</f>
        <v>0.23400000000000001</v>
      </c>
      <c r="G119" s="254">
        <f>F122</f>
        <v>6.2519995200000009</v>
      </c>
      <c r="H119" s="254">
        <f>F128</f>
        <v>14.623522319999999</v>
      </c>
    </row>
    <row r="121" spans="1:8" ht="25.5">
      <c r="A121" s="252" t="s">
        <v>587</v>
      </c>
      <c r="B121" s="243" t="s">
        <v>564</v>
      </c>
      <c r="C121" s="243" t="s">
        <v>562</v>
      </c>
      <c r="D121" s="253" t="s">
        <v>565</v>
      </c>
      <c r="E121" s="243" t="s">
        <v>566</v>
      </c>
      <c r="F121" s="243" t="s">
        <v>563</v>
      </c>
    </row>
    <row r="122" spans="1:8">
      <c r="A122" t="s">
        <v>572</v>
      </c>
      <c r="B122" s="243">
        <v>78</v>
      </c>
      <c r="C122" s="243">
        <v>52</v>
      </c>
      <c r="D122" s="243">
        <f>B122*C122</f>
        <v>4056</v>
      </c>
      <c r="E122" s="255">
        <v>0.154142</v>
      </c>
      <c r="F122" s="255">
        <f>D122*E122/100</f>
        <v>6.2519995200000009</v>
      </c>
    </row>
    <row r="123" spans="1:8">
      <c r="B123" s="243"/>
      <c r="C123" s="243"/>
      <c r="D123" s="243"/>
      <c r="E123" s="255"/>
      <c r="F123" s="255"/>
    </row>
    <row r="124" spans="1:8" ht="25.5">
      <c r="A124" s="252" t="s">
        <v>590</v>
      </c>
      <c r="B124" s="243" t="s">
        <v>564</v>
      </c>
      <c r="C124" s="243" t="s">
        <v>562</v>
      </c>
      <c r="D124" s="253" t="s">
        <v>565</v>
      </c>
      <c r="E124" s="243" t="s">
        <v>566</v>
      </c>
      <c r="F124" s="243" t="s">
        <v>563</v>
      </c>
    </row>
    <row r="125" spans="1:8">
      <c r="A125" t="s">
        <v>608</v>
      </c>
      <c r="B125" s="243">
        <v>188</v>
      </c>
      <c r="C125" s="243">
        <v>4</v>
      </c>
      <c r="D125" s="243">
        <f>B125*C125</f>
        <v>752</v>
      </c>
      <c r="E125" s="255">
        <v>0.616506</v>
      </c>
      <c r="F125" s="255">
        <f>D125*E125/100</f>
        <v>4.63612512</v>
      </c>
    </row>
    <row r="126" spans="1:8">
      <c r="A126" t="s">
        <v>609</v>
      </c>
      <c r="B126" s="243">
        <v>278</v>
      </c>
      <c r="C126" s="243">
        <v>4</v>
      </c>
      <c r="D126" s="243">
        <f t="shared" ref="D126:D127" si="18">B126*C126</f>
        <v>1112</v>
      </c>
      <c r="E126" s="255">
        <v>0.616506</v>
      </c>
      <c r="F126" s="255">
        <f t="shared" ref="F126:F127" si="19">D126*E126/100</f>
        <v>6.8555467199999995</v>
      </c>
    </row>
    <row r="127" spans="1:8">
      <c r="A127" t="s">
        <v>610</v>
      </c>
      <c r="B127" s="243">
        <v>127</v>
      </c>
      <c r="C127" s="243">
        <v>4</v>
      </c>
      <c r="D127" s="243">
        <f t="shared" si="18"/>
        <v>508</v>
      </c>
      <c r="E127" s="255">
        <v>0.616506</v>
      </c>
      <c r="F127" s="255">
        <f t="shared" si="19"/>
        <v>3.1318504799999998</v>
      </c>
    </row>
    <row r="128" spans="1:8">
      <c r="F128" s="255">
        <f>SUM(F125:F127)</f>
        <v>14.623522319999999</v>
      </c>
    </row>
    <row r="129" spans="1:9">
      <c r="F129" s="255"/>
    </row>
    <row r="130" spans="1:9" ht="25.5">
      <c r="A130" s="256" t="s">
        <v>620</v>
      </c>
      <c r="B130" s="257" t="s">
        <v>228</v>
      </c>
      <c r="C130" s="257" t="s">
        <v>558</v>
      </c>
      <c r="D130" s="257" t="s">
        <v>439</v>
      </c>
      <c r="E130" s="258" t="s">
        <v>559</v>
      </c>
      <c r="F130" s="258" t="s">
        <v>560</v>
      </c>
      <c r="G130" s="257" t="s">
        <v>606</v>
      </c>
      <c r="H130" s="257" t="s">
        <v>607</v>
      </c>
      <c r="I130" t="s">
        <v>621</v>
      </c>
    </row>
    <row r="131" spans="1:9">
      <c r="B131" s="251">
        <v>30</v>
      </c>
      <c r="C131" s="251">
        <v>15</v>
      </c>
      <c r="D131" s="251">
        <v>520</v>
      </c>
      <c r="E131" s="251">
        <f>(B131+C131)*2*D131/10000</f>
        <v>4.68</v>
      </c>
      <c r="F131" s="251">
        <f>B131*C131*D131/1000000</f>
        <v>0.23400000000000001</v>
      </c>
      <c r="G131" s="254">
        <f>F134</f>
        <v>6.2519995200000009</v>
      </c>
      <c r="H131" s="254">
        <f>F140</f>
        <v>14.623522319999999</v>
      </c>
    </row>
    <row r="133" spans="1:9" ht="25.5">
      <c r="A133" s="252" t="s">
        <v>587</v>
      </c>
      <c r="B133" s="243" t="s">
        <v>564</v>
      </c>
      <c r="C133" s="243" t="s">
        <v>562</v>
      </c>
      <c r="D133" s="253" t="s">
        <v>565</v>
      </c>
      <c r="E133" s="243" t="s">
        <v>566</v>
      </c>
      <c r="F133" s="243" t="s">
        <v>563</v>
      </c>
    </row>
    <row r="134" spans="1:9">
      <c r="A134" t="s">
        <v>572</v>
      </c>
      <c r="B134" s="243">
        <v>78</v>
      </c>
      <c r="C134" s="243">
        <v>52</v>
      </c>
      <c r="D134" s="243">
        <f>B134*C134</f>
        <v>4056</v>
      </c>
      <c r="E134" s="255">
        <v>0.154142</v>
      </c>
      <c r="F134" s="255">
        <f>D134*E134/100</f>
        <v>6.2519995200000009</v>
      </c>
    </row>
    <row r="135" spans="1:9">
      <c r="B135" s="243"/>
      <c r="C135" s="243"/>
      <c r="D135" s="243"/>
      <c r="E135" s="255"/>
      <c r="F135" s="255"/>
    </row>
    <row r="136" spans="1:9" ht="25.5">
      <c r="A136" s="252" t="s">
        <v>590</v>
      </c>
      <c r="B136" s="243" t="s">
        <v>564</v>
      </c>
      <c r="C136" s="243" t="s">
        <v>562</v>
      </c>
      <c r="D136" s="253" t="s">
        <v>565</v>
      </c>
      <c r="E136" s="243" t="s">
        <v>566</v>
      </c>
      <c r="F136" s="243" t="s">
        <v>563</v>
      </c>
    </row>
    <row r="137" spans="1:9">
      <c r="A137" t="s">
        <v>608</v>
      </c>
      <c r="B137" s="243">
        <v>188</v>
      </c>
      <c r="C137" s="243">
        <v>4</v>
      </c>
      <c r="D137" s="243">
        <f>B137*C137</f>
        <v>752</v>
      </c>
      <c r="E137" s="255">
        <v>0.616506</v>
      </c>
      <c r="F137" s="255">
        <f>D137*E137/100</f>
        <v>4.63612512</v>
      </c>
    </row>
    <row r="138" spans="1:9">
      <c r="A138" t="s">
        <v>609</v>
      </c>
      <c r="B138" s="243">
        <v>278</v>
      </c>
      <c r="C138" s="243">
        <v>4</v>
      </c>
      <c r="D138" s="243">
        <f t="shared" ref="D138:D139" si="20">B138*C138</f>
        <v>1112</v>
      </c>
      <c r="E138" s="255">
        <v>0.616506</v>
      </c>
      <c r="F138" s="255">
        <f t="shared" ref="F138:F139" si="21">D138*E138/100</f>
        <v>6.8555467199999995</v>
      </c>
    </row>
    <row r="139" spans="1:9">
      <c r="A139" t="s">
        <v>610</v>
      </c>
      <c r="B139" s="243">
        <v>127</v>
      </c>
      <c r="C139" s="243">
        <v>4</v>
      </c>
      <c r="D139" s="243">
        <f t="shared" si="20"/>
        <v>508</v>
      </c>
      <c r="E139" s="255">
        <v>0.616506</v>
      </c>
      <c r="F139" s="255">
        <f t="shared" si="21"/>
        <v>3.1318504799999998</v>
      </c>
    </row>
    <row r="140" spans="1:9">
      <c r="F140" s="255">
        <f>SUM(F137:F139)</f>
        <v>14.623522319999999</v>
      </c>
    </row>
    <row r="141" spans="1:9">
      <c r="F141" s="255"/>
    </row>
    <row r="142" spans="1:9" ht="25.5">
      <c r="A142" s="256" t="s">
        <v>571</v>
      </c>
      <c r="B142" s="257" t="s">
        <v>228</v>
      </c>
      <c r="C142" s="257" t="s">
        <v>558</v>
      </c>
      <c r="D142" s="257" t="s">
        <v>439</v>
      </c>
      <c r="E142" s="258" t="s">
        <v>559</v>
      </c>
      <c r="F142" s="258" t="s">
        <v>560</v>
      </c>
      <c r="G142" s="257" t="s">
        <v>606</v>
      </c>
      <c r="H142" s="257" t="s">
        <v>607</v>
      </c>
    </row>
    <row r="143" spans="1:9">
      <c r="B143" s="251">
        <v>30</v>
      </c>
      <c r="C143" s="251">
        <v>15</v>
      </c>
      <c r="D143" s="251">
        <v>820</v>
      </c>
      <c r="E143" s="251">
        <f>(B143+C143)*2*D143/10000</f>
        <v>7.38</v>
      </c>
      <c r="F143" s="251">
        <f>B143*C143*D143/1000000</f>
        <v>0.36899999999999999</v>
      </c>
      <c r="G143" s="255">
        <f>F148</f>
        <v>9.7479400799999993</v>
      </c>
      <c r="H143" s="255">
        <f>F156</f>
        <v>55.906043320000002</v>
      </c>
    </row>
    <row r="145" spans="1:8" ht="25.5">
      <c r="A145" s="252" t="s">
        <v>587</v>
      </c>
      <c r="B145" s="243" t="s">
        <v>564</v>
      </c>
      <c r="C145" s="243" t="s">
        <v>562</v>
      </c>
      <c r="D145" s="253" t="s">
        <v>565</v>
      </c>
      <c r="E145" s="243" t="s">
        <v>566</v>
      </c>
      <c r="F145" s="243" t="s">
        <v>563</v>
      </c>
    </row>
    <row r="146" spans="1:8">
      <c r="A146" t="s">
        <v>572</v>
      </c>
      <c r="B146" s="243">
        <v>78</v>
      </c>
      <c r="C146" s="243">
        <f>7+20+10+16+9</f>
        <v>62</v>
      </c>
      <c r="D146" s="243">
        <f>B146*C146</f>
        <v>4836</v>
      </c>
      <c r="E146" s="255">
        <v>0.154142</v>
      </c>
      <c r="F146" s="255">
        <f>D146*E146/100</f>
        <v>7.4543071199999993</v>
      </c>
    </row>
    <row r="147" spans="1:8">
      <c r="A147" t="s">
        <v>573</v>
      </c>
      <c r="B147" s="243">
        <v>24</v>
      </c>
      <c r="C147" s="243">
        <f>7+20+10+16+9</f>
        <v>62</v>
      </c>
      <c r="D147" s="243">
        <f>B147*C147</f>
        <v>1488</v>
      </c>
      <c r="E147" s="255">
        <v>0.154142</v>
      </c>
      <c r="F147" s="255">
        <f>D147*E147/100</f>
        <v>2.2936329600000001</v>
      </c>
    </row>
    <row r="148" spans="1:8">
      <c r="B148" s="243"/>
      <c r="C148" s="243"/>
      <c r="D148" s="243"/>
      <c r="E148" s="255"/>
      <c r="F148" s="255">
        <f>SUM(F146:F147)</f>
        <v>9.7479400799999993</v>
      </c>
    </row>
    <row r="149" spans="1:8" ht="25.5">
      <c r="A149" s="252" t="s">
        <v>588</v>
      </c>
      <c r="B149" s="243" t="s">
        <v>564</v>
      </c>
      <c r="C149" s="243" t="s">
        <v>562</v>
      </c>
      <c r="D149" s="253" t="s">
        <v>565</v>
      </c>
      <c r="E149" s="243" t="s">
        <v>566</v>
      </c>
      <c r="F149" s="243" t="s">
        <v>563</v>
      </c>
    </row>
    <row r="150" spans="1:8">
      <c r="A150" t="s">
        <v>567</v>
      </c>
      <c r="B150" s="243">
        <v>164</v>
      </c>
      <c r="C150" s="243">
        <v>6</v>
      </c>
      <c r="D150" s="243">
        <f>B150*C150</f>
        <v>984</v>
      </c>
      <c r="E150" s="255">
        <v>0.96323300000000001</v>
      </c>
      <c r="F150" s="255">
        <f>D150*E150/100</f>
        <v>9.4782127200000001</v>
      </c>
    </row>
    <row r="151" spans="1:8">
      <c r="A151" t="s">
        <v>568</v>
      </c>
      <c r="B151" s="243">
        <v>347</v>
      </c>
      <c r="C151" s="243">
        <v>6</v>
      </c>
      <c r="D151" s="243">
        <f t="shared" ref="D151:D155" si="22">B151*C151</f>
        <v>2082</v>
      </c>
      <c r="E151" s="255">
        <v>0.96323300000000001</v>
      </c>
      <c r="F151" s="255">
        <f t="shared" ref="F151:F155" si="23">D151*E151/100</f>
        <v>20.054511059999999</v>
      </c>
    </row>
    <row r="152" spans="1:8">
      <c r="A152" t="s">
        <v>569</v>
      </c>
      <c r="B152" s="243">
        <v>147</v>
      </c>
      <c r="C152" s="243">
        <v>2</v>
      </c>
      <c r="D152" s="243">
        <f t="shared" si="22"/>
        <v>294</v>
      </c>
      <c r="E152" s="255">
        <v>0.96323300000000001</v>
      </c>
      <c r="F152" s="255">
        <f t="shared" si="23"/>
        <v>2.8319050199999998</v>
      </c>
    </row>
    <row r="153" spans="1:8">
      <c r="A153" t="s">
        <v>574</v>
      </c>
      <c r="B153" s="243">
        <v>197</v>
      </c>
      <c r="C153" s="243">
        <v>4</v>
      </c>
      <c r="D153" s="243">
        <f t="shared" si="22"/>
        <v>788</v>
      </c>
      <c r="E153" s="255">
        <v>0.96323300000000001</v>
      </c>
      <c r="F153" s="255">
        <f t="shared" si="23"/>
        <v>7.59027604</v>
      </c>
    </row>
    <row r="154" spans="1:8">
      <c r="A154" t="s">
        <v>575</v>
      </c>
      <c r="B154" s="243">
        <v>287</v>
      </c>
      <c r="C154" s="243">
        <v>4</v>
      </c>
      <c r="D154" s="243">
        <f t="shared" si="22"/>
        <v>1148</v>
      </c>
      <c r="E154" s="255">
        <v>0.96323300000000001</v>
      </c>
      <c r="F154" s="255">
        <f t="shared" si="23"/>
        <v>11.05791484</v>
      </c>
    </row>
    <row r="155" spans="1:8">
      <c r="A155" t="s">
        <v>576</v>
      </c>
      <c r="B155" s="243">
        <v>127</v>
      </c>
      <c r="C155" s="243">
        <v>4</v>
      </c>
      <c r="D155" s="243">
        <f t="shared" si="22"/>
        <v>508</v>
      </c>
      <c r="E155" s="255">
        <v>0.96323300000000001</v>
      </c>
      <c r="F155" s="255">
        <f t="shared" si="23"/>
        <v>4.8932236399999995</v>
      </c>
    </row>
    <row r="156" spans="1:8">
      <c r="F156" s="255">
        <f>SUM(F150:F155)</f>
        <v>55.906043320000002</v>
      </c>
    </row>
    <row r="158" spans="1:8" ht="25.5">
      <c r="A158" s="256" t="s">
        <v>577</v>
      </c>
      <c r="B158" s="257" t="s">
        <v>228</v>
      </c>
      <c r="C158" s="257" t="s">
        <v>558</v>
      </c>
      <c r="D158" s="257" t="s">
        <v>439</v>
      </c>
      <c r="E158" s="258" t="s">
        <v>559</v>
      </c>
      <c r="F158" s="258" t="s">
        <v>560</v>
      </c>
      <c r="G158" s="257" t="s">
        <v>606</v>
      </c>
      <c r="H158" s="257" t="s">
        <v>607</v>
      </c>
    </row>
    <row r="159" spans="1:8">
      <c r="B159" s="251">
        <v>30</v>
      </c>
      <c r="C159" s="251">
        <v>15</v>
      </c>
      <c r="D159" s="251">
        <v>820</v>
      </c>
      <c r="E159" s="251">
        <f>(B159+C159)*2*D159/10000</f>
        <v>7.38</v>
      </c>
      <c r="F159" s="251">
        <f>B159*C159*D159/1000000</f>
        <v>0.36899999999999999</v>
      </c>
      <c r="G159" s="255">
        <f>F164</f>
        <v>9.7479400799999993</v>
      </c>
      <c r="H159" s="255">
        <f>F174</f>
        <v>72.512180240000006</v>
      </c>
    </row>
    <row r="161" spans="1:9" ht="25.5">
      <c r="A161" s="252" t="s">
        <v>587</v>
      </c>
      <c r="B161" s="243" t="s">
        <v>564</v>
      </c>
      <c r="C161" s="243" t="s">
        <v>562</v>
      </c>
      <c r="D161" s="253" t="s">
        <v>565</v>
      </c>
      <c r="E161" s="243" t="s">
        <v>566</v>
      </c>
      <c r="F161" s="243" t="s">
        <v>563</v>
      </c>
    </row>
    <row r="162" spans="1:9">
      <c r="A162" t="s">
        <v>572</v>
      </c>
      <c r="B162" s="243">
        <v>78</v>
      </c>
      <c r="C162" s="243">
        <f>7+20+10+16+9</f>
        <v>62</v>
      </c>
      <c r="D162" s="243">
        <f>B162*C162</f>
        <v>4836</v>
      </c>
      <c r="E162" s="255">
        <v>0.154142</v>
      </c>
      <c r="F162" s="255">
        <f>D162*E162/100</f>
        <v>7.4543071199999993</v>
      </c>
    </row>
    <row r="163" spans="1:9">
      <c r="A163" t="s">
        <v>573</v>
      </c>
      <c r="B163" s="243">
        <v>24</v>
      </c>
      <c r="C163" s="243">
        <f>7+20+10+16+9</f>
        <v>62</v>
      </c>
      <c r="D163" s="243">
        <f>B163*C163</f>
        <v>1488</v>
      </c>
      <c r="E163" s="255">
        <v>0.154142</v>
      </c>
      <c r="F163" s="255">
        <f>D163*E163/100</f>
        <v>2.2936329600000001</v>
      </c>
    </row>
    <row r="164" spans="1:9">
      <c r="B164" s="243"/>
      <c r="C164" s="243"/>
      <c r="D164" s="243"/>
      <c r="E164" s="255"/>
      <c r="F164" s="255">
        <f>SUM(F162:F163)</f>
        <v>9.7479400799999993</v>
      </c>
    </row>
    <row r="165" spans="1:9" ht="25.5">
      <c r="A165" s="252" t="s">
        <v>588</v>
      </c>
      <c r="B165" s="243" t="s">
        <v>564</v>
      </c>
      <c r="C165" s="243" t="s">
        <v>562</v>
      </c>
      <c r="D165" s="253" t="s">
        <v>565</v>
      </c>
      <c r="E165" s="243" t="s">
        <v>566</v>
      </c>
      <c r="F165" s="243" t="s">
        <v>563</v>
      </c>
    </row>
    <row r="166" spans="1:9">
      <c r="A166" t="s">
        <v>567</v>
      </c>
      <c r="B166" s="243">
        <v>164</v>
      </c>
      <c r="C166" s="243">
        <v>8</v>
      </c>
      <c r="D166" s="243">
        <f>B166*C166</f>
        <v>1312</v>
      </c>
      <c r="E166" s="255">
        <v>0.96323300000000001</v>
      </c>
      <c r="F166" s="255">
        <f>D166*E166/100</f>
        <v>12.637616960000001</v>
      </c>
    </row>
    <row r="167" spans="1:9">
      <c r="A167" t="s">
        <v>568</v>
      </c>
      <c r="B167" s="243">
        <v>347</v>
      </c>
      <c r="C167" s="243">
        <v>6</v>
      </c>
      <c r="D167" s="243">
        <f t="shared" ref="D167:D173" si="24">B167*C167</f>
        <v>2082</v>
      </c>
      <c r="E167" s="255">
        <v>0.96323300000000001</v>
      </c>
      <c r="F167" s="255">
        <f t="shared" ref="F167:F173" si="25">D167*E167/100</f>
        <v>20.054511059999999</v>
      </c>
    </row>
    <row r="168" spans="1:9">
      <c r="A168" t="s">
        <v>574</v>
      </c>
      <c r="B168" s="243">
        <v>197</v>
      </c>
      <c r="C168" s="243">
        <v>6</v>
      </c>
      <c r="D168" s="243">
        <f t="shared" si="24"/>
        <v>1182</v>
      </c>
      <c r="E168" s="255">
        <v>0.96323300000000001</v>
      </c>
      <c r="F168" s="255">
        <f t="shared" si="25"/>
        <v>11.38541406</v>
      </c>
    </row>
    <row r="169" spans="1:9">
      <c r="A169" t="s">
        <v>575</v>
      </c>
      <c r="B169" s="243">
        <v>287</v>
      </c>
      <c r="C169" s="243">
        <v>4</v>
      </c>
      <c r="D169" s="243">
        <f t="shared" si="24"/>
        <v>1148</v>
      </c>
      <c r="E169" s="255">
        <v>0.96323300000000001</v>
      </c>
      <c r="F169" s="255">
        <f t="shared" si="25"/>
        <v>11.05791484</v>
      </c>
    </row>
    <row r="170" spans="1:9">
      <c r="A170" t="s">
        <v>576</v>
      </c>
      <c r="B170" s="243">
        <v>127</v>
      </c>
      <c r="C170" s="243">
        <v>4</v>
      </c>
      <c r="D170" s="243">
        <f t="shared" si="24"/>
        <v>508</v>
      </c>
      <c r="E170" s="255">
        <v>0.96323300000000001</v>
      </c>
      <c r="F170" s="255">
        <f t="shared" si="25"/>
        <v>4.8932236399999995</v>
      </c>
    </row>
    <row r="171" spans="1:9">
      <c r="A171" t="s">
        <v>578</v>
      </c>
      <c r="B171" s="243">
        <v>237</v>
      </c>
      <c r="C171" s="243">
        <v>2</v>
      </c>
      <c r="D171" s="243">
        <f t="shared" si="24"/>
        <v>474</v>
      </c>
      <c r="E171" s="255">
        <v>0.96323300000000001</v>
      </c>
      <c r="F171" s="255">
        <f t="shared" si="25"/>
        <v>4.5657244200000004</v>
      </c>
    </row>
    <row r="172" spans="1:9">
      <c r="A172" t="s">
        <v>579</v>
      </c>
      <c r="B172" s="243">
        <v>114</v>
      </c>
      <c r="C172" s="243">
        <v>2</v>
      </c>
      <c r="D172" s="243">
        <f t="shared" si="24"/>
        <v>228</v>
      </c>
      <c r="E172" s="255">
        <v>0.96323300000000001</v>
      </c>
      <c r="F172" s="255">
        <f t="shared" si="25"/>
        <v>2.19617124</v>
      </c>
    </row>
    <row r="173" spans="1:9">
      <c r="A173" t="s">
        <v>580</v>
      </c>
      <c r="B173" s="243">
        <v>297</v>
      </c>
      <c r="C173" s="243">
        <v>2</v>
      </c>
      <c r="D173" s="243">
        <f t="shared" si="24"/>
        <v>594</v>
      </c>
      <c r="E173" s="255">
        <v>0.96323300000000001</v>
      </c>
      <c r="F173" s="255">
        <f t="shared" si="25"/>
        <v>5.72160402</v>
      </c>
    </row>
    <row r="174" spans="1:9">
      <c r="F174" s="255">
        <f>SUM(F166:F173)</f>
        <v>72.512180240000006</v>
      </c>
    </row>
    <row r="175" spans="1:9">
      <c r="F175" s="255"/>
    </row>
    <row r="176" spans="1:9" ht="25.5">
      <c r="A176" s="256" t="s">
        <v>622</v>
      </c>
      <c r="B176" s="257" t="s">
        <v>228</v>
      </c>
      <c r="C176" s="257" t="s">
        <v>558</v>
      </c>
      <c r="D176" s="257" t="s">
        <v>439</v>
      </c>
      <c r="E176" s="258" t="s">
        <v>559</v>
      </c>
      <c r="F176" s="258" t="s">
        <v>560</v>
      </c>
      <c r="G176" s="257" t="s">
        <v>606</v>
      </c>
      <c r="H176" s="257" t="s">
        <v>607</v>
      </c>
      <c r="I176" t="s">
        <v>621</v>
      </c>
    </row>
    <row r="177" spans="1:9">
      <c r="B177" s="251">
        <v>30</v>
      </c>
      <c r="C177" s="251">
        <v>15</v>
      </c>
      <c r="D177" s="251">
        <v>520</v>
      </c>
      <c r="E177" s="251">
        <f>(B177+C177)*2*D177/10000</f>
        <v>4.68</v>
      </c>
      <c r="F177" s="251">
        <f>B177*C177*D177/1000000</f>
        <v>0.23400000000000001</v>
      </c>
      <c r="G177" s="254">
        <f>F180</f>
        <v>6.2519995200000009</v>
      </c>
      <c r="H177" s="254">
        <f>F186</f>
        <v>14.623522319999999</v>
      </c>
    </row>
    <row r="179" spans="1:9" ht="25.5">
      <c r="A179" s="252" t="s">
        <v>587</v>
      </c>
      <c r="B179" s="243" t="s">
        <v>564</v>
      </c>
      <c r="C179" s="243" t="s">
        <v>562</v>
      </c>
      <c r="D179" s="253" t="s">
        <v>565</v>
      </c>
      <c r="E179" s="243" t="s">
        <v>566</v>
      </c>
      <c r="F179" s="243" t="s">
        <v>563</v>
      </c>
    </row>
    <row r="180" spans="1:9">
      <c r="A180" t="s">
        <v>572</v>
      </c>
      <c r="B180" s="243">
        <v>78</v>
      </c>
      <c r="C180" s="243">
        <v>52</v>
      </c>
      <c r="D180" s="243">
        <f>B180*C180</f>
        <v>4056</v>
      </c>
      <c r="E180" s="255">
        <v>0.154142</v>
      </c>
      <c r="F180" s="255">
        <f>D180*E180/100</f>
        <v>6.2519995200000009</v>
      </c>
    </row>
    <row r="181" spans="1:9">
      <c r="B181" s="243"/>
      <c r="C181" s="243"/>
      <c r="D181" s="243"/>
      <c r="E181" s="255"/>
      <c r="F181" s="255"/>
    </row>
    <row r="182" spans="1:9" ht="25.5">
      <c r="A182" s="252" t="s">
        <v>590</v>
      </c>
      <c r="B182" s="243" t="s">
        <v>564</v>
      </c>
      <c r="C182" s="243" t="s">
        <v>562</v>
      </c>
      <c r="D182" s="253" t="s">
        <v>565</v>
      </c>
      <c r="E182" s="243" t="s">
        <v>566</v>
      </c>
      <c r="F182" s="243" t="s">
        <v>563</v>
      </c>
    </row>
    <row r="183" spans="1:9">
      <c r="A183" t="s">
        <v>608</v>
      </c>
      <c r="B183" s="243">
        <v>188</v>
      </c>
      <c r="C183" s="243">
        <v>4</v>
      </c>
      <c r="D183" s="243">
        <f>B183*C183</f>
        <v>752</v>
      </c>
      <c r="E183" s="255">
        <v>0.616506</v>
      </c>
      <c r="F183" s="255">
        <f>D183*E183/100</f>
        <v>4.63612512</v>
      </c>
    </row>
    <row r="184" spans="1:9">
      <c r="A184" t="s">
        <v>609</v>
      </c>
      <c r="B184" s="243">
        <v>278</v>
      </c>
      <c r="C184" s="243">
        <v>4</v>
      </c>
      <c r="D184" s="243">
        <f t="shared" ref="D184:D185" si="26">B184*C184</f>
        <v>1112</v>
      </c>
      <c r="E184" s="255">
        <v>0.616506</v>
      </c>
      <c r="F184" s="255">
        <f t="shared" ref="F184:F185" si="27">D184*E184/100</f>
        <v>6.8555467199999995</v>
      </c>
    </row>
    <row r="185" spans="1:9">
      <c r="A185" t="s">
        <v>610</v>
      </c>
      <c r="B185" s="243">
        <v>127</v>
      </c>
      <c r="C185" s="243">
        <v>4</v>
      </c>
      <c r="D185" s="243">
        <f t="shared" si="26"/>
        <v>508</v>
      </c>
      <c r="E185" s="255">
        <v>0.616506</v>
      </c>
      <c r="F185" s="255">
        <f t="shared" si="27"/>
        <v>3.1318504799999998</v>
      </c>
    </row>
    <row r="186" spans="1:9">
      <c r="F186" s="255">
        <f>SUM(F183:F185)</f>
        <v>14.623522319999999</v>
      </c>
    </row>
    <row r="187" spans="1:9">
      <c r="F187" s="255"/>
    </row>
    <row r="188" spans="1:9">
      <c r="A188" s="261" t="s">
        <v>623</v>
      </c>
      <c r="F188" s="255"/>
    </row>
    <row r="189" spans="1:9" ht="25.5">
      <c r="A189" s="256"/>
      <c r="B189" s="257" t="s">
        <v>228</v>
      </c>
      <c r="C189" s="257" t="s">
        <v>558</v>
      </c>
      <c r="D189" s="257" t="s">
        <v>439</v>
      </c>
      <c r="E189" s="258" t="s">
        <v>559</v>
      </c>
      <c r="F189" s="258" t="s">
        <v>560</v>
      </c>
      <c r="G189" s="257" t="s">
        <v>606</v>
      </c>
      <c r="H189" s="257" t="s">
        <v>607</v>
      </c>
      <c r="I189" t="s">
        <v>621</v>
      </c>
    </row>
    <row r="190" spans="1:9">
      <c r="A190" s="251">
        <v>16</v>
      </c>
      <c r="B190" s="251">
        <v>30</v>
      </c>
      <c r="C190" s="251">
        <v>15</v>
      </c>
      <c r="D190" s="251">
        <v>150</v>
      </c>
      <c r="E190" s="251">
        <f>(B190+C190)*2*D190*A190/10000</f>
        <v>21.6</v>
      </c>
      <c r="F190" s="251">
        <f>B190*C190*D190*A190/1000000</f>
        <v>1.08</v>
      </c>
      <c r="G190" s="254">
        <f>F193*A190</f>
        <v>28.8553824</v>
      </c>
      <c r="H190" s="254">
        <f>F196*A190</f>
        <v>58.000884480000003</v>
      </c>
    </row>
    <row r="192" spans="1:9" ht="25.5">
      <c r="A192" s="252" t="s">
        <v>587</v>
      </c>
      <c r="B192" s="243" t="s">
        <v>564</v>
      </c>
      <c r="C192" s="243" t="s">
        <v>562</v>
      </c>
      <c r="D192" s="253" t="s">
        <v>565</v>
      </c>
      <c r="E192" s="243" t="s">
        <v>566</v>
      </c>
      <c r="F192" s="243" t="s">
        <v>563</v>
      </c>
    </row>
    <row r="193" spans="1:10">
      <c r="A193" t="s">
        <v>572</v>
      </c>
      <c r="B193" s="243">
        <v>78</v>
      </c>
      <c r="C193" s="243">
        <v>15</v>
      </c>
      <c r="D193" s="243">
        <f>B193*C193</f>
        <v>1170</v>
      </c>
      <c r="E193" s="255">
        <v>0.154142</v>
      </c>
      <c r="F193" s="255">
        <f>D193*E193/100</f>
        <v>1.8034614</v>
      </c>
    </row>
    <row r="194" spans="1:10">
      <c r="B194" s="243"/>
      <c r="C194" s="243"/>
      <c r="D194" s="243"/>
      <c r="E194" s="255"/>
      <c r="F194" s="255"/>
    </row>
    <row r="195" spans="1:10" ht="25.5">
      <c r="A195" s="252" t="s">
        <v>590</v>
      </c>
      <c r="B195" s="243" t="s">
        <v>564</v>
      </c>
      <c r="C195" s="243" t="s">
        <v>562</v>
      </c>
      <c r="D195" s="253" t="s">
        <v>565</v>
      </c>
      <c r="E195" s="243" t="s">
        <v>566</v>
      </c>
      <c r="F195" s="243" t="s">
        <v>563</v>
      </c>
    </row>
    <row r="196" spans="1:10">
      <c r="A196" t="s">
        <v>624</v>
      </c>
      <c r="B196" s="243">
        <v>147</v>
      </c>
      <c r="C196" s="243">
        <v>4</v>
      </c>
      <c r="D196" s="243">
        <f>B196*C196</f>
        <v>588</v>
      </c>
      <c r="E196" s="255">
        <v>0.616506</v>
      </c>
      <c r="F196" s="255">
        <f>D196*E196/100</f>
        <v>3.6250552800000002</v>
      </c>
    </row>
    <row r="198" spans="1:10">
      <c r="A198" t="s">
        <v>581</v>
      </c>
    </row>
    <row r="199" spans="1:10" ht="25.5">
      <c r="A199" s="256" t="s">
        <v>582</v>
      </c>
      <c r="B199" s="257" t="s">
        <v>228</v>
      </c>
      <c r="C199" s="257" t="s">
        <v>558</v>
      </c>
      <c r="D199" s="257" t="s">
        <v>439</v>
      </c>
      <c r="E199" s="258" t="s">
        <v>559</v>
      </c>
      <c r="F199" s="258" t="s">
        <v>560</v>
      </c>
      <c r="G199" s="257" t="s">
        <v>606</v>
      </c>
      <c r="H199" s="257" t="s">
        <v>607</v>
      </c>
      <c r="I199" s="243"/>
      <c r="J199" s="243"/>
    </row>
    <row r="200" spans="1:10">
      <c r="B200" s="251">
        <v>118.5</v>
      </c>
      <c r="C200" s="251">
        <v>15</v>
      </c>
      <c r="D200" s="251">
        <v>40</v>
      </c>
      <c r="E200" s="251">
        <f>(D200*2+C200)*B200/10000</f>
        <v>1.12575</v>
      </c>
      <c r="F200" s="251">
        <f>B200*C200*D200/1000000</f>
        <v>7.1099999999999997E-2</v>
      </c>
      <c r="G200" s="255">
        <f>F203</f>
        <v>5.8913072399999997</v>
      </c>
      <c r="H200" s="255">
        <f>F208+F212</f>
        <v>27.67231494</v>
      </c>
    </row>
    <row r="201" spans="1:10">
      <c r="G201" s="243"/>
      <c r="H201" s="243"/>
    </row>
    <row r="202" spans="1:10" ht="25.5">
      <c r="A202" s="253" t="s">
        <v>587</v>
      </c>
      <c r="B202" s="243" t="s">
        <v>564</v>
      </c>
      <c r="C202" s="243" t="s">
        <v>562</v>
      </c>
      <c r="D202" s="253" t="s">
        <v>565</v>
      </c>
      <c r="E202" s="243" t="s">
        <v>566</v>
      </c>
      <c r="F202" s="243" t="s">
        <v>563</v>
      </c>
    </row>
    <row r="203" spans="1:10">
      <c r="A203" t="s">
        <v>573</v>
      </c>
      <c r="B203" s="243">
        <v>98</v>
      </c>
      <c r="C203" s="243">
        <v>39</v>
      </c>
      <c r="D203" s="243">
        <f>B203*C203</f>
        <v>3822</v>
      </c>
      <c r="E203" s="255">
        <v>0.154142</v>
      </c>
      <c r="F203" s="255">
        <f>D203*E203/100</f>
        <v>5.8913072399999997</v>
      </c>
    </row>
    <row r="204" spans="1:10">
      <c r="B204" s="243"/>
      <c r="C204" s="243"/>
      <c r="D204" s="243"/>
      <c r="E204" s="255"/>
      <c r="F204" s="255"/>
    </row>
    <row r="205" spans="1:10" ht="25.5">
      <c r="A205" s="253" t="s">
        <v>589</v>
      </c>
      <c r="B205" s="243" t="s">
        <v>564</v>
      </c>
      <c r="C205" s="243" t="s">
        <v>562</v>
      </c>
      <c r="D205" s="253" t="s">
        <v>565</v>
      </c>
      <c r="E205" s="243" t="s">
        <v>566</v>
      </c>
      <c r="F205" s="243" t="s">
        <v>563</v>
      </c>
    </row>
    <row r="206" spans="1:10">
      <c r="A206" t="s">
        <v>583</v>
      </c>
      <c r="B206" s="243">
        <v>820</v>
      </c>
      <c r="C206" s="243">
        <v>2</v>
      </c>
      <c r="D206" s="243">
        <f>B206*C206</f>
        <v>1640</v>
      </c>
      <c r="E206" s="255">
        <v>0.39460600000000001</v>
      </c>
      <c r="F206" s="255">
        <f>D206*E206/100</f>
        <v>6.4715384000000009</v>
      </c>
    </row>
    <row r="207" spans="1:10">
      <c r="A207" t="s">
        <v>584</v>
      </c>
      <c r="B207" s="243">
        <v>497</v>
      </c>
      <c r="C207" s="243">
        <v>2</v>
      </c>
      <c r="D207" s="243">
        <f t="shared" ref="D207:D211" si="28">B207*C207</f>
        <v>994</v>
      </c>
      <c r="E207" s="255">
        <v>0.39460600000000001</v>
      </c>
      <c r="F207" s="255">
        <f>D207*E207/100</f>
        <v>3.9223836400000001</v>
      </c>
    </row>
    <row r="208" spans="1:10">
      <c r="B208" s="243"/>
      <c r="C208" s="243"/>
      <c r="D208" s="243"/>
      <c r="E208" s="255"/>
      <c r="F208" s="255">
        <f>SUM(F206:F207)</f>
        <v>10.393922040000001</v>
      </c>
    </row>
    <row r="209" spans="1:8" ht="25.5">
      <c r="A209" s="243" t="s">
        <v>590</v>
      </c>
      <c r="B209" s="243" t="s">
        <v>564</v>
      </c>
      <c r="C209" s="243" t="s">
        <v>562</v>
      </c>
      <c r="D209" s="253" t="s">
        <v>565</v>
      </c>
      <c r="E209" s="243" t="s">
        <v>566</v>
      </c>
      <c r="F209" s="243" t="s">
        <v>563</v>
      </c>
    </row>
    <row r="210" spans="1:8">
      <c r="A210" t="s">
        <v>585</v>
      </c>
      <c r="B210" s="243">
        <v>536</v>
      </c>
      <c r="C210" s="243">
        <v>2</v>
      </c>
      <c r="D210" s="243">
        <f t="shared" si="28"/>
        <v>1072</v>
      </c>
      <c r="E210" s="255">
        <v>0.616645</v>
      </c>
      <c r="F210" s="255">
        <f>D210*E210/100</f>
        <v>6.6104343999999999</v>
      </c>
    </row>
    <row r="211" spans="1:8">
      <c r="A211" t="s">
        <v>586</v>
      </c>
      <c r="B211" s="251">
        <v>865</v>
      </c>
      <c r="C211" s="251">
        <v>2</v>
      </c>
      <c r="D211" s="243">
        <f t="shared" si="28"/>
        <v>1730</v>
      </c>
      <c r="E211" s="255">
        <v>0.616645</v>
      </c>
      <c r="F211" s="255">
        <f>D211*E211/100</f>
        <v>10.667958499999999</v>
      </c>
    </row>
    <row r="212" spans="1:8">
      <c r="F212" s="255">
        <f>SUM(F210:F211)</f>
        <v>17.2783929</v>
      </c>
    </row>
    <row r="214" spans="1:8" ht="25.5">
      <c r="A214" s="256" t="s">
        <v>591</v>
      </c>
      <c r="B214" s="257" t="s">
        <v>228</v>
      </c>
      <c r="C214" s="257" t="s">
        <v>558</v>
      </c>
      <c r="D214" s="257" t="s">
        <v>439</v>
      </c>
      <c r="E214" s="258" t="s">
        <v>559</v>
      </c>
      <c r="F214" s="258" t="s">
        <v>560</v>
      </c>
      <c r="G214" s="257" t="s">
        <v>606</v>
      </c>
      <c r="H214" s="257" t="s">
        <v>607</v>
      </c>
    </row>
    <row r="215" spans="1:8">
      <c r="B215" s="251">
        <v>118.5</v>
      </c>
      <c r="C215" s="251">
        <v>15</v>
      </c>
      <c r="D215" s="251">
        <v>40</v>
      </c>
      <c r="E215" s="251">
        <f>(D215*2+C215)*B215/10000</f>
        <v>1.12575</v>
      </c>
      <c r="F215" s="251">
        <f>B215*C215*D215/1000000</f>
        <v>7.1099999999999997E-2</v>
      </c>
      <c r="G215" s="255">
        <f>F218</f>
        <v>12.386851120000001</v>
      </c>
      <c r="H215" s="255">
        <f>F221+F226</f>
        <v>37.339906280000008</v>
      </c>
    </row>
    <row r="216" spans="1:8">
      <c r="G216" s="243"/>
      <c r="H216" s="243"/>
    </row>
    <row r="217" spans="1:8" ht="25.5">
      <c r="A217" s="253" t="s">
        <v>587</v>
      </c>
      <c r="B217" s="243" t="s">
        <v>564</v>
      </c>
      <c r="C217" s="243" t="s">
        <v>562</v>
      </c>
      <c r="D217" s="253" t="s">
        <v>565</v>
      </c>
      <c r="E217" s="243" t="s">
        <v>566</v>
      </c>
      <c r="F217" s="243" t="s">
        <v>563</v>
      </c>
    </row>
    <row r="218" spans="1:8">
      <c r="A218" t="s">
        <v>573</v>
      </c>
      <c r="B218" s="243">
        <v>98</v>
      </c>
      <c r="C218" s="243">
        <v>82</v>
      </c>
      <c r="D218" s="243">
        <f>B218*C218</f>
        <v>8036</v>
      </c>
      <c r="E218" s="255">
        <v>0.154142</v>
      </c>
      <c r="F218" s="255">
        <f>D218*E218/100</f>
        <v>12.386851120000001</v>
      </c>
    </row>
    <row r="219" spans="1:8">
      <c r="B219" s="243"/>
      <c r="C219" s="243"/>
      <c r="D219" s="243"/>
      <c r="E219" s="255"/>
      <c r="F219" s="255"/>
    </row>
    <row r="220" spans="1:8" ht="25.5">
      <c r="A220" s="253" t="s">
        <v>589</v>
      </c>
      <c r="B220" s="243" t="s">
        <v>564</v>
      </c>
      <c r="C220" s="243" t="s">
        <v>562</v>
      </c>
      <c r="D220" s="253" t="s">
        <v>565</v>
      </c>
      <c r="E220" s="243" t="s">
        <v>566</v>
      </c>
      <c r="F220" s="243" t="s">
        <v>563</v>
      </c>
    </row>
    <row r="221" spans="1:8">
      <c r="A221" t="s">
        <v>592</v>
      </c>
      <c r="B221" s="243">
        <v>617</v>
      </c>
      <c r="C221" s="243">
        <v>4</v>
      </c>
      <c r="D221" s="243">
        <f>B221*C221</f>
        <v>2468</v>
      </c>
      <c r="E221" s="255">
        <v>0.39460600000000001</v>
      </c>
      <c r="F221" s="255">
        <f>D221*E221/100</f>
        <v>9.7388760800000007</v>
      </c>
    </row>
    <row r="222" spans="1:8">
      <c r="B222" s="243"/>
      <c r="C222" s="243"/>
      <c r="D222" s="243"/>
      <c r="E222" s="255"/>
      <c r="F222" s="255"/>
    </row>
    <row r="223" spans="1:8" ht="25.5">
      <c r="A223" s="243" t="s">
        <v>590</v>
      </c>
      <c r="B223" s="243" t="s">
        <v>564</v>
      </c>
      <c r="C223" s="243" t="s">
        <v>562</v>
      </c>
      <c r="D223" s="253" t="s">
        <v>565</v>
      </c>
      <c r="E223" s="243" t="s">
        <v>566</v>
      </c>
      <c r="F223" s="243" t="s">
        <v>563</v>
      </c>
    </row>
    <row r="224" spans="1:8">
      <c r="A224" t="s">
        <v>593</v>
      </c>
      <c r="B224" s="243">
        <v>833</v>
      </c>
      <c r="C224" s="243">
        <v>4</v>
      </c>
      <c r="D224" s="243">
        <f t="shared" ref="D224:D225" si="29">B224*C224</f>
        <v>3332</v>
      </c>
      <c r="E224" s="255">
        <v>0.616645</v>
      </c>
      <c r="F224" s="255">
        <f>D224*E224/100</f>
        <v>20.546611400000003</v>
      </c>
    </row>
    <row r="225" spans="1:10">
      <c r="A225" t="s">
        <v>594</v>
      </c>
      <c r="B225" s="251">
        <v>286</v>
      </c>
      <c r="C225" s="251">
        <v>4</v>
      </c>
      <c r="D225" s="243">
        <f t="shared" si="29"/>
        <v>1144</v>
      </c>
      <c r="E225" s="255">
        <v>0.616645</v>
      </c>
      <c r="F225" s="255">
        <f>D225*E225/100</f>
        <v>7.0544187999999997</v>
      </c>
    </row>
    <row r="226" spans="1:10">
      <c r="F226" s="255">
        <f>SUM(F224:F225)</f>
        <v>27.601030200000004</v>
      </c>
    </row>
    <row r="228" spans="1:10" ht="25.5">
      <c r="A228" s="256" t="s">
        <v>595</v>
      </c>
      <c r="B228" s="257" t="s">
        <v>228</v>
      </c>
      <c r="C228" s="257" t="s">
        <v>558</v>
      </c>
      <c r="D228" s="257" t="s">
        <v>439</v>
      </c>
      <c r="E228" s="258" t="s">
        <v>559</v>
      </c>
      <c r="F228" s="258" t="s">
        <v>560</v>
      </c>
      <c r="G228" s="257" t="s">
        <v>606</v>
      </c>
      <c r="H228" s="257" t="s">
        <v>607</v>
      </c>
    </row>
    <row r="229" spans="1:10">
      <c r="B229" s="251">
        <v>118.5</v>
      </c>
      <c r="C229" s="251">
        <v>15</v>
      </c>
      <c r="D229" s="251">
        <v>50</v>
      </c>
      <c r="E229" s="251">
        <f>(D229*2+C229)*B229/10000</f>
        <v>1.3627499999999999</v>
      </c>
      <c r="F229" s="251">
        <f>B229*C229*D229/1000000</f>
        <v>8.8874999999999996E-2</v>
      </c>
      <c r="G229" s="255">
        <f>F232</f>
        <v>5.6385143600000003</v>
      </c>
      <c r="H229" s="255">
        <f>F237</f>
        <v>9.7664985000000009</v>
      </c>
      <c r="I229" s="255"/>
    </row>
    <row r="230" spans="1:10">
      <c r="G230" s="243"/>
      <c r="H230" s="243"/>
    </row>
    <row r="231" spans="1:10" ht="25.5">
      <c r="A231" s="253" t="s">
        <v>587</v>
      </c>
      <c r="B231" s="243" t="s">
        <v>564</v>
      </c>
      <c r="C231" s="243" t="s">
        <v>562</v>
      </c>
      <c r="D231" s="253" t="s">
        <v>565</v>
      </c>
      <c r="E231" s="243" t="s">
        <v>566</v>
      </c>
      <c r="F231" s="243" t="s">
        <v>563</v>
      </c>
    </row>
    <row r="232" spans="1:10">
      <c r="A232" t="s">
        <v>596</v>
      </c>
      <c r="B232" s="243">
        <v>118</v>
      </c>
      <c r="C232" s="243">
        <v>31</v>
      </c>
      <c r="D232" s="243">
        <f>B232*C232</f>
        <v>3658</v>
      </c>
      <c r="E232" s="255">
        <v>0.154142</v>
      </c>
      <c r="F232" s="255">
        <f>D232*E232/100</f>
        <v>5.6385143600000003</v>
      </c>
    </row>
    <row r="233" spans="1:10">
      <c r="B233" s="243"/>
      <c r="C233" s="243"/>
      <c r="D233" s="243"/>
      <c r="E233" s="255"/>
      <c r="F233" s="255"/>
    </row>
    <row r="234" spans="1:10" ht="25.5">
      <c r="A234" s="253" t="s">
        <v>589</v>
      </c>
      <c r="B234" s="243" t="s">
        <v>564</v>
      </c>
      <c r="C234" s="243" t="s">
        <v>562</v>
      </c>
      <c r="D234" s="253" t="s">
        <v>565</v>
      </c>
      <c r="E234" s="243" t="s">
        <v>566</v>
      </c>
      <c r="F234" s="243" t="s">
        <v>563</v>
      </c>
    </row>
    <row r="235" spans="1:10">
      <c r="A235" t="s">
        <v>597</v>
      </c>
      <c r="B235" s="243">
        <v>825</v>
      </c>
      <c r="C235" s="243">
        <v>3</v>
      </c>
      <c r="D235" s="243">
        <f>B235*C235</f>
        <v>2475</v>
      </c>
      <c r="E235" s="255">
        <v>0.39460600000000001</v>
      </c>
      <c r="F235" s="255">
        <f>D235*E235/100</f>
        <v>9.7664985000000009</v>
      </c>
    </row>
    <row r="236" spans="1:10">
      <c r="A236" t="s">
        <v>598</v>
      </c>
      <c r="B236" s="243">
        <v>854</v>
      </c>
      <c r="C236" s="243">
        <v>3</v>
      </c>
      <c r="D236" s="243">
        <f>B236*C236</f>
        <v>2562</v>
      </c>
      <c r="E236" s="255">
        <v>0.39460600000000001</v>
      </c>
      <c r="F236" s="255">
        <f>D236*E236/100</f>
        <v>10.109805720000001</v>
      </c>
    </row>
    <row r="237" spans="1:10">
      <c r="B237" s="243"/>
      <c r="C237" s="243"/>
      <c r="D237" s="243"/>
      <c r="E237" s="255"/>
      <c r="F237" s="255">
        <f>SUM(F235:F235)</f>
        <v>9.7664985000000009</v>
      </c>
    </row>
    <row r="238" spans="1:10">
      <c r="A238" s="243"/>
      <c r="B238" s="243"/>
      <c r="C238" s="243"/>
      <c r="D238" s="253"/>
      <c r="E238" s="243"/>
      <c r="F238" s="243"/>
    </row>
    <row r="239" spans="1:10" ht="25.5">
      <c r="A239" s="256" t="s">
        <v>599</v>
      </c>
      <c r="B239" s="257" t="s">
        <v>228</v>
      </c>
      <c r="C239" s="257" t="s">
        <v>558</v>
      </c>
      <c r="D239" s="257" t="s">
        <v>439</v>
      </c>
      <c r="E239" s="258" t="s">
        <v>559</v>
      </c>
      <c r="F239" s="258" t="s">
        <v>560</v>
      </c>
      <c r="G239" s="257" t="s">
        <v>606</v>
      </c>
      <c r="H239" s="257" t="s">
        <v>607</v>
      </c>
    </row>
    <row r="240" spans="1:10">
      <c r="B240" s="251">
        <v>118.5</v>
      </c>
      <c r="C240" s="251">
        <v>15</v>
      </c>
      <c r="D240" s="251">
        <v>50</v>
      </c>
      <c r="E240" s="251">
        <f>(D240*2+C240)*B240/10000</f>
        <v>1.3627499999999999</v>
      </c>
      <c r="F240" s="251">
        <f>B240*C240*D240/100000</f>
        <v>0.88875000000000004</v>
      </c>
      <c r="G240" s="255">
        <f>F243</f>
        <v>6.9487213599999995</v>
      </c>
      <c r="H240" s="255">
        <f>F246+F249+F254</f>
        <v>46.487341119999996</v>
      </c>
      <c r="I240" s="255"/>
      <c r="J240" s="255"/>
    </row>
    <row r="241" spans="1:8">
      <c r="G241" s="243"/>
      <c r="H241" s="243"/>
    </row>
    <row r="242" spans="1:8" ht="25.5">
      <c r="A242" s="253" t="s">
        <v>587</v>
      </c>
      <c r="B242" s="243" t="s">
        <v>564</v>
      </c>
      <c r="C242" s="243" t="s">
        <v>562</v>
      </c>
      <c r="D242" s="253" t="s">
        <v>565</v>
      </c>
      <c r="E242" s="243" t="s">
        <v>566</v>
      </c>
      <c r="F242" s="243" t="s">
        <v>563</v>
      </c>
    </row>
    <row r="243" spans="1:8">
      <c r="A243" t="s">
        <v>573</v>
      </c>
      <c r="B243" s="243">
        <v>98</v>
      </c>
      <c r="C243" s="243">
        <v>46</v>
      </c>
      <c r="D243" s="243">
        <f>B243*C243</f>
        <v>4508</v>
      </c>
      <c r="E243" s="255">
        <v>0.154142</v>
      </c>
      <c r="F243" s="255">
        <f>D243*E243/100</f>
        <v>6.9487213599999995</v>
      </c>
    </row>
    <row r="244" spans="1:8">
      <c r="B244" s="243"/>
      <c r="C244" s="243"/>
      <c r="D244" s="243"/>
      <c r="E244" s="255"/>
      <c r="F244" s="255"/>
    </row>
    <row r="245" spans="1:8" ht="25.5">
      <c r="A245" s="253" t="s">
        <v>589</v>
      </c>
      <c r="B245" s="243" t="s">
        <v>564</v>
      </c>
      <c r="C245" s="243" t="s">
        <v>562</v>
      </c>
      <c r="D245" s="253" t="s">
        <v>565</v>
      </c>
      <c r="E245" s="243" t="s">
        <v>566</v>
      </c>
      <c r="F245" s="243" t="s">
        <v>563</v>
      </c>
    </row>
    <row r="246" spans="1:8">
      <c r="A246" t="s">
        <v>600</v>
      </c>
      <c r="B246" s="243">
        <v>192</v>
      </c>
      <c r="C246" s="243">
        <v>2</v>
      </c>
      <c r="D246" s="243">
        <f>B246*C246</f>
        <v>384</v>
      </c>
      <c r="E246" s="255">
        <v>0.39460600000000001</v>
      </c>
      <c r="F246" s="255">
        <f>D246*E246/100</f>
        <v>1.51528704</v>
      </c>
    </row>
    <row r="247" spans="1:8">
      <c r="B247" s="243"/>
      <c r="C247" s="243"/>
      <c r="D247" s="243"/>
      <c r="E247" s="255"/>
      <c r="F247" s="255"/>
    </row>
    <row r="248" spans="1:8" ht="25.5">
      <c r="A248" s="253" t="s">
        <v>590</v>
      </c>
      <c r="B248" s="243" t="s">
        <v>564</v>
      </c>
      <c r="C248" s="243" t="s">
        <v>562</v>
      </c>
      <c r="D248" s="253" t="s">
        <v>565</v>
      </c>
      <c r="E248" s="243" t="s">
        <v>566</v>
      </c>
      <c r="F248" s="243" t="s">
        <v>563</v>
      </c>
    </row>
    <row r="249" spans="1:8">
      <c r="A249" t="s">
        <v>601</v>
      </c>
      <c r="B249" s="243">
        <v>747</v>
      </c>
      <c r="C249" s="243">
        <v>4</v>
      </c>
      <c r="D249" s="243">
        <f>B249*C249</f>
        <v>2988</v>
      </c>
      <c r="E249" s="255">
        <v>0.616645</v>
      </c>
      <c r="F249" s="255">
        <f>D249*E249/100</f>
        <v>18.4253526</v>
      </c>
    </row>
    <row r="251" spans="1:8" ht="25.5">
      <c r="A251" s="253" t="s">
        <v>588</v>
      </c>
      <c r="B251" s="243" t="s">
        <v>564</v>
      </c>
      <c r="C251" s="243" t="s">
        <v>562</v>
      </c>
      <c r="D251" s="253" t="s">
        <v>565</v>
      </c>
      <c r="E251" s="243" t="s">
        <v>566</v>
      </c>
      <c r="F251" s="243" t="s">
        <v>563</v>
      </c>
    </row>
    <row r="252" spans="1:8">
      <c r="A252" t="s">
        <v>602</v>
      </c>
      <c r="B252" s="243">
        <v>419</v>
      </c>
      <c r="C252" s="243">
        <v>2</v>
      </c>
      <c r="D252" s="243">
        <f>B252*C252</f>
        <v>838</v>
      </c>
      <c r="E252" s="255">
        <v>0.96323300000000001</v>
      </c>
      <c r="F252" s="255">
        <f>D252*E252/100</f>
        <v>8.0718925400000003</v>
      </c>
    </row>
    <row r="253" spans="1:8">
      <c r="A253" t="s">
        <v>603</v>
      </c>
      <c r="B253" s="243">
        <v>959</v>
      </c>
      <c r="C253" s="243">
        <v>2</v>
      </c>
      <c r="D253" s="243">
        <f>B253*C253</f>
        <v>1918</v>
      </c>
      <c r="E253" s="255">
        <v>0.96323300000000001</v>
      </c>
      <c r="F253" s="255">
        <f>D253*E253/100</f>
        <v>18.474808939999999</v>
      </c>
    </row>
    <row r="254" spans="1:8">
      <c r="F254" s="255">
        <f>SUM(F252:F253)</f>
        <v>26.546701479999999</v>
      </c>
    </row>
    <row r="256" spans="1:8">
      <c r="A256" s="261" t="s">
        <v>625</v>
      </c>
    </row>
    <row r="257" spans="1:9" ht="25.5">
      <c r="A257" s="256"/>
      <c r="B257" s="257" t="s">
        <v>228</v>
      </c>
      <c r="C257" s="257" t="s">
        <v>558</v>
      </c>
      <c r="D257" s="257" t="s">
        <v>439</v>
      </c>
      <c r="E257" s="258" t="s">
        <v>559</v>
      </c>
      <c r="F257" s="258" t="s">
        <v>560</v>
      </c>
      <c r="G257" s="257" t="s">
        <v>606</v>
      </c>
      <c r="H257" s="257" t="s">
        <v>607</v>
      </c>
      <c r="I257" t="s">
        <v>626</v>
      </c>
    </row>
    <row r="258" spans="1:9">
      <c r="A258" s="251">
        <v>11</v>
      </c>
      <c r="B258" s="251">
        <v>338.5</v>
      </c>
      <c r="C258" s="251">
        <v>15</v>
      </c>
      <c r="D258" s="251">
        <v>30</v>
      </c>
      <c r="E258" s="251">
        <f>(D258*2+C258)*B258*A258/10000</f>
        <v>27.92625</v>
      </c>
      <c r="F258" s="251">
        <f>B258*C258*D258*A258/1000000</f>
        <v>1.675575</v>
      </c>
      <c r="G258" s="255">
        <f>F261*B258*A258/100</f>
        <v>35.814338788799994</v>
      </c>
      <c r="H258" s="255">
        <f>F264*B258*A258/100</f>
        <v>82.281664696000007</v>
      </c>
    </row>
    <row r="259" spans="1:9">
      <c r="G259" s="243"/>
      <c r="H259" s="243"/>
    </row>
    <row r="260" spans="1:9" ht="25.5">
      <c r="A260" s="253" t="s">
        <v>587</v>
      </c>
      <c r="B260" s="243" t="s">
        <v>564</v>
      </c>
      <c r="C260" s="243" t="s">
        <v>562</v>
      </c>
      <c r="D260" s="253" t="s">
        <v>565</v>
      </c>
      <c r="E260" s="243" t="s">
        <v>566</v>
      </c>
      <c r="F260" s="243" t="s">
        <v>563</v>
      </c>
    </row>
    <row r="261" spans="1:9">
      <c r="A261" t="s">
        <v>572</v>
      </c>
      <c r="B261" s="243">
        <v>78</v>
      </c>
      <c r="C261" s="243">
        <v>8</v>
      </c>
      <c r="D261" s="243">
        <f>B261*C261</f>
        <v>624</v>
      </c>
      <c r="E261" s="255">
        <v>0.154142</v>
      </c>
      <c r="F261" s="255">
        <f>D261*E261/100</f>
        <v>0.96184607999999994</v>
      </c>
    </row>
    <row r="262" spans="1:9">
      <c r="B262" s="243"/>
      <c r="C262" s="243"/>
      <c r="D262" s="243"/>
      <c r="E262" s="255"/>
      <c r="F262" s="255"/>
    </row>
    <row r="263" spans="1:9" ht="25.5">
      <c r="A263" s="253" t="s">
        <v>589</v>
      </c>
      <c r="B263" s="243" t="s">
        <v>564</v>
      </c>
      <c r="C263" s="243" t="s">
        <v>562</v>
      </c>
      <c r="D263" s="253" t="s">
        <v>565</v>
      </c>
      <c r="E263" s="243" t="s">
        <v>566</v>
      </c>
      <c r="F263" s="243" t="s">
        <v>563</v>
      </c>
    </row>
    <row r="264" spans="1:9">
      <c r="A264" t="s">
        <v>627</v>
      </c>
      <c r="B264" s="243">
        <v>140</v>
      </c>
      <c r="C264" s="243">
        <v>4</v>
      </c>
      <c r="D264" s="243">
        <f>B264*C264</f>
        <v>560</v>
      </c>
      <c r="E264" s="255">
        <v>0.39460600000000001</v>
      </c>
      <c r="F264" s="255">
        <f>D264*E264/100</f>
        <v>2.2097936000000002</v>
      </c>
    </row>
    <row r="265" spans="1:9">
      <c r="B265" s="243"/>
      <c r="C265" s="243"/>
      <c r="D265" s="243"/>
      <c r="E265" s="255"/>
      <c r="F265" s="255"/>
    </row>
    <row r="266" spans="1:9">
      <c r="A266" s="261" t="s">
        <v>628</v>
      </c>
    </row>
    <row r="267" spans="1:9" ht="25.5">
      <c r="A267" s="256"/>
      <c r="B267" s="257" t="s">
        <v>228</v>
      </c>
      <c r="C267" s="257" t="s">
        <v>558</v>
      </c>
      <c r="D267" s="257" t="s">
        <v>439</v>
      </c>
      <c r="E267" s="258" t="s">
        <v>559</v>
      </c>
      <c r="F267" s="258" t="s">
        <v>560</v>
      </c>
      <c r="G267" s="257" t="s">
        <v>606</v>
      </c>
      <c r="H267" s="257" t="s">
        <v>607</v>
      </c>
      <c r="I267" t="s">
        <v>626</v>
      </c>
    </row>
    <row r="268" spans="1:9">
      <c r="A268" s="243">
        <v>4</v>
      </c>
      <c r="B268" s="251">
        <v>338</v>
      </c>
      <c r="C268" s="251">
        <v>15</v>
      </c>
      <c r="D268" s="251">
        <v>30</v>
      </c>
      <c r="E268" s="251">
        <f>(D268*2+C268)*B268*A268/10000</f>
        <v>10.14</v>
      </c>
      <c r="F268" s="251">
        <f>B268*C268*D268*A268/1000000</f>
        <v>0.60840000000000005</v>
      </c>
      <c r="G268" s="255">
        <f>F271*B268*A268/100</f>
        <v>13.004159001599998</v>
      </c>
      <c r="H268" s="255">
        <f>F274*B268*A268/100</f>
        <v>38.41252646400001</v>
      </c>
    </row>
    <row r="269" spans="1:9">
      <c r="G269" s="243"/>
      <c r="H269" s="243"/>
    </row>
    <row r="270" spans="1:9" ht="25.5">
      <c r="A270" s="253" t="s">
        <v>587</v>
      </c>
      <c r="B270" s="243" t="s">
        <v>564</v>
      </c>
      <c r="C270" s="243" t="s">
        <v>562</v>
      </c>
      <c r="D270" s="253" t="s">
        <v>565</v>
      </c>
      <c r="E270" s="243" t="s">
        <v>566</v>
      </c>
      <c r="F270" s="243" t="s">
        <v>563</v>
      </c>
    </row>
    <row r="271" spans="1:9">
      <c r="A271" t="s">
        <v>572</v>
      </c>
      <c r="B271" s="243">
        <v>78</v>
      </c>
      <c r="C271" s="243">
        <v>8</v>
      </c>
      <c r="D271" s="243">
        <f>B271*C271</f>
        <v>624</v>
      </c>
      <c r="E271" s="255">
        <v>0.154142</v>
      </c>
      <c r="F271" s="255">
        <f>D271*E271/100</f>
        <v>0.96184607999999994</v>
      </c>
    </row>
    <row r="272" spans="1:9">
      <c r="B272" s="243"/>
      <c r="C272" s="243"/>
      <c r="D272" s="243"/>
      <c r="E272" s="255"/>
      <c r="F272" s="255"/>
    </row>
    <row r="273" spans="1:9" ht="25.5">
      <c r="A273" s="253" t="s">
        <v>589</v>
      </c>
      <c r="B273" s="243" t="s">
        <v>564</v>
      </c>
      <c r="C273" s="243" t="s">
        <v>562</v>
      </c>
      <c r="D273" s="253" t="s">
        <v>565</v>
      </c>
      <c r="E273" s="243" t="s">
        <v>566</v>
      </c>
      <c r="F273" s="243" t="s">
        <v>563</v>
      </c>
    </row>
    <row r="274" spans="1:9">
      <c r="A274" t="s">
        <v>627</v>
      </c>
      <c r="B274" s="243">
        <v>120</v>
      </c>
      <c r="C274" s="243">
        <v>6</v>
      </c>
      <c r="D274" s="243">
        <f>B274*C274</f>
        <v>720</v>
      </c>
      <c r="E274" s="255">
        <v>0.39460600000000001</v>
      </c>
      <c r="F274" s="255">
        <f>D274*E274/100</f>
        <v>2.8411632000000004</v>
      </c>
    </row>
    <row r="276" spans="1:9">
      <c r="A276" s="261" t="s">
        <v>628</v>
      </c>
    </row>
    <row r="277" spans="1:9" ht="25.5">
      <c r="A277" s="256"/>
      <c r="B277" s="257" t="s">
        <v>228</v>
      </c>
      <c r="C277" s="257" t="s">
        <v>558</v>
      </c>
      <c r="D277" s="257" t="s">
        <v>439</v>
      </c>
      <c r="E277" s="258" t="s">
        <v>559</v>
      </c>
      <c r="F277" s="258" t="s">
        <v>560</v>
      </c>
      <c r="G277" s="257" t="s">
        <v>606</v>
      </c>
      <c r="H277" s="257" t="s">
        <v>607</v>
      </c>
      <c r="I277" t="s">
        <v>626</v>
      </c>
    </row>
    <row r="278" spans="1:9">
      <c r="A278" s="243">
        <v>4</v>
      </c>
      <c r="B278" s="251">
        <v>338</v>
      </c>
      <c r="C278" s="251">
        <v>15</v>
      </c>
      <c r="D278" s="251">
        <v>30</v>
      </c>
      <c r="E278" s="251">
        <f>(D278*2+C278)*B278*A278/10000</f>
        <v>10.14</v>
      </c>
      <c r="F278" s="251">
        <f>B278*C278*D278*A278/1000000</f>
        <v>0.60840000000000005</v>
      </c>
      <c r="G278" s="255">
        <f>F281*B278/100</f>
        <v>3.2510397503999995</v>
      </c>
      <c r="H278" s="255">
        <f>F284*B278/100</f>
        <v>6.4020877440000001</v>
      </c>
    </row>
    <row r="279" spans="1:9">
      <c r="G279" s="243"/>
      <c r="H279" s="243"/>
    </row>
    <row r="280" spans="1:9" ht="25.5">
      <c r="A280" s="253" t="s">
        <v>587</v>
      </c>
      <c r="B280" s="243" t="s">
        <v>564</v>
      </c>
      <c r="C280" s="243" t="s">
        <v>562</v>
      </c>
      <c r="D280" s="253" t="s">
        <v>565</v>
      </c>
      <c r="E280" s="243" t="s">
        <v>566</v>
      </c>
      <c r="F280" s="243" t="s">
        <v>563</v>
      </c>
    </row>
    <row r="281" spans="1:9">
      <c r="A281" t="s">
        <v>572</v>
      </c>
      <c r="B281" s="243">
        <v>78</v>
      </c>
      <c r="C281" s="243">
        <v>8</v>
      </c>
      <c r="D281" s="243">
        <f>B281*C281</f>
        <v>624</v>
      </c>
      <c r="E281" s="255">
        <v>0.154142</v>
      </c>
      <c r="F281" s="255">
        <f>D281*E281/100</f>
        <v>0.96184607999999994</v>
      </c>
    </row>
    <row r="282" spans="1:9">
      <c r="B282" s="243"/>
      <c r="C282" s="243"/>
      <c r="D282" s="243"/>
      <c r="E282" s="255"/>
      <c r="F282" s="255"/>
    </row>
    <row r="283" spans="1:9" ht="25.5">
      <c r="A283" s="253" t="s">
        <v>589</v>
      </c>
      <c r="B283" s="243" t="s">
        <v>564</v>
      </c>
      <c r="C283" s="243" t="s">
        <v>562</v>
      </c>
      <c r="D283" s="253" t="s">
        <v>565</v>
      </c>
      <c r="E283" s="243" t="s">
        <v>566</v>
      </c>
      <c r="F283" s="243" t="s">
        <v>563</v>
      </c>
    </row>
    <row r="284" spans="1:9">
      <c r="A284" t="s">
        <v>627</v>
      </c>
      <c r="B284" s="243">
        <v>120</v>
      </c>
      <c r="C284" s="243">
        <v>4</v>
      </c>
      <c r="D284" s="243">
        <f>B284*C284</f>
        <v>480</v>
      </c>
      <c r="E284" s="255">
        <v>0.39460600000000001</v>
      </c>
      <c r="F284" s="255">
        <f>D284*E284/100</f>
        <v>1.8941088000000001</v>
      </c>
    </row>
    <row r="285" spans="1:9">
      <c r="B285" s="243"/>
      <c r="C285" s="243"/>
      <c r="D285" s="243"/>
      <c r="E285" s="255"/>
      <c r="F285" s="255"/>
    </row>
    <row r="286" spans="1:9">
      <c r="A286" t="s">
        <v>629</v>
      </c>
    </row>
    <row r="287" spans="1:9" s="243" customFormat="1" ht="30.75" customHeight="1">
      <c r="A287" s="256" t="s">
        <v>630</v>
      </c>
      <c r="B287" s="257" t="s">
        <v>228</v>
      </c>
      <c r="C287" s="257" t="s">
        <v>558</v>
      </c>
      <c r="D287" s="257" t="s">
        <v>439</v>
      </c>
      <c r="E287" s="258" t="s">
        <v>559</v>
      </c>
      <c r="F287" s="258" t="s">
        <v>560</v>
      </c>
      <c r="G287" s="257" t="s">
        <v>606</v>
      </c>
      <c r="H287" s="257" t="s">
        <v>607</v>
      </c>
      <c r="I287" s="260" t="s">
        <v>612</v>
      </c>
    </row>
    <row r="288" spans="1:9">
      <c r="B288" s="251">
        <v>151.15</v>
      </c>
      <c r="C288" s="251">
        <v>475.5</v>
      </c>
      <c r="D288" s="251">
        <v>15</v>
      </c>
      <c r="E288" s="251">
        <f>B288*C288/10000</f>
        <v>7.1871824999999996</v>
      </c>
      <c r="F288" s="251">
        <f>B288*C288*D288/1000000</f>
        <v>1.0780773749999999</v>
      </c>
      <c r="G288" s="254"/>
      <c r="H288" s="254">
        <f>F291+F294+F297+F300</f>
        <v>84.580039999999997</v>
      </c>
    </row>
    <row r="290" spans="1:9" ht="25.5">
      <c r="A290" s="252" t="s">
        <v>631</v>
      </c>
      <c r="B290" s="243" t="s">
        <v>564</v>
      </c>
      <c r="C290" s="243" t="s">
        <v>562</v>
      </c>
      <c r="D290" s="253" t="s">
        <v>565</v>
      </c>
      <c r="E290" s="243" t="s">
        <v>566</v>
      </c>
      <c r="F290" s="243" t="s">
        <v>563</v>
      </c>
    </row>
    <row r="291" spans="1:9">
      <c r="A291" t="s">
        <v>632</v>
      </c>
      <c r="B291" s="243">
        <v>175</v>
      </c>
      <c r="C291" s="243">
        <v>24</v>
      </c>
      <c r="D291" s="243">
        <f>B291*C291</f>
        <v>4200</v>
      </c>
      <c r="E291" s="255">
        <v>0.2447</v>
      </c>
      <c r="F291" s="255">
        <f>D291*E291/100</f>
        <v>10.2774</v>
      </c>
    </row>
    <row r="292" spans="1:9">
      <c r="B292" s="243"/>
      <c r="C292" s="243"/>
      <c r="D292" s="243"/>
      <c r="E292" s="255"/>
      <c r="F292" s="255"/>
    </row>
    <row r="293" spans="1:9" ht="25.5">
      <c r="A293" s="252" t="s">
        <v>589</v>
      </c>
      <c r="B293" s="243" t="s">
        <v>564</v>
      </c>
      <c r="C293" s="243" t="s">
        <v>562</v>
      </c>
      <c r="D293" s="253" t="s">
        <v>565</v>
      </c>
      <c r="E293" s="243" t="s">
        <v>566</v>
      </c>
      <c r="F293" s="243" t="s">
        <v>563</v>
      </c>
    </row>
    <row r="294" spans="1:9">
      <c r="A294" t="s">
        <v>633</v>
      </c>
      <c r="B294" s="243">
        <v>499</v>
      </c>
      <c r="C294" s="243">
        <v>8</v>
      </c>
      <c r="D294" s="243">
        <f>B294*C294</f>
        <v>3992</v>
      </c>
      <c r="E294" s="255">
        <v>0.39460000000000001</v>
      </c>
      <c r="F294" s="255">
        <f>D294*E294/100</f>
        <v>15.752432000000001</v>
      </c>
    </row>
    <row r="295" spans="1:9">
      <c r="B295" s="243"/>
      <c r="C295" s="243"/>
      <c r="D295" s="243"/>
      <c r="E295" s="255"/>
      <c r="F295" s="255"/>
    </row>
    <row r="296" spans="1:9" ht="25.5">
      <c r="A296" s="252" t="s">
        <v>590</v>
      </c>
      <c r="B296" s="243" t="s">
        <v>564</v>
      </c>
      <c r="C296" s="243" t="s">
        <v>562</v>
      </c>
      <c r="D296" s="253" t="s">
        <v>565</v>
      </c>
      <c r="E296" s="243" t="s">
        <v>566</v>
      </c>
      <c r="F296" s="243" t="s">
        <v>563</v>
      </c>
    </row>
    <row r="297" spans="1:9">
      <c r="A297" t="s">
        <v>635</v>
      </c>
      <c r="B297" s="243">
        <v>260</v>
      </c>
      <c r="C297" s="243">
        <v>8</v>
      </c>
      <c r="D297" s="243">
        <f>B297*C297</f>
        <v>2080</v>
      </c>
      <c r="E297" s="255">
        <v>0.61619999999999997</v>
      </c>
      <c r="F297" s="255">
        <f>D297*E297/100</f>
        <v>12.81696</v>
      </c>
    </row>
    <row r="298" spans="1:9">
      <c r="B298" s="243"/>
      <c r="C298" s="243"/>
      <c r="D298" s="243"/>
      <c r="E298" s="255"/>
      <c r="F298" s="255"/>
    </row>
    <row r="299" spans="1:9" ht="25.5">
      <c r="A299" s="252" t="s">
        <v>588</v>
      </c>
      <c r="B299" s="243" t="s">
        <v>564</v>
      </c>
      <c r="C299" s="243" t="s">
        <v>562</v>
      </c>
      <c r="D299" s="253" t="s">
        <v>565</v>
      </c>
      <c r="E299" s="243" t="s">
        <v>566</v>
      </c>
      <c r="F299" s="243" t="s">
        <v>563</v>
      </c>
    </row>
    <row r="300" spans="1:9">
      <c r="A300" t="s">
        <v>634</v>
      </c>
      <c r="B300" s="243">
        <v>198</v>
      </c>
      <c r="C300" s="243">
        <v>24</v>
      </c>
      <c r="D300" s="243">
        <f>B300*C300</f>
        <v>4752</v>
      </c>
      <c r="E300" s="255">
        <v>0.96240000000000003</v>
      </c>
      <c r="F300" s="255">
        <f>D300*E300/100</f>
        <v>45.733248000000003</v>
      </c>
    </row>
    <row r="301" spans="1:9">
      <c r="B301" s="243"/>
      <c r="C301" s="243"/>
      <c r="D301" s="243"/>
      <c r="E301" s="255"/>
      <c r="F301" s="255"/>
    </row>
    <row r="302" spans="1:9" s="243" customFormat="1" ht="30.75" customHeight="1">
      <c r="A302" s="256" t="s">
        <v>636</v>
      </c>
      <c r="B302" s="257" t="s">
        <v>228</v>
      </c>
      <c r="C302" s="257" t="s">
        <v>558</v>
      </c>
      <c r="D302" s="257" t="s">
        <v>439</v>
      </c>
      <c r="E302" s="258" t="s">
        <v>559</v>
      </c>
      <c r="F302" s="258" t="s">
        <v>560</v>
      </c>
      <c r="G302" s="257" t="s">
        <v>606</v>
      </c>
      <c r="H302" s="257" t="s">
        <v>607</v>
      </c>
      <c r="I302" s="260" t="s">
        <v>612</v>
      </c>
    </row>
    <row r="303" spans="1:9">
      <c r="B303" s="251">
        <v>151.15</v>
      </c>
      <c r="C303" s="251">
        <v>299.35000000000002</v>
      </c>
      <c r="D303" s="251">
        <v>15</v>
      </c>
      <c r="E303" s="259">
        <f>B303*C303/10000</f>
        <v>4.5246752500000005</v>
      </c>
      <c r="F303" s="259">
        <f>B303*C303*D303/1000000</f>
        <v>0.67870128750000014</v>
      </c>
      <c r="G303" s="254"/>
      <c r="H303" s="254">
        <f>F306+F307+F310</f>
        <v>43.261644439999998</v>
      </c>
    </row>
    <row r="305" spans="1:9" ht="25.5">
      <c r="A305" s="252" t="s">
        <v>631</v>
      </c>
      <c r="B305" s="243" t="s">
        <v>564</v>
      </c>
      <c r="C305" s="243" t="s">
        <v>562</v>
      </c>
      <c r="D305" s="253" t="s">
        <v>565</v>
      </c>
      <c r="E305" s="243" t="s">
        <v>566</v>
      </c>
      <c r="F305" s="243" t="s">
        <v>563</v>
      </c>
    </row>
    <row r="306" spans="1:9">
      <c r="A306" t="s">
        <v>632</v>
      </c>
      <c r="B306" s="243">
        <v>175</v>
      </c>
      <c r="C306" s="243">
        <v>15</v>
      </c>
      <c r="D306" s="243">
        <f>B306*C306</f>
        <v>2625</v>
      </c>
      <c r="E306" s="255">
        <v>0.2447</v>
      </c>
      <c r="F306" s="255">
        <f>D306*E306/100</f>
        <v>6.4233750000000001</v>
      </c>
    </row>
    <row r="307" spans="1:9">
      <c r="A307" t="s">
        <v>637</v>
      </c>
      <c r="B307" s="243">
        <v>323</v>
      </c>
      <c r="C307" s="243">
        <v>8</v>
      </c>
      <c r="D307" s="243">
        <f>B307*C307</f>
        <v>2584</v>
      </c>
      <c r="E307" s="255">
        <v>0.2447</v>
      </c>
      <c r="F307" s="255">
        <f>D307*E307/100</f>
        <v>6.323048</v>
      </c>
    </row>
    <row r="308" spans="1:9">
      <c r="B308" s="243"/>
      <c r="C308" s="243"/>
      <c r="D308" s="243"/>
      <c r="E308" s="255"/>
      <c r="F308" s="255"/>
    </row>
    <row r="309" spans="1:9" ht="25.5">
      <c r="A309" s="252" t="s">
        <v>588</v>
      </c>
      <c r="B309" s="243" t="s">
        <v>564</v>
      </c>
      <c r="C309" s="243" t="s">
        <v>562</v>
      </c>
      <c r="D309" s="253" t="s">
        <v>565</v>
      </c>
      <c r="E309" s="243" t="s">
        <v>566</v>
      </c>
      <c r="F309" s="243" t="s">
        <v>563</v>
      </c>
    </row>
    <row r="310" spans="1:9">
      <c r="A310" t="s">
        <v>634</v>
      </c>
      <c r="B310" s="243">
        <v>198</v>
      </c>
      <c r="C310" s="243">
        <v>16</v>
      </c>
      <c r="D310" s="243">
        <f>B310*C310</f>
        <v>3168</v>
      </c>
      <c r="E310" s="255">
        <v>0.96323300000000001</v>
      </c>
      <c r="F310" s="255">
        <f>D310*E310/100</f>
        <v>30.515221440000001</v>
      </c>
    </row>
    <row r="311" spans="1:9">
      <c r="B311" s="243"/>
      <c r="C311" s="243"/>
      <c r="D311" s="243"/>
      <c r="E311" s="255"/>
      <c r="F311" s="255"/>
    </row>
    <row r="312" spans="1:9" s="243" customFormat="1" ht="30.75" customHeight="1">
      <c r="A312" s="256" t="s">
        <v>638</v>
      </c>
      <c r="B312" s="257" t="s">
        <v>228</v>
      </c>
      <c r="C312" s="257" t="s">
        <v>558</v>
      </c>
      <c r="D312" s="257" t="s">
        <v>439</v>
      </c>
      <c r="E312" s="258" t="s">
        <v>559</v>
      </c>
      <c r="F312" s="258" t="s">
        <v>560</v>
      </c>
      <c r="G312" s="257" t="s">
        <v>606</v>
      </c>
      <c r="H312" s="257" t="s">
        <v>607</v>
      </c>
      <c r="I312" s="260" t="s">
        <v>612</v>
      </c>
    </row>
    <row r="313" spans="1:9">
      <c r="B313" s="251">
        <v>352.42</v>
      </c>
      <c r="C313" s="251">
        <v>475.5</v>
      </c>
      <c r="D313" s="251">
        <v>15</v>
      </c>
      <c r="E313" s="259">
        <f>B313*C313/10000</f>
        <v>16.757571000000002</v>
      </c>
      <c r="F313" s="259">
        <f>B313*C313*D313/1000000</f>
        <v>2.5136356500000003</v>
      </c>
      <c r="G313" s="254"/>
      <c r="H313" s="254">
        <f>F316+F317+F320+F321</f>
        <v>164.35494840000001</v>
      </c>
    </row>
    <row r="315" spans="1:9" ht="25.5">
      <c r="A315" s="252" t="s">
        <v>589</v>
      </c>
      <c r="B315" s="243" t="s">
        <v>564</v>
      </c>
      <c r="C315" s="243" t="s">
        <v>562</v>
      </c>
      <c r="D315" s="253" t="s">
        <v>565</v>
      </c>
      <c r="E315" s="243" t="s">
        <v>566</v>
      </c>
      <c r="F315" s="243" t="s">
        <v>563</v>
      </c>
    </row>
    <row r="316" spans="1:9">
      <c r="A316" t="s">
        <v>633</v>
      </c>
      <c r="B316" s="243">
        <v>499</v>
      </c>
      <c r="C316" s="243">
        <v>18</v>
      </c>
      <c r="D316" s="243">
        <f>B316*C316</f>
        <v>8982</v>
      </c>
      <c r="E316" s="255">
        <v>0.39460000000000001</v>
      </c>
      <c r="F316" s="255">
        <f>D316*E316/100</f>
        <v>35.442971999999997</v>
      </c>
    </row>
    <row r="317" spans="1:9">
      <c r="A317" t="s">
        <v>639</v>
      </c>
      <c r="B317" s="243">
        <v>397</v>
      </c>
      <c r="C317" s="243">
        <v>24</v>
      </c>
      <c r="D317" s="243">
        <f>B317*C317</f>
        <v>9528</v>
      </c>
      <c r="E317" s="255">
        <v>0.39460000000000001</v>
      </c>
      <c r="F317" s="255">
        <f>D317*E317/100</f>
        <v>37.597487999999998</v>
      </c>
    </row>
    <row r="318" spans="1:9">
      <c r="B318" s="243"/>
      <c r="C318" s="243"/>
      <c r="D318" s="243"/>
      <c r="E318" s="255"/>
      <c r="F318" s="255"/>
    </row>
    <row r="319" spans="1:9" ht="25.5">
      <c r="A319" s="252" t="s">
        <v>588</v>
      </c>
      <c r="B319" s="243" t="s">
        <v>564</v>
      </c>
      <c r="C319" s="243" t="s">
        <v>562</v>
      </c>
      <c r="D319" s="253" t="s">
        <v>565</v>
      </c>
      <c r="E319" s="243" t="s">
        <v>566</v>
      </c>
      <c r="F319" s="243" t="s">
        <v>563</v>
      </c>
    </row>
    <row r="320" spans="1:9">
      <c r="A320" t="s">
        <v>640</v>
      </c>
      <c r="B320" s="243">
        <v>200</v>
      </c>
      <c r="C320" s="243">
        <v>24</v>
      </c>
      <c r="D320" s="243">
        <f>B320*C320</f>
        <v>4800</v>
      </c>
      <c r="E320" s="255">
        <v>0.96323300000000001</v>
      </c>
      <c r="F320" s="255">
        <f>D320*E320/100</f>
        <v>46.235183999999997</v>
      </c>
    </row>
    <row r="321" spans="1:9">
      <c r="A321" t="s">
        <v>635</v>
      </c>
      <c r="B321" s="243">
        <v>260</v>
      </c>
      <c r="C321" s="243">
        <v>18</v>
      </c>
      <c r="D321" s="243">
        <f>B321*C321</f>
        <v>4680</v>
      </c>
      <c r="E321" s="255">
        <v>0.96323300000000001</v>
      </c>
      <c r="F321" s="255">
        <f>D321*E321/100</f>
        <v>45.079304399999998</v>
      </c>
    </row>
    <row r="322" spans="1:9">
      <c r="B322" s="243"/>
      <c r="C322" s="243"/>
      <c r="D322" s="243"/>
      <c r="E322" s="255"/>
      <c r="F322" s="255"/>
    </row>
    <row r="323" spans="1:9" s="243" customFormat="1" ht="30.75" customHeight="1">
      <c r="A323" s="256" t="s">
        <v>641</v>
      </c>
      <c r="B323" s="257" t="s">
        <v>228</v>
      </c>
      <c r="C323" s="257" t="s">
        <v>558</v>
      </c>
      <c r="D323" s="257" t="s">
        <v>439</v>
      </c>
      <c r="E323" s="258" t="s">
        <v>559</v>
      </c>
      <c r="F323" s="258" t="s">
        <v>560</v>
      </c>
      <c r="G323" s="257" t="s">
        <v>606</v>
      </c>
      <c r="H323" s="257" t="s">
        <v>607</v>
      </c>
      <c r="I323" s="260" t="s">
        <v>612</v>
      </c>
    </row>
    <row r="324" spans="1:9">
      <c r="B324" s="251">
        <v>352.42</v>
      </c>
      <c r="C324" s="251">
        <v>299.35000000000002</v>
      </c>
      <c r="D324" s="251">
        <v>15</v>
      </c>
      <c r="E324" s="259">
        <f>B324*C324/10000</f>
        <v>10.549692700000001</v>
      </c>
      <c r="F324" s="259">
        <f>B324*C324*D324/1000000</f>
        <v>1.5824539050000002</v>
      </c>
      <c r="G324" s="254"/>
      <c r="H324" s="254">
        <f>F327+F328+F331</f>
        <v>78.613461999999998</v>
      </c>
    </row>
    <row r="326" spans="1:9" ht="25.5">
      <c r="A326" s="252" t="s">
        <v>589</v>
      </c>
      <c r="B326" s="243" t="s">
        <v>564</v>
      </c>
      <c r="C326" s="243" t="s">
        <v>562</v>
      </c>
      <c r="D326" s="253" t="s">
        <v>565</v>
      </c>
      <c r="E326" s="243" t="s">
        <v>566</v>
      </c>
      <c r="F326" s="243" t="s">
        <v>563</v>
      </c>
    </row>
    <row r="327" spans="1:9">
      <c r="A327" t="s">
        <v>642</v>
      </c>
      <c r="B327" s="243">
        <v>342</v>
      </c>
      <c r="C327" s="243">
        <v>18</v>
      </c>
      <c r="D327" s="243">
        <f>B327*C327</f>
        <v>6156</v>
      </c>
      <c r="E327" s="255">
        <v>0.39460000000000001</v>
      </c>
      <c r="F327" s="255">
        <f>D327*E327/100</f>
        <v>24.291575999999999</v>
      </c>
    </row>
    <row r="328" spans="1:9">
      <c r="A328" t="s">
        <v>639</v>
      </c>
      <c r="B328" s="243">
        <v>397</v>
      </c>
      <c r="C328" s="243">
        <v>15</v>
      </c>
      <c r="D328" s="243">
        <f>B328*C328</f>
        <v>5955</v>
      </c>
      <c r="E328" s="255">
        <v>0.39460000000000001</v>
      </c>
      <c r="F328" s="255">
        <f>D328*E328/100</f>
        <v>23.498429999999999</v>
      </c>
    </row>
    <row r="329" spans="1:9">
      <c r="B329" s="243"/>
      <c r="C329" s="243"/>
      <c r="D329" s="243"/>
      <c r="E329" s="255"/>
      <c r="F329" s="255"/>
    </row>
    <row r="330" spans="1:9" ht="25.5">
      <c r="A330" s="252" t="s">
        <v>588</v>
      </c>
      <c r="B330" s="243" t="s">
        <v>564</v>
      </c>
      <c r="C330" s="243" t="s">
        <v>562</v>
      </c>
      <c r="D330" s="253" t="s">
        <v>565</v>
      </c>
      <c r="E330" s="243" t="s">
        <v>566</v>
      </c>
      <c r="F330" s="243" t="s">
        <v>563</v>
      </c>
    </row>
    <row r="331" spans="1:9">
      <c r="A331" t="s">
        <v>640</v>
      </c>
      <c r="B331" s="243">
        <v>200</v>
      </c>
      <c r="C331" s="243">
        <v>16</v>
      </c>
      <c r="D331" s="243">
        <f>B331*C331</f>
        <v>3200</v>
      </c>
      <c r="E331" s="255">
        <v>0.96323300000000001</v>
      </c>
      <c r="F331" s="255">
        <f>D331*E331/100</f>
        <v>30.823456</v>
      </c>
    </row>
    <row r="333" spans="1:9" s="243" customFormat="1" ht="30.75" customHeight="1">
      <c r="A333" s="256" t="s">
        <v>643</v>
      </c>
      <c r="B333" s="257" t="s">
        <v>228</v>
      </c>
      <c r="C333" s="257" t="s">
        <v>558</v>
      </c>
      <c r="D333" s="257" t="s">
        <v>439</v>
      </c>
      <c r="E333" s="258" t="s">
        <v>559</v>
      </c>
      <c r="F333" s="258" t="s">
        <v>560</v>
      </c>
      <c r="G333" s="257" t="s">
        <v>606</v>
      </c>
      <c r="H333" s="257" t="s">
        <v>607</v>
      </c>
      <c r="I333" s="260" t="s">
        <v>612</v>
      </c>
    </row>
    <row r="334" spans="1:9">
      <c r="B334" s="251">
        <v>347.64</v>
      </c>
      <c r="C334" s="251">
        <v>475.5</v>
      </c>
      <c r="D334" s="251">
        <v>15</v>
      </c>
      <c r="E334" s="259">
        <f>B334*C334/10000</f>
        <v>16.530282</v>
      </c>
      <c r="F334" s="259">
        <f>B334*C334*D334/1000000</f>
        <v>2.4795423000000003</v>
      </c>
      <c r="G334" s="254"/>
      <c r="H334" s="254">
        <f>F337+F338+F341</f>
        <v>107.24332799999999</v>
      </c>
    </row>
    <row r="336" spans="1:9" ht="25.5">
      <c r="A336" s="252" t="s">
        <v>589</v>
      </c>
      <c r="B336" s="243" t="s">
        <v>564</v>
      </c>
      <c r="C336" s="243" t="s">
        <v>562</v>
      </c>
      <c r="D336" s="253" t="s">
        <v>565</v>
      </c>
      <c r="E336" s="243" t="s">
        <v>566</v>
      </c>
      <c r="F336" s="243" t="s">
        <v>563</v>
      </c>
    </row>
    <row r="337" spans="1:9">
      <c r="A337" t="s">
        <v>633</v>
      </c>
      <c r="B337" s="243">
        <v>499</v>
      </c>
      <c r="C337" s="243">
        <v>18</v>
      </c>
      <c r="D337" s="243">
        <f>B337*C337</f>
        <v>8982</v>
      </c>
      <c r="E337" s="255">
        <v>0.39460000000000001</v>
      </c>
      <c r="F337" s="255">
        <f>D337*E337/100</f>
        <v>35.442971999999997</v>
      </c>
    </row>
    <row r="338" spans="1:9">
      <c r="A338" t="s">
        <v>644</v>
      </c>
      <c r="B338" s="243">
        <v>392</v>
      </c>
      <c r="C338" s="243">
        <v>24</v>
      </c>
      <c r="D338" s="243">
        <f>B338*C338</f>
        <v>9408</v>
      </c>
      <c r="E338" s="255">
        <v>0.39460000000000001</v>
      </c>
      <c r="F338" s="255">
        <f>D338*E338/100</f>
        <v>37.123967999999998</v>
      </c>
    </row>
    <row r="339" spans="1:9">
      <c r="B339" s="243"/>
      <c r="C339" s="243"/>
      <c r="D339" s="243"/>
      <c r="E339" s="255"/>
      <c r="F339" s="255"/>
    </row>
    <row r="340" spans="1:9" ht="25.5">
      <c r="A340" s="252" t="s">
        <v>588</v>
      </c>
      <c r="B340" s="243" t="s">
        <v>564</v>
      </c>
      <c r="C340" s="243" t="s">
        <v>562</v>
      </c>
      <c r="D340" s="253" t="s">
        <v>565</v>
      </c>
      <c r="E340" s="243" t="s">
        <v>566</v>
      </c>
      <c r="F340" s="243" t="s">
        <v>563</v>
      </c>
    </row>
    <row r="341" spans="1:9">
      <c r="A341" t="s">
        <v>640</v>
      </c>
      <c r="B341" s="243">
        <v>200</v>
      </c>
      <c r="C341" s="243">
        <v>18</v>
      </c>
      <c r="D341" s="243">
        <f>B341*C341</f>
        <v>3600</v>
      </c>
      <c r="E341" s="255">
        <v>0.96323300000000001</v>
      </c>
      <c r="F341" s="255">
        <f>D341*E341/100</f>
        <v>34.676388000000003</v>
      </c>
    </row>
    <row r="343" spans="1:9" s="243" customFormat="1" ht="30.75" customHeight="1">
      <c r="A343" s="256" t="s">
        <v>645</v>
      </c>
      <c r="B343" s="257" t="s">
        <v>228</v>
      </c>
      <c r="C343" s="257" t="s">
        <v>558</v>
      </c>
      <c r="D343" s="257" t="s">
        <v>439</v>
      </c>
      <c r="E343" s="258" t="s">
        <v>559</v>
      </c>
      <c r="F343" s="258" t="s">
        <v>560</v>
      </c>
      <c r="G343" s="257" t="s">
        <v>606</v>
      </c>
      <c r="H343" s="257" t="s">
        <v>607</v>
      </c>
      <c r="I343" s="260" t="s">
        <v>612</v>
      </c>
    </row>
    <row r="344" spans="1:9">
      <c r="B344" s="251">
        <v>347.64</v>
      </c>
      <c r="C344" s="251">
        <v>299.35000000000002</v>
      </c>
      <c r="D344" s="251">
        <v>15</v>
      </c>
      <c r="E344" s="259">
        <f>B344*C344/10000</f>
        <v>10.4066034</v>
      </c>
      <c r="F344" s="259">
        <f>B344*C344*D344/1000000</f>
        <v>1.5609905100000001</v>
      </c>
      <c r="G344" s="254"/>
      <c r="H344" s="254">
        <f>F347+F348</f>
        <v>47.494056</v>
      </c>
    </row>
    <row r="346" spans="1:9" ht="25.5">
      <c r="A346" s="252" t="s">
        <v>589</v>
      </c>
      <c r="B346" s="243" t="s">
        <v>564</v>
      </c>
      <c r="C346" s="243" t="s">
        <v>562</v>
      </c>
      <c r="D346" s="253" t="s">
        <v>565</v>
      </c>
      <c r="E346" s="243" t="s">
        <v>566</v>
      </c>
      <c r="F346" s="243" t="s">
        <v>563</v>
      </c>
    </row>
    <row r="347" spans="1:9">
      <c r="A347" t="s">
        <v>642</v>
      </c>
      <c r="B347" s="243">
        <v>342</v>
      </c>
      <c r="C347" s="243">
        <v>18</v>
      </c>
      <c r="D347" s="243">
        <f>B347*C347</f>
        <v>6156</v>
      </c>
      <c r="E347" s="255">
        <v>0.39460000000000001</v>
      </c>
      <c r="F347" s="255">
        <f>D347*E347/100</f>
        <v>24.291575999999999</v>
      </c>
    </row>
    <row r="348" spans="1:9">
      <c r="A348" t="s">
        <v>644</v>
      </c>
      <c r="B348" s="243">
        <v>392</v>
      </c>
      <c r="C348" s="243">
        <v>15</v>
      </c>
      <c r="D348" s="243">
        <f>B348*C348</f>
        <v>5880</v>
      </c>
      <c r="E348" s="255">
        <v>0.39460000000000001</v>
      </c>
      <c r="F348" s="255">
        <f>D348*E348/100</f>
        <v>23.202480000000001</v>
      </c>
    </row>
    <row r="349" spans="1:9">
      <c r="B349" s="243"/>
      <c r="C349" s="243"/>
      <c r="D349" s="243"/>
      <c r="E349" s="255"/>
      <c r="F349" s="255"/>
    </row>
    <row r="350" spans="1:9" ht="25.5">
      <c r="E350" s="258" t="s">
        <v>559</v>
      </c>
      <c r="F350" s="258" t="s">
        <v>560</v>
      </c>
      <c r="G350" s="257" t="s">
        <v>606</v>
      </c>
      <c r="H350" s="257" t="s">
        <v>607</v>
      </c>
    </row>
    <row r="351" spans="1:9">
      <c r="E351" s="254">
        <f>E344+E334+E324+E313+E303+E288+E278+E268+E258+E240+E229+E215+E200+E190+E177+E159+E143+E131+E119+E107+E92+E77+E65+E53+E41+E29+E17+E5</f>
        <v>209.37925685000008</v>
      </c>
      <c r="F351" s="254">
        <f>F344+F334+F324+F313+F303+F288+F278+F268+F258+F240+F229+F215+F200+F190+F177+F159+F143+F131+F119+F107+F92+F77+F65+F53+F41+F29+F17+F5</f>
        <v>18.417601027500016</v>
      </c>
      <c r="G351" s="254">
        <f>G344+G334+G324+G313+G303+G288+G278+G268+G258+G240+G229+G215+G200+G190+G177+G159+G143+G131+G119+G107+G92+G77+G65+G53+G41+G29+G17+G5</f>
        <v>197.86628966079999</v>
      </c>
      <c r="H351" s="254">
        <f>H344+H334+H324+H313+H303+H288+H278+H268+H258+H240+H229+H215+H200+H190+H177+H159+H143+H131+H119+H107+H92+H77+H65+H53+H41+H29+H17+H5</f>
        <v>1209.6267900639996</v>
      </c>
    </row>
    <row r="353" spans="1:4" ht="51">
      <c r="A353" s="320" t="s">
        <v>766</v>
      </c>
      <c r="B353" s="320" t="s">
        <v>761</v>
      </c>
      <c r="C353" s="320" t="s">
        <v>762</v>
      </c>
      <c r="D353" s="320" t="s">
        <v>763</v>
      </c>
    </row>
    <row r="354" spans="1:4">
      <c r="A354" s="254">
        <f>E288++E303+E313+E324+E334++E344</f>
        <v>65.956006849999994</v>
      </c>
      <c r="B354" s="254">
        <f>E5+E17+E29+E41+E53+E65+E77+E92+E107+E119+E131+E143+E159+E177+E190+E200+E215+E229+E240+E258+E268+E278</f>
        <v>143.42325</v>
      </c>
      <c r="C354" s="254">
        <f>F200+F215+F229+F240+F258+F268+F278+F288+F303+F313+F324+F334+F344</f>
        <v>13.905601027499999</v>
      </c>
      <c r="D354">
        <f>F5+F17+F29+F41+F53+F65+F77+F92+F107+F119+F131+F143+F159+F177+F190</f>
        <v>4.5119999999999996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76"/>
  <sheetViews>
    <sheetView topLeftCell="A34" workbookViewId="0">
      <selection activeCell="K70" sqref="K70"/>
    </sheetView>
  </sheetViews>
  <sheetFormatPr defaultRowHeight="12.75"/>
  <cols>
    <col min="1" max="1" width="26.42578125" customWidth="1"/>
  </cols>
  <sheetData>
    <row r="1" spans="1:7">
      <c r="A1" t="s">
        <v>306</v>
      </c>
    </row>
    <row r="3" spans="1:7">
      <c r="B3" s="243" t="s">
        <v>228</v>
      </c>
      <c r="C3" s="243" t="s">
        <v>439</v>
      </c>
      <c r="D3" s="243" t="s">
        <v>648</v>
      </c>
      <c r="E3" s="243"/>
      <c r="F3" s="243"/>
      <c r="G3" s="251"/>
    </row>
    <row r="4" spans="1:7">
      <c r="A4" t="s">
        <v>654</v>
      </c>
      <c r="B4" s="243">
        <v>12.08</v>
      </c>
      <c r="C4" s="243">
        <v>1.55</v>
      </c>
      <c r="D4" s="255">
        <f>B4*C4</f>
        <v>18.724</v>
      </c>
      <c r="E4" s="243"/>
      <c r="F4" s="243"/>
    </row>
    <row r="5" spans="1:7">
      <c r="A5" t="s">
        <v>655</v>
      </c>
      <c r="B5" s="243">
        <v>12.43</v>
      </c>
      <c r="C5" s="243">
        <v>1.55</v>
      </c>
      <c r="D5" s="255">
        <f>B5*C5</f>
        <v>19.266500000000001</v>
      </c>
      <c r="E5" s="243"/>
      <c r="F5" s="243"/>
    </row>
    <row r="6" spans="1:7">
      <c r="A6" t="s">
        <v>650</v>
      </c>
      <c r="B6" s="243">
        <v>9.58</v>
      </c>
      <c r="C6" s="243">
        <v>1.55</v>
      </c>
      <c r="D6" s="255">
        <f>B6*C6</f>
        <v>14.849</v>
      </c>
      <c r="E6" s="243"/>
      <c r="F6" s="243"/>
    </row>
    <row r="7" spans="1:7">
      <c r="A7" t="s">
        <v>653</v>
      </c>
      <c r="B7" s="243">
        <v>3.5</v>
      </c>
      <c r="C7" s="243">
        <v>1.55</v>
      </c>
      <c r="D7" s="255">
        <f>B7*C7</f>
        <v>5.4249999999999998</v>
      </c>
      <c r="E7" s="243"/>
      <c r="F7" s="243"/>
    </row>
    <row r="8" spans="1:7">
      <c r="A8" t="s">
        <v>649</v>
      </c>
      <c r="B8" s="243">
        <v>34.4</v>
      </c>
      <c r="C8" s="243">
        <v>4.7</v>
      </c>
      <c r="D8" s="255">
        <f>B8*C8</f>
        <v>161.68</v>
      </c>
      <c r="E8" s="243"/>
      <c r="F8" s="243"/>
    </row>
    <row r="9" spans="1:7">
      <c r="A9" t="s">
        <v>651</v>
      </c>
      <c r="B9" s="243">
        <v>7.34</v>
      </c>
      <c r="C9" s="243">
        <v>2.2000000000000002</v>
      </c>
      <c r="D9" s="255">
        <f t="shared" ref="D9:D12" si="0">B9*C9</f>
        <v>16.148</v>
      </c>
      <c r="E9" s="243"/>
      <c r="F9" s="243"/>
    </row>
    <row r="10" spans="1:7">
      <c r="A10" t="s">
        <v>651</v>
      </c>
      <c r="B10" s="243">
        <v>5.34</v>
      </c>
      <c r="C10" s="243">
        <v>2.2000000000000002</v>
      </c>
      <c r="D10" s="255">
        <f t="shared" si="0"/>
        <v>11.748000000000001</v>
      </c>
      <c r="E10" s="243"/>
      <c r="F10" s="243"/>
    </row>
    <row r="11" spans="1:7">
      <c r="A11" t="s">
        <v>656</v>
      </c>
      <c r="B11" s="243">
        <v>2</v>
      </c>
      <c r="C11" s="243">
        <v>2.8</v>
      </c>
      <c r="D11" s="255">
        <f t="shared" si="0"/>
        <v>5.6</v>
      </c>
      <c r="E11" s="243"/>
      <c r="F11" s="243"/>
    </row>
    <row r="12" spans="1:7">
      <c r="A12" t="s">
        <v>649</v>
      </c>
      <c r="B12" s="243">
        <v>4.45</v>
      </c>
      <c r="C12" s="243">
        <v>2.8</v>
      </c>
      <c r="D12" s="255">
        <f t="shared" si="0"/>
        <v>12.459999999999999</v>
      </c>
      <c r="E12" s="243"/>
      <c r="F12" s="243"/>
    </row>
    <row r="13" spans="1:7">
      <c r="B13" s="243"/>
      <c r="C13" s="243"/>
      <c r="D13" s="255">
        <f>SUM(D4:D12)</f>
        <v>265.90049999999997</v>
      </c>
      <c r="E13" s="243"/>
      <c r="F13" s="243"/>
    </row>
    <row r="14" spans="1:7">
      <c r="B14" s="243"/>
      <c r="C14" s="243"/>
      <c r="D14" s="243"/>
      <c r="E14" s="243"/>
      <c r="F14" s="243"/>
    </row>
    <row r="15" spans="1:7">
      <c r="A15" t="s">
        <v>662</v>
      </c>
      <c r="B15" s="243"/>
      <c r="C15" s="243"/>
      <c r="D15" s="243"/>
      <c r="E15" s="243"/>
      <c r="F15" s="243"/>
    </row>
    <row r="16" spans="1:7">
      <c r="A16" t="s">
        <v>657</v>
      </c>
      <c r="B16" s="243">
        <v>9.6</v>
      </c>
      <c r="C16" s="243">
        <v>2.8</v>
      </c>
      <c r="D16" s="255">
        <f>B16*C16</f>
        <v>26.88</v>
      </c>
      <c r="E16" s="243">
        <v>1</v>
      </c>
      <c r="F16" s="255">
        <f>D16*E16</f>
        <v>26.88</v>
      </c>
      <c r="G16" s="259"/>
    </row>
    <row r="17" spans="1:13">
      <c r="A17" t="s">
        <v>652</v>
      </c>
      <c r="B17" s="243">
        <v>8.43</v>
      </c>
      <c r="C17" s="243">
        <v>2.8</v>
      </c>
      <c r="D17" s="255">
        <f>B17*C17</f>
        <v>23.603999999999999</v>
      </c>
      <c r="E17" s="243">
        <v>1</v>
      </c>
      <c r="F17" s="255">
        <f>D17*E17</f>
        <v>23.603999999999999</v>
      </c>
      <c r="G17" s="259"/>
    </row>
    <row r="18" spans="1:13">
      <c r="A18" t="s">
        <v>652</v>
      </c>
      <c r="B18" s="243">
        <v>8.48</v>
      </c>
      <c r="C18" s="243">
        <v>2.8</v>
      </c>
      <c r="D18" s="255">
        <f>B18*C18</f>
        <v>23.744</v>
      </c>
      <c r="E18" s="243">
        <v>1</v>
      </c>
      <c r="F18" s="255">
        <f t="shared" ref="F18" si="1">D18*E18</f>
        <v>23.744</v>
      </c>
      <c r="G18" s="259"/>
    </row>
    <row r="19" spans="1:13">
      <c r="A19" t="s">
        <v>658</v>
      </c>
      <c r="B19" s="243">
        <v>3.8</v>
      </c>
      <c r="C19" s="243">
        <v>2.8</v>
      </c>
      <c r="D19" s="255">
        <f>B19*C19</f>
        <v>10.639999999999999</v>
      </c>
      <c r="E19" s="243">
        <v>1</v>
      </c>
      <c r="F19" s="255">
        <f>D19*E19</f>
        <v>10.639999999999999</v>
      </c>
      <c r="G19" s="259"/>
    </row>
    <row r="20" spans="1:13">
      <c r="A20" t="s">
        <v>647</v>
      </c>
      <c r="B20" s="243">
        <v>48.76</v>
      </c>
      <c r="C20" s="243">
        <v>1.55</v>
      </c>
      <c r="D20" s="255">
        <f>B20*C20</f>
        <v>75.578000000000003</v>
      </c>
      <c r="E20" s="243">
        <v>2</v>
      </c>
      <c r="F20" s="255">
        <f>D20*E20</f>
        <v>151.15600000000001</v>
      </c>
      <c r="G20" s="259"/>
    </row>
    <row r="21" spans="1:13">
      <c r="A21" t="s">
        <v>306</v>
      </c>
      <c r="B21" s="243"/>
      <c r="C21" s="243"/>
      <c r="D21" s="255">
        <f>D13</f>
        <v>265.90049999999997</v>
      </c>
      <c r="E21" s="243">
        <v>2</v>
      </c>
      <c r="F21" s="255">
        <f>D21*E21</f>
        <v>531.80099999999993</v>
      </c>
      <c r="G21" s="259"/>
    </row>
    <row r="22" spans="1:13">
      <c r="A22" t="s">
        <v>722</v>
      </c>
      <c r="B22" s="243"/>
      <c r="C22" s="243"/>
      <c r="D22" s="255">
        <v>73.73</v>
      </c>
      <c r="E22" s="243"/>
      <c r="F22" s="255">
        <f>D22</f>
        <v>73.73</v>
      </c>
      <c r="G22" s="259"/>
    </row>
    <row r="23" spans="1:13">
      <c r="B23" s="243"/>
      <c r="C23" s="243"/>
      <c r="D23" s="255"/>
      <c r="E23" s="243"/>
      <c r="F23" s="255"/>
      <c r="G23" s="259"/>
    </row>
    <row r="24" spans="1:13">
      <c r="B24" s="243"/>
      <c r="C24" s="243"/>
      <c r="D24" s="255"/>
      <c r="E24" s="243" t="s">
        <v>290</v>
      </c>
      <c r="F24" s="255">
        <f>SUM(F16:F22)</f>
        <v>841.55499999999995</v>
      </c>
      <c r="G24" s="259"/>
    </row>
    <row r="25" spans="1:13">
      <c r="F25" s="254"/>
    </row>
    <row r="27" spans="1:13">
      <c r="A27" t="s">
        <v>667</v>
      </c>
      <c r="B27" s="243" t="s">
        <v>228</v>
      </c>
      <c r="C27" s="243" t="s">
        <v>558</v>
      </c>
      <c r="D27" s="243" t="s">
        <v>439</v>
      </c>
      <c r="E27" s="260" t="s">
        <v>697</v>
      </c>
      <c r="F27" s="260" t="s">
        <v>701</v>
      </c>
      <c r="G27" s="260" t="s">
        <v>705</v>
      </c>
      <c r="H27" s="260" t="s">
        <v>698</v>
      </c>
      <c r="I27" s="260" t="s">
        <v>702</v>
      </c>
      <c r="J27" s="260" t="s">
        <v>699</v>
      </c>
      <c r="K27" s="260" t="s">
        <v>703</v>
      </c>
      <c r="L27" s="260" t="s">
        <v>704</v>
      </c>
      <c r="M27" s="260" t="s">
        <v>700</v>
      </c>
    </row>
    <row r="28" spans="1:13">
      <c r="A28" s="277" t="s">
        <v>668</v>
      </c>
      <c r="B28" s="285">
        <v>1.7</v>
      </c>
      <c r="C28" s="285">
        <v>1.5</v>
      </c>
      <c r="D28" s="285">
        <v>2.8</v>
      </c>
      <c r="E28" s="286">
        <v>0.9</v>
      </c>
      <c r="F28" s="285">
        <v>2.1</v>
      </c>
      <c r="G28" s="285">
        <v>1</v>
      </c>
      <c r="H28" s="285">
        <v>1</v>
      </c>
      <c r="I28" s="285">
        <v>0.8</v>
      </c>
      <c r="J28" s="285">
        <v>1</v>
      </c>
      <c r="K28" s="285">
        <f>(B28+C28)*2-E28</f>
        <v>5.5</v>
      </c>
      <c r="L28" s="285">
        <f>((B28+C28)*2*D28)-(E28*F28*G28)-(H28*I28*J28)</f>
        <v>15.229999999999997</v>
      </c>
      <c r="M28" s="285">
        <f>B28*C28</f>
        <v>2.5499999999999998</v>
      </c>
    </row>
    <row r="29" spans="1:13">
      <c r="A29" s="277" t="s">
        <v>669</v>
      </c>
      <c r="B29" s="285">
        <v>1.7</v>
      </c>
      <c r="C29" s="285">
        <v>1.5</v>
      </c>
      <c r="D29" s="285">
        <v>2.8</v>
      </c>
      <c r="E29" s="286">
        <v>0.9</v>
      </c>
      <c r="F29" s="285">
        <v>2.1</v>
      </c>
      <c r="G29" s="285">
        <v>1</v>
      </c>
      <c r="H29" s="285">
        <v>1</v>
      </c>
      <c r="I29" s="285">
        <v>0.8</v>
      </c>
      <c r="J29" s="285">
        <v>1</v>
      </c>
      <c r="K29" s="285">
        <f>(B29+C29)*2-E29</f>
        <v>5.5</v>
      </c>
      <c r="L29" s="285">
        <f t="shared" ref="L29:L61" si="2">((B29+C29)*2*D29)-(E29*F29*G29)-(H29*I29*J29)</f>
        <v>15.229999999999997</v>
      </c>
      <c r="M29" s="285">
        <f>B29*C29</f>
        <v>2.5499999999999998</v>
      </c>
    </row>
    <row r="30" spans="1:13">
      <c r="A30" s="277" t="s">
        <v>670</v>
      </c>
      <c r="B30" s="285">
        <v>1.7</v>
      </c>
      <c r="C30" s="285">
        <v>1.5</v>
      </c>
      <c r="D30" s="285">
        <v>2.8</v>
      </c>
      <c r="E30" s="286">
        <v>0.9</v>
      </c>
      <c r="F30" s="285">
        <v>2.1</v>
      </c>
      <c r="G30" s="285">
        <v>1</v>
      </c>
      <c r="H30" s="285">
        <v>1</v>
      </c>
      <c r="I30" s="285">
        <v>0.8</v>
      </c>
      <c r="J30" s="285">
        <v>1</v>
      </c>
      <c r="K30" s="285">
        <f>(B30+C30)*2-E30</f>
        <v>5.5</v>
      </c>
      <c r="L30" s="285">
        <f t="shared" si="2"/>
        <v>15.229999999999997</v>
      </c>
      <c r="M30" s="285">
        <f>B30*C30</f>
        <v>2.5499999999999998</v>
      </c>
    </row>
    <row r="31" spans="1:13">
      <c r="A31" t="s">
        <v>649</v>
      </c>
      <c r="B31" s="243"/>
      <c r="C31" s="243"/>
      <c r="D31" s="255"/>
      <c r="E31" s="243"/>
      <c r="F31" s="243"/>
      <c r="G31" s="243"/>
      <c r="H31" s="243"/>
      <c r="I31" s="243"/>
      <c r="J31" s="243"/>
      <c r="K31" s="243">
        <v>25.09</v>
      </c>
      <c r="L31" s="243">
        <v>77.709999999999994</v>
      </c>
      <c r="M31" s="243">
        <v>71.67</v>
      </c>
    </row>
    <row r="32" spans="1:13">
      <c r="A32" t="s">
        <v>671</v>
      </c>
      <c r="B32" s="243"/>
      <c r="C32" s="243"/>
      <c r="D32" s="255"/>
      <c r="E32" s="243"/>
      <c r="F32" s="243"/>
      <c r="G32" s="243"/>
      <c r="H32" s="243"/>
      <c r="I32" s="243"/>
      <c r="J32" s="243"/>
      <c r="K32" s="243">
        <v>47.66</v>
      </c>
      <c r="L32" s="243">
        <v>145.21</v>
      </c>
      <c r="M32" s="243">
        <v>76.239999999999995</v>
      </c>
    </row>
    <row r="33" spans="1:13">
      <c r="A33" t="s">
        <v>672</v>
      </c>
      <c r="B33" s="243">
        <v>8.6</v>
      </c>
      <c r="C33" s="243">
        <v>3.5</v>
      </c>
      <c r="D33" s="255">
        <v>2.8</v>
      </c>
      <c r="E33" s="243">
        <v>0.9</v>
      </c>
      <c r="F33" s="243">
        <v>2.1</v>
      </c>
      <c r="G33" s="243">
        <v>2</v>
      </c>
      <c r="H33" s="243">
        <v>2</v>
      </c>
      <c r="I33" s="243">
        <v>0.8</v>
      </c>
      <c r="J33" s="243">
        <v>3</v>
      </c>
      <c r="K33" s="243">
        <f t="shared" ref="K33:K51" si="3">(B33+C33)*2-E33</f>
        <v>23.3</v>
      </c>
      <c r="L33" s="243">
        <f>((B33+C33)*2*D33)-(E33*F33*G33)-(H33*I33*J33)</f>
        <v>59.179999999999993</v>
      </c>
      <c r="M33" s="243">
        <f>B33*C33</f>
        <v>30.099999999999998</v>
      </c>
    </row>
    <row r="34" spans="1:13">
      <c r="A34" t="s">
        <v>673</v>
      </c>
      <c r="B34" s="243">
        <v>14.97</v>
      </c>
      <c r="C34" s="243"/>
      <c r="D34" s="243">
        <v>2.8</v>
      </c>
      <c r="E34" s="243">
        <v>0.9</v>
      </c>
      <c r="F34" s="243">
        <v>2.1</v>
      </c>
      <c r="G34" s="243">
        <v>1</v>
      </c>
      <c r="H34" s="243">
        <v>2</v>
      </c>
      <c r="I34" s="243">
        <v>0.8</v>
      </c>
      <c r="J34" s="243">
        <v>1</v>
      </c>
      <c r="K34" s="243">
        <f t="shared" si="3"/>
        <v>29.040000000000003</v>
      </c>
      <c r="L34" s="243">
        <f>(B34*D34)-(E34*F34*G34)-(H34*I34*J34)</f>
        <v>38.425999999999995</v>
      </c>
      <c r="M34" s="243">
        <v>14</v>
      </c>
    </row>
    <row r="35" spans="1:13">
      <c r="A35" s="280" t="s">
        <v>674</v>
      </c>
      <c r="B35" s="287">
        <v>2.4500000000000002</v>
      </c>
      <c r="C35" s="287">
        <v>1.65</v>
      </c>
      <c r="D35" s="287">
        <v>2.8</v>
      </c>
      <c r="E35" s="287">
        <v>0.8</v>
      </c>
      <c r="F35" s="287">
        <v>2.1</v>
      </c>
      <c r="G35" s="287">
        <v>1</v>
      </c>
      <c r="H35" s="287">
        <v>1</v>
      </c>
      <c r="I35" s="287">
        <v>0.8</v>
      </c>
      <c r="J35" s="287">
        <v>1</v>
      </c>
      <c r="K35" s="287">
        <f t="shared" si="3"/>
        <v>7.3999999999999995</v>
      </c>
      <c r="L35" s="287">
        <f t="shared" si="2"/>
        <v>20.479999999999997</v>
      </c>
      <c r="M35" s="287">
        <f t="shared" ref="M35:M51" si="4">B35*C35</f>
        <v>4.0425000000000004</v>
      </c>
    </row>
    <row r="36" spans="1:13">
      <c r="A36" t="s">
        <v>675</v>
      </c>
      <c r="B36" s="243">
        <v>3.5</v>
      </c>
      <c r="C36" s="243">
        <v>2.8</v>
      </c>
      <c r="D36" s="243">
        <v>2.8</v>
      </c>
      <c r="E36" s="243">
        <v>0.9</v>
      </c>
      <c r="F36" s="243">
        <v>2.1</v>
      </c>
      <c r="G36" s="243">
        <v>1</v>
      </c>
      <c r="H36" s="243">
        <v>2</v>
      </c>
      <c r="I36" s="243">
        <v>0.8</v>
      </c>
      <c r="J36" s="243">
        <v>1</v>
      </c>
      <c r="K36" s="243">
        <f t="shared" si="3"/>
        <v>11.7</v>
      </c>
      <c r="L36" s="243">
        <f t="shared" si="2"/>
        <v>31.789999999999992</v>
      </c>
      <c r="M36" s="243">
        <f t="shared" si="4"/>
        <v>9.7999999999999989</v>
      </c>
    </row>
    <row r="37" spans="1:13">
      <c r="A37" t="s">
        <v>676</v>
      </c>
      <c r="B37" s="243">
        <v>3.5</v>
      </c>
      <c r="C37" s="243">
        <v>2.6</v>
      </c>
      <c r="D37" s="243">
        <v>2.8</v>
      </c>
      <c r="E37" s="243">
        <v>0.9</v>
      </c>
      <c r="F37" s="243">
        <v>2.1</v>
      </c>
      <c r="G37" s="243">
        <v>1</v>
      </c>
      <c r="H37" s="243">
        <v>2</v>
      </c>
      <c r="I37" s="243">
        <v>0.8</v>
      </c>
      <c r="J37" s="243">
        <v>1</v>
      </c>
      <c r="K37" s="243">
        <f t="shared" si="3"/>
        <v>11.299999999999999</v>
      </c>
      <c r="L37" s="243">
        <f t="shared" si="2"/>
        <v>30.669999999999995</v>
      </c>
      <c r="M37" s="243">
        <f t="shared" si="4"/>
        <v>9.1</v>
      </c>
    </row>
    <row r="38" spans="1:13">
      <c r="A38" s="277" t="s">
        <v>668</v>
      </c>
      <c r="B38" s="285">
        <v>1.7</v>
      </c>
      <c r="C38" s="285">
        <v>1.5</v>
      </c>
      <c r="D38" s="285">
        <v>2.8</v>
      </c>
      <c r="E38" s="285">
        <v>0.9</v>
      </c>
      <c r="F38" s="285">
        <v>2.1</v>
      </c>
      <c r="G38" s="285">
        <v>1</v>
      </c>
      <c r="H38" s="285">
        <v>1</v>
      </c>
      <c r="I38" s="285">
        <v>0.4</v>
      </c>
      <c r="J38" s="285">
        <v>1</v>
      </c>
      <c r="K38" s="285">
        <f t="shared" si="3"/>
        <v>5.5</v>
      </c>
      <c r="L38" s="285">
        <f t="shared" si="2"/>
        <v>15.629999999999997</v>
      </c>
      <c r="M38" s="285">
        <f t="shared" si="4"/>
        <v>2.5499999999999998</v>
      </c>
    </row>
    <row r="39" spans="1:13">
      <c r="A39" t="s">
        <v>677</v>
      </c>
      <c r="B39" s="243">
        <v>3.5</v>
      </c>
      <c r="C39" s="243">
        <v>2.8</v>
      </c>
      <c r="D39" s="243">
        <v>2.8</v>
      </c>
      <c r="E39" s="243">
        <v>0.9</v>
      </c>
      <c r="F39" s="243">
        <v>2.1</v>
      </c>
      <c r="G39" s="243">
        <v>1</v>
      </c>
      <c r="H39" s="243">
        <v>2</v>
      </c>
      <c r="I39" s="243">
        <v>0.8</v>
      </c>
      <c r="J39" s="243">
        <v>1</v>
      </c>
      <c r="K39" s="243">
        <f t="shared" si="3"/>
        <v>11.7</v>
      </c>
      <c r="L39" s="243">
        <f t="shared" si="2"/>
        <v>31.789999999999992</v>
      </c>
      <c r="M39" s="243">
        <f t="shared" si="4"/>
        <v>9.7999999999999989</v>
      </c>
    </row>
    <row r="40" spans="1:13">
      <c r="A40" s="277" t="s">
        <v>669</v>
      </c>
      <c r="B40" s="285">
        <v>1.7</v>
      </c>
      <c r="C40" s="285">
        <v>1.5</v>
      </c>
      <c r="D40" s="285">
        <v>2.8</v>
      </c>
      <c r="E40" s="285">
        <v>0.9</v>
      </c>
      <c r="F40" s="285">
        <v>2.1</v>
      </c>
      <c r="G40" s="285">
        <v>1</v>
      </c>
      <c r="H40" s="285">
        <v>1</v>
      </c>
      <c r="I40" s="285">
        <v>0.4</v>
      </c>
      <c r="J40" s="285">
        <v>2</v>
      </c>
      <c r="K40" s="285">
        <f t="shared" si="3"/>
        <v>5.5</v>
      </c>
      <c r="L40" s="285">
        <f t="shared" si="2"/>
        <v>15.229999999999997</v>
      </c>
      <c r="M40" s="285">
        <f t="shared" si="4"/>
        <v>2.5499999999999998</v>
      </c>
    </row>
    <row r="41" spans="1:13">
      <c r="A41" s="280" t="s">
        <v>678</v>
      </c>
      <c r="B41" s="287">
        <v>3.5</v>
      </c>
      <c r="C41" s="287">
        <v>2.9</v>
      </c>
      <c r="D41" s="287">
        <v>2.8</v>
      </c>
      <c r="E41" s="287">
        <v>1.1000000000000001</v>
      </c>
      <c r="F41" s="287">
        <v>2.1</v>
      </c>
      <c r="G41" s="287">
        <v>1</v>
      </c>
      <c r="H41" s="287">
        <v>2</v>
      </c>
      <c r="I41" s="287">
        <v>0.8</v>
      </c>
      <c r="J41" s="287">
        <v>1</v>
      </c>
      <c r="K41" s="287">
        <f t="shared" si="3"/>
        <v>11.700000000000001</v>
      </c>
      <c r="L41" s="287">
        <f t="shared" si="2"/>
        <v>31.929999999999993</v>
      </c>
      <c r="M41" s="287">
        <f t="shared" si="4"/>
        <v>10.15</v>
      </c>
    </row>
    <row r="42" spans="1:13">
      <c r="A42" s="277" t="s">
        <v>679</v>
      </c>
      <c r="B42" s="285">
        <v>2.15</v>
      </c>
      <c r="C42" s="285">
        <v>2.2000000000000002</v>
      </c>
      <c r="D42" s="285">
        <v>2.8</v>
      </c>
      <c r="E42" s="285">
        <v>0.9</v>
      </c>
      <c r="F42" s="285">
        <v>2.1</v>
      </c>
      <c r="G42" s="285">
        <v>1</v>
      </c>
      <c r="H42" s="285">
        <v>1</v>
      </c>
      <c r="I42" s="285">
        <v>0.4</v>
      </c>
      <c r="J42" s="285">
        <v>2</v>
      </c>
      <c r="K42" s="285">
        <f t="shared" si="3"/>
        <v>7.7999999999999989</v>
      </c>
      <c r="L42" s="285">
        <f t="shared" si="2"/>
        <v>21.669999999999995</v>
      </c>
      <c r="M42" s="285">
        <f t="shared" si="4"/>
        <v>4.7300000000000004</v>
      </c>
    </row>
    <row r="43" spans="1:13">
      <c r="A43" s="277" t="s">
        <v>680</v>
      </c>
      <c r="B43" s="285">
        <v>1.2</v>
      </c>
      <c r="C43" s="285">
        <v>2.2000000000000002</v>
      </c>
      <c r="D43" s="285">
        <v>2.8</v>
      </c>
      <c r="E43" s="285">
        <v>0.9</v>
      </c>
      <c r="F43" s="285">
        <v>2.1</v>
      </c>
      <c r="G43" s="285">
        <v>1</v>
      </c>
      <c r="H43" s="285">
        <v>1</v>
      </c>
      <c r="I43" s="285">
        <v>0.4</v>
      </c>
      <c r="J43" s="285">
        <v>1</v>
      </c>
      <c r="K43" s="285">
        <f t="shared" si="3"/>
        <v>5.9</v>
      </c>
      <c r="L43" s="285">
        <f t="shared" si="2"/>
        <v>16.75</v>
      </c>
      <c r="M43" s="285">
        <f t="shared" si="4"/>
        <v>2.64</v>
      </c>
    </row>
    <row r="44" spans="1:13">
      <c r="A44" t="s">
        <v>681</v>
      </c>
      <c r="B44" s="243">
        <v>3.5</v>
      </c>
      <c r="C44" s="243">
        <v>5.85</v>
      </c>
      <c r="D44" s="243">
        <v>2.8</v>
      </c>
      <c r="E44" s="243">
        <v>1.1000000000000001</v>
      </c>
      <c r="F44" s="243">
        <v>2.1</v>
      </c>
      <c r="G44" s="243">
        <v>1</v>
      </c>
      <c r="H44" s="243">
        <v>2</v>
      </c>
      <c r="I44" s="243">
        <v>0.8</v>
      </c>
      <c r="J44" s="243">
        <v>2</v>
      </c>
      <c r="K44" s="243">
        <f t="shared" si="3"/>
        <v>17.599999999999998</v>
      </c>
      <c r="L44" s="243">
        <f t="shared" si="2"/>
        <v>46.849999999999987</v>
      </c>
      <c r="M44" s="243">
        <f t="shared" si="4"/>
        <v>20.474999999999998</v>
      </c>
    </row>
    <row r="45" spans="1:13">
      <c r="A45" t="s">
        <v>682</v>
      </c>
      <c r="B45" s="243">
        <v>6.95</v>
      </c>
      <c r="C45" s="243">
        <v>3.6</v>
      </c>
      <c r="D45" s="243">
        <v>2.8</v>
      </c>
      <c r="E45" s="243">
        <v>0.9</v>
      </c>
      <c r="F45" s="243">
        <v>2.1</v>
      </c>
      <c r="G45" s="243">
        <v>1</v>
      </c>
      <c r="H45" s="243">
        <v>1</v>
      </c>
      <c r="I45" s="243">
        <v>0.8</v>
      </c>
      <c r="J45" s="243">
        <v>1</v>
      </c>
      <c r="K45" s="243">
        <f t="shared" si="3"/>
        <v>20.200000000000003</v>
      </c>
      <c r="L45" s="243">
        <f t="shared" si="2"/>
        <v>56.39</v>
      </c>
      <c r="M45" s="243">
        <f t="shared" si="4"/>
        <v>25.02</v>
      </c>
    </row>
    <row r="46" spans="1:13">
      <c r="A46" s="280" t="s">
        <v>683</v>
      </c>
      <c r="B46" s="287">
        <v>2.6</v>
      </c>
      <c r="C46" s="287">
        <v>3.5</v>
      </c>
      <c r="D46" s="287">
        <v>2.8</v>
      </c>
      <c r="E46" s="287">
        <v>0.9</v>
      </c>
      <c r="F46" s="287">
        <v>2.1</v>
      </c>
      <c r="G46" s="287">
        <v>1</v>
      </c>
      <c r="H46" s="287">
        <v>2</v>
      </c>
      <c r="I46" s="287">
        <v>0.8</v>
      </c>
      <c r="J46" s="287">
        <v>1</v>
      </c>
      <c r="K46" s="287">
        <f t="shared" si="3"/>
        <v>11.299999999999999</v>
      </c>
      <c r="L46" s="287">
        <f t="shared" si="2"/>
        <v>30.669999999999995</v>
      </c>
      <c r="M46" s="287">
        <f t="shared" si="4"/>
        <v>9.1</v>
      </c>
    </row>
    <row r="47" spans="1:13">
      <c r="A47" t="s">
        <v>684</v>
      </c>
      <c r="B47" s="243">
        <v>2.6</v>
      </c>
      <c r="C47" s="243">
        <v>3.5</v>
      </c>
      <c r="D47" s="243">
        <v>2.8</v>
      </c>
      <c r="E47" s="243">
        <v>0.9</v>
      </c>
      <c r="F47" s="243">
        <v>2.1</v>
      </c>
      <c r="G47" s="243">
        <v>1</v>
      </c>
      <c r="H47" s="243">
        <v>2</v>
      </c>
      <c r="I47" s="243">
        <v>0.8</v>
      </c>
      <c r="J47" s="243">
        <v>1</v>
      </c>
      <c r="K47" s="243">
        <f t="shared" si="3"/>
        <v>11.299999999999999</v>
      </c>
      <c r="L47" s="243">
        <f t="shared" si="2"/>
        <v>30.669999999999995</v>
      </c>
      <c r="M47" s="243">
        <f t="shared" si="4"/>
        <v>9.1</v>
      </c>
    </row>
    <row r="48" spans="1:13">
      <c r="A48" t="s">
        <v>685</v>
      </c>
      <c r="B48" s="243">
        <v>2.6</v>
      </c>
      <c r="C48" s="243">
        <v>3.5</v>
      </c>
      <c r="D48" s="243">
        <v>2.8</v>
      </c>
      <c r="E48" s="243">
        <v>0.9</v>
      </c>
      <c r="F48" s="243">
        <v>2.1</v>
      </c>
      <c r="G48" s="243">
        <v>1</v>
      </c>
      <c r="H48" s="243">
        <v>2</v>
      </c>
      <c r="I48" s="243">
        <v>0.8</v>
      </c>
      <c r="J48" s="243">
        <v>1</v>
      </c>
      <c r="K48" s="243">
        <f t="shared" si="3"/>
        <v>11.299999999999999</v>
      </c>
      <c r="L48" s="243">
        <f t="shared" si="2"/>
        <v>30.669999999999995</v>
      </c>
      <c r="M48" s="243">
        <f t="shared" si="4"/>
        <v>9.1</v>
      </c>
    </row>
    <row r="49" spans="1:13">
      <c r="A49" t="s">
        <v>686</v>
      </c>
      <c r="B49" s="243">
        <v>2.6</v>
      </c>
      <c r="C49" s="243">
        <v>3.5</v>
      </c>
      <c r="D49" s="243">
        <v>2.8</v>
      </c>
      <c r="E49" s="243">
        <v>0.9</v>
      </c>
      <c r="F49" s="243">
        <v>2.1</v>
      </c>
      <c r="G49" s="243">
        <v>1</v>
      </c>
      <c r="H49" s="243">
        <v>2</v>
      </c>
      <c r="I49" s="243">
        <v>0.8</v>
      </c>
      <c r="J49" s="243">
        <v>1</v>
      </c>
      <c r="K49" s="243">
        <f t="shared" si="3"/>
        <v>11.299999999999999</v>
      </c>
      <c r="L49" s="243">
        <f t="shared" si="2"/>
        <v>30.669999999999995</v>
      </c>
      <c r="M49" s="243">
        <f t="shared" si="4"/>
        <v>9.1</v>
      </c>
    </row>
    <row r="50" spans="1:13">
      <c r="A50" t="s">
        <v>687</v>
      </c>
      <c r="B50" s="243">
        <v>2.6</v>
      </c>
      <c r="C50" s="243">
        <v>3.5</v>
      </c>
      <c r="D50" s="243">
        <v>2.8</v>
      </c>
      <c r="E50" s="243">
        <v>0.9</v>
      </c>
      <c r="F50" s="243">
        <v>2.1</v>
      </c>
      <c r="G50" s="243">
        <v>1</v>
      </c>
      <c r="H50" s="243">
        <v>2</v>
      </c>
      <c r="I50" s="243">
        <v>0.8</v>
      </c>
      <c r="J50" s="243">
        <v>1</v>
      </c>
      <c r="K50" s="243">
        <f t="shared" si="3"/>
        <v>11.299999999999999</v>
      </c>
      <c r="L50" s="243">
        <f t="shared" si="2"/>
        <v>30.669999999999995</v>
      </c>
      <c r="M50" s="243">
        <f t="shared" si="4"/>
        <v>9.1</v>
      </c>
    </row>
    <row r="51" spans="1:13">
      <c r="A51" s="280" t="s">
        <v>688</v>
      </c>
      <c r="B51" s="287">
        <v>2.6</v>
      </c>
      <c r="C51" s="287">
        <v>3.5</v>
      </c>
      <c r="D51" s="287">
        <v>2.8</v>
      </c>
      <c r="E51" s="287">
        <v>0.9</v>
      </c>
      <c r="F51" s="287">
        <v>2.1</v>
      </c>
      <c r="G51" s="287">
        <v>1</v>
      </c>
      <c r="H51" s="287">
        <v>2</v>
      </c>
      <c r="I51" s="287">
        <v>0.8</v>
      </c>
      <c r="J51" s="287">
        <v>1</v>
      </c>
      <c r="K51" s="287">
        <f t="shared" si="3"/>
        <v>11.299999999999999</v>
      </c>
      <c r="L51" s="287">
        <f t="shared" si="2"/>
        <v>30.669999999999995</v>
      </c>
      <c r="M51" s="287">
        <f t="shared" si="4"/>
        <v>9.1</v>
      </c>
    </row>
    <row r="52" spans="1:13">
      <c r="A52" t="s">
        <v>689</v>
      </c>
      <c r="B52" s="243"/>
      <c r="C52" s="243"/>
      <c r="D52" s="243"/>
      <c r="E52" s="243"/>
      <c r="F52" s="243"/>
      <c r="G52" s="243"/>
      <c r="H52" s="243"/>
      <c r="I52" s="243"/>
      <c r="J52" s="243"/>
      <c r="K52" s="243">
        <v>20.75</v>
      </c>
      <c r="L52" s="243">
        <v>63.84</v>
      </c>
      <c r="M52" s="243">
        <v>16.2</v>
      </c>
    </row>
    <row r="53" spans="1:13">
      <c r="A53" t="s">
        <v>690</v>
      </c>
      <c r="B53" s="243">
        <v>3.6</v>
      </c>
      <c r="C53" s="243">
        <v>3.6</v>
      </c>
      <c r="D53" s="243">
        <v>2.8</v>
      </c>
      <c r="E53" s="243">
        <v>0.8</v>
      </c>
      <c r="F53" s="243">
        <v>2.1</v>
      </c>
      <c r="G53" s="243">
        <v>1</v>
      </c>
      <c r="H53" s="243">
        <v>2</v>
      </c>
      <c r="I53" s="243">
        <v>0.8</v>
      </c>
      <c r="J53" s="243">
        <v>1</v>
      </c>
      <c r="K53" s="243">
        <f t="shared" ref="K53:K62" si="5">(B53+C53)*2-E53</f>
        <v>13.6</v>
      </c>
      <c r="L53" s="243">
        <f t="shared" si="2"/>
        <v>37.04</v>
      </c>
      <c r="M53" s="243">
        <f t="shared" ref="M53:M62" si="6">B53*C53</f>
        <v>12.96</v>
      </c>
    </row>
    <row r="54" spans="1:13">
      <c r="A54" s="277" t="s">
        <v>691</v>
      </c>
      <c r="B54" s="285">
        <v>1.7</v>
      </c>
      <c r="C54" s="285">
        <v>3.6</v>
      </c>
      <c r="D54" s="285">
        <v>2.8</v>
      </c>
      <c r="E54" s="285">
        <v>0.8</v>
      </c>
      <c r="F54" s="285">
        <v>2.1</v>
      </c>
      <c r="G54" s="285">
        <v>1</v>
      </c>
      <c r="H54" s="285">
        <v>1</v>
      </c>
      <c r="I54" s="285">
        <v>0.8</v>
      </c>
      <c r="J54" s="285">
        <v>1</v>
      </c>
      <c r="K54" s="285">
        <f t="shared" si="5"/>
        <v>9.7999999999999989</v>
      </c>
      <c r="L54" s="285">
        <f t="shared" si="2"/>
        <v>27.199999999999996</v>
      </c>
      <c r="M54" s="285">
        <f t="shared" si="6"/>
        <v>6.12</v>
      </c>
    </row>
    <row r="55" spans="1:13">
      <c r="A55" s="277" t="s">
        <v>692</v>
      </c>
      <c r="B55" s="285">
        <v>1.2</v>
      </c>
      <c r="C55" s="285">
        <v>3.6</v>
      </c>
      <c r="D55" s="285">
        <v>2.8</v>
      </c>
      <c r="E55" s="285">
        <v>0.8</v>
      </c>
      <c r="F55" s="285">
        <v>2.1</v>
      </c>
      <c r="G55" s="285">
        <v>1</v>
      </c>
      <c r="H55" s="285">
        <v>1</v>
      </c>
      <c r="I55" s="285">
        <v>0.8</v>
      </c>
      <c r="J55" s="285">
        <v>2</v>
      </c>
      <c r="K55" s="285">
        <f t="shared" si="5"/>
        <v>8.7999999999999989</v>
      </c>
      <c r="L55" s="285">
        <f t="shared" si="2"/>
        <v>23.599999999999998</v>
      </c>
      <c r="M55" s="285">
        <f t="shared" si="6"/>
        <v>4.32</v>
      </c>
    </row>
    <row r="56" spans="1:13">
      <c r="A56" s="280" t="s">
        <v>693</v>
      </c>
      <c r="B56" s="287">
        <v>1.65</v>
      </c>
      <c r="C56" s="287">
        <v>3.1</v>
      </c>
      <c r="D56" s="287">
        <v>2.8</v>
      </c>
      <c r="E56" s="287">
        <v>0.8</v>
      </c>
      <c r="F56" s="287">
        <v>2.1</v>
      </c>
      <c r="G56" s="287">
        <v>1</v>
      </c>
      <c r="H56" s="287">
        <v>1</v>
      </c>
      <c r="I56" s="287">
        <v>0.8</v>
      </c>
      <c r="J56" s="287">
        <v>1</v>
      </c>
      <c r="K56" s="287">
        <f t="shared" si="5"/>
        <v>8.6999999999999993</v>
      </c>
      <c r="L56" s="287">
        <f t="shared" si="2"/>
        <v>24.119999999999997</v>
      </c>
      <c r="M56" s="287">
        <f t="shared" si="6"/>
        <v>5.1150000000000002</v>
      </c>
    </row>
    <row r="57" spans="1:13">
      <c r="A57" s="280" t="s">
        <v>694</v>
      </c>
      <c r="B57" s="287">
        <v>1.65</v>
      </c>
      <c r="C57" s="287">
        <v>3.1</v>
      </c>
      <c r="D57" s="287">
        <v>2.8</v>
      </c>
      <c r="E57" s="287">
        <v>0.8</v>
      </c>
      <c r="F57" s="287">
        <v>2.1</v>
      </c>
      <c r="G57" s="287">
        <v>1</v>
      </c>
      <c r="H57" s="287">
        <v>1</v>
      </c>
      <c r="I57" s="287">
        <v>0.8</v>
      </c>
      <c r="J57" s="287">
        <v>1</v>
      </c>
      <c r="K57" s="287">
        <f t="shared" si="5"/>
        <v>8.6999999999999993</v>
      </c>
      <c r="L57" s="287">
        <f t="shared" si="2"/>
        <v>24.119999999999997</v>
      </c>
      <c r="M57" s="287">
        <f t="shared" si="6"/>
        <v>5.1150000000000002</v>
      </c>
    </row>
    <row r="58" spans="1:13">
      <c r="A58" s="277" t="s">
        <v>695</v>
      </c>
      <c r="B58" s="285">
        <v>1.2</v>
      </c>
      <c r="C58" s="285">
        <v>3.1</v>
      </c>
      <c r="D58" s="285">
        <v>2.8</v>
      </c>
      <c r="E58" s="285">
        <v>0.8</v>
      </c>
      <c r="F58" s="285">
        <v>2.1</v>
      </c>
      <c r="G58" s="285">
        <v>1</v>
      </c>
      <c r="H58" s="285">
        <v>1</v>
      </c>
      <c r="I58" s="285">
        <v>0.8</v>
      </c>
      <c r="J58" s="285">
        <v>1</v>
      </c>
      <c r="K58" s="285">
        <f t="shared" si="5"/>
        <v>7.8</v>
      </c>
      <c r="L58" s="285">
        <f t="shared" si="2"/>
        <v>21.599999999999998</v>
      </c>
      <c r="M58" s="285">
        <f t="shared" si="6"/>
        <v>3.7199999999999998</v>
      </c>
    </row>
    <row r="59" spans="1:13">
      <c r="A59" t="s">
        <v>696</v>
      </c>
      <c r="B59" s="243">
        <v>1.8</v>
      </c>
      <c r="C59" s="243">
        <v>1.7</v>
      </c>
      <c r="D59" s="243">
        <v>2.8</v>
      </c>
      <c r="E59" s="243">
        <v>0.8</v>
      </c>
      <c r="F59" s="243">
        <v>2.1</v>
      </c>
      <c r="G59" s="243">
        <v>1</v>
      </c>
      <c r="H59" s="243">
        <v>1</v>
      </c>
      <c r="I59" s="243">
        <v>0.8</v>
      </c>
      <c r="J59" s="243">
        <v>1</v>
      </c>
      <c r="K59" s="243">
        <f t="shared" si="5"/>
        <v>6.2</v>
      </c>
      <c r="L59" s="243">
        <f t="shared" si="2"/>
        <v>17.119999999999997</v>
      </c>
      <c r="M59" s="243">
        <f t="shared" si="6"/>
        <v>3.06</v>
      </c>
    </row>
    <row r="60" spans="1:13">
      <c r="A60" t="s">
        <v>706</v>
      </c>
      <c r="B60" s="243">
        <v>1.8</v>
      </c>
      <c r="C60" s="243">
        <v>1.25</v>
      </c>
      <c r="D60" s="243">
        <v>2.8</v>
      </c>
      <c r="E60" s="243">
        <v>0.8</v>
      </c>
      <c r="F60" s="243">
        <v>2.1</v>
      </c>
      <c r="G60" s="243">
        <v>1</v>
      </c>
      <c r="H60" s="243">
        <v>1</v>
      </c>
      <c r="I60" s="243">
        <v>0.8</v>
      </c>
      <c r="J60" s="243">
        <v>1</v>
      </c>
      <c r="K60" s="243">
        <f t="shared" si="5"/>
        <v>5.3</v>
      </c>
      <c r="L60" s="243">
        <f t="shared" si="2"/>
        <v>14.599999999999998</v>
      </c>
      <c r="M60" s="243">
        <f t="shared" si="6"/>
        <v>2.25</v>
      </c>
    </row>
    <row r="61" spans="1:13">
      <c r="A61" t="s">
        <v>707</v>
      </c>
      <c r="B61" s="243">
        <v>1.53</v>
      </c>
      <c r="C61" s="243">
        <v>1.4</v>
      </c>
      <c r="D61" s="243">
        <v>2.8</v>
      </c>
      <c r="E61" s="243">
        <v>1.2</v>
      </c>
      <c r="F61" s="243">
        <v>2.1</v>
      </c>
      <c r="G61" s="243">
        <v>1</v>
      </c>
      <c r="H61" s="243">
        <v>0</v>
      </c>
      <c r="I61" s="243">
        <v>0</v>
      </c>
      <c r="J61" s="243">
        <v>0</v>
      </c>
      <c r="K61" s="243">
        <f t="shared" si="5"/>
        <v>4.6599999999999993</v>
      </c>
      <c r="L61" s="243">
        <f t="shared" si="2"/>
        <v>13.887999999999998</v>
      </c>
      <c r="M61" s="243">
        <f t="shared" si="6"/>
        <v>2.1419999999999999</v>
      </c>
    </row>
    <row r="62" spans="1:13">
      <c r="A62" t="s">
        <v>708</v>
      </c>
      <c r="B62" s="243">
        <v>1.53</v>
      </c>
      <c r="C62" s="243">
        <v>1.4</v>
      </c>
      <c r="D62" s="243">
        <v>2.8</v>
      </c>
      <c r="E62" s="243">
        <v>1.2</v>
      </c>
      <c r="F62" s="243">
        <v>2.1</v>
      </c>
      <c r="G62" s="243">
        <v>1</v>
      </c>
      <c r="H62" s="243">
        <v>0</v>
      </c>
      <c r="I62" s="243">
        <v>0</v>
      </c>
      <c r="J62" s="243">
        <v>0</v>
      </c>
      <c r="K62" s="243">
        <f t="shared" si="5"/>
        <v>4.6599999999999993</v>
      </c>
      <c r="L62" s="243">
        <f t="shared" ref="L62" si="7">((B62+C62)*2*D62)-(E62*F62*G62)-(H62*I62*J62)</f>
        <v>13.887999999999998</v>
      </c>
      <c r="M62" s="243">
        <f t="shared" si="6"/>
        <v>2.1419999999999999</v>
      </c>
    </row>
    <row r="63" spans="1:13">
      <c r="A63" s="279" t="s">
        <v>714</v>
      </c>
      <c r="B63" s="288"/>
      <c r="C63" s="288"/>
      <c r="D63" s="288"/>
      <c r="E63" s="288"/>
      <c r="F63" s="288"/>
      <c r="G63" s="288"/>
      <c r="H63" s="288"/>
      <c r="I63" s="288"/>
      <c r="J63" s="288"/>
      <c r="K63" s="288"/>
      <c r="L63" s="288">
        <f>359.38-51.16</f>
        <v>308.22000000000003</v>
      </c>
      <c r="M63" s="288"/>
    </row>
    <row r="64" spans="1:13">
      <c r="A64" s="279" t="s">
        <v>715</v>
      </c>
      <c r="B64" s="288"/>
      <c r="C64" s="288"/>
      <c r="D64" s="288"/>
      <c r="E64" s="288"/>
      <c r="F64" s="288"/>
      <c r="G64" s="288"/>
      <c r="H64" s="288"/>
      <c r="I64" s="288"/>
      <c r="J64" s="288"/>
      <c r="K64" s="288"/>
      <c r="L64" s="288">
        <f>600.66/2</f>
        <v>300.33</v>
      </c>
      <c r="M64" s="288"/>
    </row>
    <row r="65" spans="1:13">
      <c r="A65" s="279" t="s">
        <v>647</v>
      </c>
      <c r="B65" s="288"/>
      <c r="C65" s="288"/>
      <c r="D65" s="288"/>
      <c r="E65" s="288"/>
      <c r="F65" s="288"/>
      <c r="G65" s="288"/>
      <c r="H65" s="288"/>
      <c r="I65" s="288"/>
      <c r="J65" s="288"/>
      <c r="K65" s="288"/>
      <c r="L65" s="288">
        <v>60.7</v>
      </c>
      <c r="M65" s="288"/>
    </row>
    <row r="67" spans="1:13">
      <c r="J67" s="278" t="s">
        <v>710</v>
      </c>
      <c r="K67" s="289">
        <f>K31+K32+K33+K34+K35+K36+K37+K39+K41+K44+K45+K46+K47+K48+K49+K50+K51+K52+K53+K56+K57+K59</f>
        <v>342.44000000000005</v>
      </c>
    </row>
    <row r="68" spans="1:13">
      <c r="I68" s="277"/>
      <c r="J68" s="282" t="s">
        <v>709</v>
      </c>
      <c r="K68" s="290">
        <f>L28+L29+L30+L38+L40+L42+L54++L43+L55+L58</f>
        <v>187.36999999999995</v>
      </c>
    </row>
    <row r="69" spans="1:13">
      <c r="G69" s="280"/>
      <c r="H69" s="280"/>
      <c r="I69" s="280"/>
      <c r="J69" s="281" t="s">
        <v>712</v>
      </c>
      <c r="K69" s="291">
        <f>L35+L41+L46+L51+L56+L57</f>
        <v>161.98999999999998</v>
      </c>
    </row>
    <row r="70" spans="1:13">
      <c r="J70" s="278" t="s">
        <v>713</v>
      </c>
      <c r="K70" s="289">
        <f>L31+L32+L33+L34+L36+L37+L39+L44+L45+L47+L48+L49+L50+L52+L53+L59+L60+L61+L62</f>
        <v>801.072</v>
      </c>
    </row>
    <row r="71" spans="1:13">
      <c r="G71" s="279"/>
      <c r="H71" s="279"/>
      <c r="I71" s="279"/>
      <c r="J71" s="283" t="s">
        <v>716</v>
      </c>
      <c r="K71" s="292">
        <f>L63+L64</f>
        <v>608.54999999999995</v>
      </c>
    </row>
    <row r="72" spans="1:13">
      <c r="J72" s="278" t="s">
        <v>711</v>
      </c>
      <c r="K72" s="289">
        <f>SUM(M28:M62)</f>
        <v>418.26150000000013</v>
      </c>
    </row>
    <row r="73" spans="1:13">
      <c r="J73" s="278" t="s">
        <v>729</v>
      </c>
      <c r="K73" s="289">
        <f>K69+K70</f>
        <v>963.06200000000001</v>
      </c>
    </row>
    <row r="74" spans="1:13">
      <c r="K74" s="289"/>
    </row>
    <row r="75" spans="1:13">
      <c r="J75" s="278" t="s">
        <v>730</v>
      </c>
      <c r="K75" s="289">
        <f>M31</f>
        <v>71.67</v>
      </c>
    </row>
    <row r="76" spans="1:13">
      <c r="J76" s="278" t="s">
        <v>735</v>
      </c>
      <c r="K76" s="289">
        <f>L65</f>
        <v>60.7</v>
      </c>
    </row>
  </sheetData>
  <pageMargins left="0.511811024" right="0.511811024" top="0.78740157499999996" bottom="0.78740157499999996" header="0.31496062000000002" footer="0.31496062000000002"/>
  <ignoredErrors>
    <ignoredError sqref="L34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dimension ref="A1:C41"/>
  <sheetViews>
    <sheetView tabSelected="1" view="pageBreakPreview" zoomScale="60" zoomScaleNormal="90" workbookViewId="0">
      <selection activeCell="E31" sqref="E31"/>
    </sheetView>
  </sheetViews>
  <sheetFormatPr defaultRowHeight="12.75"/>
  <cols>
    <col min="1" max="1" width="15.28515625" customWidth="1"/>
    <col min="2" max="2" width="33.5703125" customWidth="1"/>
    <col min="3" max="3" width="26.28515625" customWidth="1"/>
  </cols>
  <sheetData>
    <row r="1" spans="1:3" ht="15">
      <c r="A1" s="139"/>
      <c r="B1" s="139"/>
      <c r="C1" s="139"/>
    </row>
    <row r="2" spans="1:3" ht="15">
      <c r="A2" s="139"/>
      <c r="B2" s="139"/>
      <c r="C2" s="139"/>
    </row>
    <row r="3" spans="1:3" ht="15.75">
      <c r="A3" s="914"/>
      <c r="B3" s="914"/>
      <c r="C3" s="914"/>
    </row>
    <row r="4" spans="1:3" ht="15">
      <c r="A4" s="140"/>
      <c r="B4" s="140"/>
      <c r="C4" s="140"/>
    </row>
    <row r="5" spans="1:3" ht="15.75">
      <c r="A5" s="915" t="s">
        <v>256</v>
      </c>
      <c r="B5" s="915"/>
      <c r="C5" s="915"/>
    </row>
    <row r="6" spans="1:3" ht="15">
      <c r="A6" s="141"/>
      <c r="B6" s="142"/>
      <c r="C6" s="143"/>
    </row>
    <row r="7" spans="1:3" ht="15">
      <c r="A7" s="141"/>
      <c r="B7" s="142"/>
      <c r="C7" s="143"/>
    </row>
    <row r="8" spans="1:3" ht="15.75">
      <c r="A8" s="144" t="s">
        <v>257</v>
      </c>
      <c r="B8" s="145" t="s">
        <v>258</v>
      </c>
      <c r="C8" s="146"/>
    </row>
    <row r="9" spans="1:3" ht="15.75">
      <c r="A9" s="147"/>
      <c r="B9" s="148"/>
      <c r="C9" s="149"/>
    </row>
    <row r="10" spans="1:3" ht="15.75">
      <c r="A10" s="147" t="s">
        <v>259</v>
      </c>
      <c r="B10" s="150" t="s">
        <v>260</v>
      </c>
      <c r="C10" s="151">
        <v>4</v>
      </c>
    </row>
    <row r="11" spans="1:3" ht="15.75">
      <c r="A11" s="147"/>
      <c r="B11" s="150"/>
      <c r="C11" s="151"/>
    </row>
    <row r="12" spans="1:3" ht="15.75">
      <c r="A12" s="147" t="s">
        <v>261</v>
      </c>
      <c r="B12" s="150" t="s">
        <v>262</v>
      </c>
      <c r="C12" s="151">
        <v>0.8</v>
      </c>
    </row>
    <row r="13" spans="1:3" ht="15.75">
      <c r="A13" s="147"/>
      <c r="B13" s="150"/>
      <c r="C13" s="151"/>
    </row>
    <row r="14" spans="1:3" ht="15.75">
      <c r="A14" s="147" t="s">
        <v>263</v>
      </c>
      <c r="B14" s="150" t="s">
        <v>264</v>
      </c>
      <c r="C14" s="151">
        <v>1.2</v>
      </c>
    </row>
    <row r="15" spans="1:3" ht="15.75">
      <c r="A15" s="147"/>
      <c r="B15" s="150"/>
      <c r="C15" s="151"/>
    </row>
    <row r="16" spans="1:3" ht="15.75">
      <c r="A16" s="147"/>
      <c r="B16" s="150"/>
      <c r="C16" s="151"/>
    </row>
    <row r="17" spans="1:3" ht="15.75">
      <c r="A17" s="916" t="s">
        <v>265</v>
      </c>
      <c r="B17" s="916"/>
      <c r="C17" s="152">
        <f>SUM(C9:C16)</f>
        <v>6</v>
      </c>
    </row>
    <row r="18" spans="1:3" ht="15">
      <c r="A18" s="141"/>
      <c r="B18" s="142"/>
      <c r="C18" s="143"/>
    </row>
    <row r="19" spans="1:3" ht="15.75">
      <c r="A19" s="144" t="s">
        <v>266</v>
      </c>
      <c r="B19" s="145" t="s">
        <v>267</v>
      </c>
      <c r="C19" s="146"/>
    </row>
    <row r="20" spans="1:3" ht="15.75">
      <c r="A20" s="149"/>
      <c r="B20" s="148"/>
      <c r="C20" s="147"/>
    </row>
    <row r="21" spans="1:3" ht="15.75">
      <c r="A21" s="147" t="s">
        <v>268</v>
      </c>
      <c r="B21" s="150" t="s">
        <v>269</v>
      </c>
      <c r="C21" s="151">
        <v>1.21</v>
      </c>
    </row>
    <row r="22" spans="1:3" ht="15.75">
      <c r="A22" s="916" t="s">
        <v>270</v>
      </c>
      <c r="B22" s="916"/>
      <c r="C22" s="152">
        <v>1.21</v>
      </c>
    </row>
    <row r="23" spans="1:3" ht="15.75">
      <c r="A23" s="144" t="s">
        <v>271</v>
      </c>
      <c r="B23" s="145" t="s">
        <v>267</v>
      </c>
      <c r="C23" s="146"/>
    </row>
    <row r="24" spans="1:3" ht="15.75">
      <c r="A24" s="149"/>
      <c r="B24" s="148"/>
      <c r="C24" s="147"/>
    </row>
    <row r="25" spans="1:3" ht="15.75">
      <c r="A25" s="147" t="s">
        <v>228</v>
      </c>
      <c r="B25" s="150" t="s">
        <v>272</v>
      </c>
      <c r="C25" s="151">
        <v>7.4</v>
      </c>
    </row>
    <row r="26" spans="1:3" ht="15.75">
      <c r="A26" s="916" t="s">
        <v>273</v>
      </c>
      <c r="B26" s="916"/>
      <c r="C26" s="152">
        <f>SUM(C24:C25)</f>
        <v>7.4</v>
      </c>
    </row>
    <row r="27" spans="1:3" ht="15">
      <c r="A27" s="141"/>
      <c r="B27" s="142"/>
      <c r="C27" s="153"/>
    </row>
    <row r="28" spans="1:3" ht="15.75">
      <c r="A28" s="144" t="s">
        <v>274</v>
      </c>
      <c r="B28" s="145" t="s">
        <v>275</v>
      </c>
      <c r="C28" s="146"/>
    </row>
    <row r="29" spans="1:3" ht="15.75">
      <c r="A29" s="149"/>
      <c r="B29" s="150"/>
      <c r="C29" s="147"/>
    </row>
    <row r="30" spans="1:3" ht="15.75">
      <c r="A30" s="147" t="s">
        <v>276</v>
      </c>
      <c r="B30" s="150" t="s">
        <v>277</v>
      </c>
      <c r="C30" s="151">
        <v>0.65</v>
      </c>
    </row>
    <row r="31" spans="1:3" ht="15.75">
      <c r="A31" s="147"/>
      <c r="B31" s="150"/>
      <c r="C31" s="151"/>
    </row>
    <row r="32" spans="1:3" ht="15.75">
      <c r="A32" s="147" t="s">
        <v>278</v>
      </c>
      <c r="B32" s="150" t="s">
        <v>279</v>
      </c>
      <c r="C32" s="151">
        <v>3</v>
      </c>
    </row>
    <row r="33" spans="1:3" ht="15.75">
      <c r="A33" s="147"/>
      <c r="B33" s="150"/>
      <c r="C33" s="151"/>
    </row>
    <row r="34" spans="1:3" ht="15.75">
      <c r="A34" s="147" t="s">
        <v>280</v>
      </c>
      <c r="B34" s="150" t="s">
        <v>281</v>
      </c>
      <c r="C34" s="151">
        <v>2</v>
      </c>
    </row>
    <row r="35" spans="1:3" ht="15.75">
      <c r="A35" s="147"/>
      <c r="B35" s="150"/>
      <c r="C35" s="151"/>
    </row>
    <row r="36" spans="1:3" ht="15.75">
      <c r="A36" s="147" t="s">
        <v>282</v>
      </c>
      <c r="B36" s="154" t="s">
        <v>283</v>
      </c>
      <c r="C36" s="151">
        <v>4.5</v>
      </c>
    </row>
    <row r="37" spans="1:3" ht="15.75">
      <c r="A37" s="916" t="s">
        <v>284</v>
      </c>
      <c r="B37" s="916"/>
      <c r="C37" s="155">
        <f>SUM(C30:C36)</f>
        <v>10.15</v>
      </c>
    </row>
    <row r="38" spans="1:3" ht="15">
      <c r="A38" s="141"/>
      <c r="B38" s="142"/>
      <c r="C38" s="143"/>
    </row>
    <row r="39" spans="1:3">
      <c r="A39" s="912" t="s">
        <v>285</v>
      </c>
      <c r="B39" s="912"/>
      <c r="C39" s="912"/>
    </row>
    <row r="40" spans="1:3">
      <c r="A40" s="912"/>
      <c r="B40" s="912"/>
      <c r="C40" s="912"/>
    </row>
    <row r="41" spans="1:3" ht="15.75">
      <c r="A41" s="913" t="s">
        <v>286</v>
      </c>
      <c r="B41" s="913"/>
      <c r="C41" s="156">
        <f>((((1+C17/100)*(1+C22/100)*(1+C26/100))/(1-C37/100))-1)</f>
        <v>0.28237632053422379</v>
      </c>
    </row>
  </sheetData>
  <mergeCells count="9">
    <mergeCell ref="A39:C39"/>
    <mergeCell ref="A40:C40"/>
    <mergeCell ref="A41:B41"/>
    <mergeCell ref="A3:C3"/>
    <mergeCell ref="A5:C5"/>
    <mergeCell ref="A17:B17"/>
    <mergeCell ref="A22:B22"/>
    <mergeCell ref="A26:B26"/>
    <mergeCell ref="A37:B3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M25"/>
  <sheetViews>
    <sheetView view="pageBreakPreview" zoomScale="90" zoomScaleSheetLayoutView="90" workbookViewId="0">
      <selection activeCell="E27" sqref="E27"/>
    </sheetView>
  </sheetViews>
  <sheetFormatPr defaultRowHeight="12.75"/>
  <cols>
    <col min="2" max="2" width="31.7109375" customWidth="1"/>
    <col min="3" max="3" width="17.5703125" bestFit="1" customWidth="1"/>
    <col min="4" max="4" width="12.140625" customWidth="1"/>
    <col min="5" max="5" width="9.28515625" bestFit="1" customWidth="1"/>
    <col min="6" max="6" width="14.140625" customWidth="1"/>
    <col min="7" max="7" width="9.7109375" bestFit="1" customWidth="1"/>
    <col min="8" max="8" width="13.7109375" customWidth="1"/>
    <col min="9" max="9" width="9.28515625" bestFit="1" customWidth="1"/>
    <col min="10" max="10" width="13.5703125" customWidth="1"/>
    <col min="11" max="11" width="9.28515625" bestFit="1" customWidth="1"/>
    <col min="12" max="12" width="13.85546875" customWidth="1"/>
    <col min="13" max="13" width="10.85546875" bestFit="1" customWidth="1"/>
  </cols>
  <sheetData>
    <row r="1" spans="1:13" ht="13.5" thickBot="1">
      <c r="A1" s="939" t="s">
        <v>1276</v>
      </c>
      <c r="B1" s="940"/>
      <c r="C1" s="940"/>
      <c r="D1" s="940"/>
      <c r="E1" s="940"/>
      <c r="F1" s="940"/>
      <c r="G1" s="940"/>
      <c r="H1" s="943"/>
      <c r="I1" s="944"/>
      <c r="J1" s="945" t="s">
        <v>134</v>
      </c>
      <c r="K1" s="946"/>
      <c r="L1" s="947">
        <v>0.28239999999999998</v>
      </c>
      <c r="M1" s="948"/>
    </row>
    <row r="2" spans="1:13" ht="13.5" thickBot="1">
      <c r="A2" s="941"/>
      <c r="B2" s="942"/>
      <c r="C2" s="942"/>
      <c r="D2" s="942"/>
      <c r="E2" s="942"/>
      <c r="F2" s="942"/>
      <c r="G2" s="942"/>
      <c r="H2" s="949"/>
      <c r="I2" s="949"/>
      <c r="J2" s="945" t="s">
        <v>965</v>
      </c>
      <c r="K2" s="946"/>
      <c r="L2" s="950" t="s">
        <v>1277</v>
      </c>
      <c r="M2" s="951"/>
    </row>
    <row r="3" spans="1:13" ht="15">
      <c r="A3" s="941"/>
      <c r="B3" s="942"/>
      <c r="C3" s="942"/>
      <c r="D3" s="942"/>
      <c r="E3" s="942"/>
      <c r="F3" s="942"/>
      <c r="G3" s="942"/>
      <c r="H3" s="627"/>
      <c r="I3" s="627"/>
      <c r="J3" s="628"/>
      <c r="K3" s="628"/>
      <c r="L3" s="628"/>
      <c r="M3" s="629"/>
    </row>
    <row r="4" spans="1:13" ht="15">
      <c r="A4" s="941"/>
      <c r="B4" s="942"/>
      <c r="C4" s="942"/>
      <c r="D4" s="942"/>
      <c r="E4" s="942"/>
      <c r="F4" s="942"/>
      <c r="G4" s="942"/>
      <c r="H4" s="627"/>
      <c r="I4" s="627"/>
      <c r="J4" s="628"/>
      <c r="K4" s="628"/>
      <c r="L4" s="628"/>
      <c r="M4" s="630"/>
    </row>
    <row r="5" spans="1:13">
      <c r="A5" s="927" t="s">
        <v>867</v>
      </c>
      <c r="B5" s="928"/>
      <c r="C5" s="928"/>
      <c r="D5" s="928"/>
      <c r="E5" s="928"/>
      <c r="F5" s="928"/>
      <c r="G5" s="928"/>
      <c r="H5" s="928"/>
      <c r="I5" s="928"/>
      <c r="J5" s="628"/>
      <c r="K5" s="628"/>
      <c r="L5" s="628"/>
      <c r="M5" s="630"/>
    </row>
    <row r="6" spans="1:13">
      <c r="A6" s="927" t="s">
        <v>1278</v>
      </c>
      <c r="B6" s="928"/>
      <c r="C6" s="928"/>
      <c r="D6" s="928"/>
      <c r="E6" s="928"/>
      <c r="F6" s="928"/>
      <c r="G6" s="928"/>
      <c r="H6" s="928"/>
      <c r="I6" s="928"/>
      <c r="J6" s="628"/>
      <c r="K6" s="628"/>
      <c r="L6" s="628"/>
      <c r="M6" s="630"/>
    </row>
    <row r="7" spans="1:13" ht="13.5" thickBot="1">
      <c r="A7" s="929" t="s">
        <v>1279</v>
      </c>
      <c r="B7" s="930"/>
      <c r="C7" s="930"/>
      <c r="D7" s="930"/>
      <c r="E7" s="930"/>
      <c r="F7" s="930"/>
      <c r="G7" s="930"/>
      <c r="H7" s="930"/>
      <c r="I7" s="930"/>
      <c r="J7" s="631"/>
      <c r="K7" s="631"/>
      <c r="L7" s="631"/>
      <c r="M7" s="632"/>
    </row>
    <row r="8" spans="1:13" ht="13.5" thickBot="1">
      <c r="A8" s="931" t="s">
        <v>5</v>
      </c>
      <c r="B8" s="931" t="s">
        <v>514</v>
      </c>
      <c r="C8" s="933" t="s">
        <v>1280</v>
      </c>
      <c r="D8" s="917" t="s">
        <v>1281</v>
      </c>
      <c r="E8" s="918"/>
      <c r="F8" s="935" t="s">
        <v>1282</v>
      </c>
      <c r="G8" s="936"/>
      <c r="H8" s="917" t="s">
        <v>1283</v>
      </c>
      <c r="I8" s="918"/>
      <c r="J8" s="935" t="s">
        <v>1284</v>
      </c>
      <c r="K8" s="937"/>
      <c r="L8" s="917" t="s">
        <v>1285</v>
      </c>
      <c r="M8" s="918"/>
    </row>
    <row r="9" spans="1:13" ht="13.5" thickBot="1">
      <c r="A9" s="932"/>
      <c r="B9" s="932"/>
      <c r="C9" s="934"/>
      <c r="D9" s="938"/>
      <c r="E9" s="918"/>
      <c r="F9" s="935"/>
      <c r="G9" s="936"/>
      <c r="H9" s="917"/>
      <c r="I9" s="918"/>
      <c r="J9" s="633"/>
      <c r="K9" s="634"/>
      <c r="L9" s="635"/>
      <c r="M9" s="636"/>
    </row>
    <row r="10" spans="1:13" ht="15.75" thickBot="1">
      <c r="A10" s="637"/>
      <c r="B10" s="638"/>
      <c r="C10" s="639"/>
      <c r="D10" s="640" t="s">
        <v>1286</v>
      </c>
      <c r="E10" s="641" t="s">
        <v>943</v>
      </c>
      <c r="F10" s="642" t="s">
        <v>1286</v>
      </c>
      <c r="G10" s="643" t="s">
        <v>943</v>
      </c>
      <c r="H10" s="640" t="s">
        <v>1286</v>
      </c>
      <c r="I10" s="641" t="s">
        <v>943</v>
      </c>
      <c r="J10" s="642" t="s">
        <v>1286</v>
      </c>
      <c r="K10" s="644" t="s">
        <v>943</v>
      </c>
      <c r="L10" s="640" t="s">
        <v>1286</v>
      </c>
      <c r="M10" s="641" t="s">
        <v>943</v>
      </c>
    </row>
    <row r="11" spans="1:13">
      <c r="A11" s="645" t="s">
        <v>517</v>
      </c>
      <c r="B11" s="646" t="s">
        <v>1287</v>
      </c>
      <c r="C11" s="647">
        <f>CONSOLIDADA!C12</f>
        <v>39757.387767579996</v>
      </c>
      <c r="D11" s="648">
        <f>C11</f>
        <v>39757.387767579996</v>
      </c>
      <c r="E11" s="649">
        <f>D11/C11</f>
        <v>1</v>
      </c>
      <c r="F11" s="650"/>
      <c r="G11" s="651">
        <f>F11/C11</f>
        <v>0</v>
      </c>
      <c r="H11" s="652"/>
      <c r="I11" s="649">
        <f>H11/C11</f>
        <v>0</v>
      </c>
      <c r="J11" s="653"/>
      <c r="K11" s="654">
        <f t="shared" ref="K11:K22" si="0">J11/C11</f>
        <v>0</v>
      </c>
      <c r="L11" s="652"/>
      <c r="M11" s="649">
        <f t="shared" ref="M11:M22" si="1">L11/C11</f>
        <v>0</v>
      </c>
    </row>
    <row r="12" spans="1:13">
      <c r="A12" s="655" t="s">
        <v>518</v>
      </c>
      <c r="B12" s="656" t="s">
        <v>21</v>
      </c>
      <c r="C12" s="647">
        <f>CONSOLIDADA!C13</f>
        <v>67537.426819046566</v>
      </c>
      <c r="D12" s="657"/>
      <c r="E12" s="649">
        <f t="shared" ref="E12:E21" si="2">D12/C12</f>
        <v>0</v>
      </c>
      <c r="F12" s="658"/>
      <c r="G12" s="651">
        <f t="shared" ref="G12:G21" si="3">F12/C12</f>
        <v>0</v>
      </c>
      <c r="H12" s="659">
        <f>C12*0.4</f>
        <v>27014.970727618627</v>
      </c>
      <c r="I12" s="660">
        <f>H12/C12</f>
        <v>0.4</v>
      </c>
      <c r="J12" s="661">
        <f>C12*0.4</f>
        <v>27014.970727618627</v>
      </c>
      <c r="K12" s="654">
        <f t="shared" si="0"/>
        <v>0.4</v>
      </c>
      <c r="L12" s="659">
        <f>C12*0.2</f>
        <v>13507.485363809314</v>
      </c>
      <c r="M12" s="649">
        <f t="shared" si="1"/>
        <v>0.2</v>
      </c>
    </row>
    <row r="13" spans="1:13">
      <c r="A13" s="655" t="s">
        <v>519</v>
      </c>
      <c r="B13" s="656" t="s">
        <v>1288</v>
      </c>
      <c r="C13" s="647">
        <f>CONSOLIDADA!C14</f>
        <v>50017.246429963379</v>
      </c>
      <c r="D13" s="648"/>
      <c r="E13" s="649">
        <f t="shared" si="2"/>
        <v>0</v>
      </c>
      <c r="F13" s="658">
        <f>C13*0.3</f>
        <v>15005.173928989014</v>
      </c>
      <c r="G13" s="651">
        <f t="shared" si="3"/>
        <v>0.3</v>
      </c>
      <c r="H13" s="652">
        <f>C13*0.3</f>
        <v>15005.173928989014</v>
      </c>
      <c r="I13" s="649">
        <f t="shared" ref="I13:I21" si="4">H13/C13</f>
        <v>0.3</v>
      </c>
      <c r="J13" s="661">
        <f>C13*0.4</f>
        <v>20006.898571985352</v>
      </c>
      <c r="K13" s="654">
        <f t="shared" si="0"/>
        <v>0.4</v>
      </c>
      <c r="L13" s="659"/>
      <c r="M13" s="649">
        <f t="shared" si="1"/>
        <v>0</v>
      </c>
    </row>
    <row r="14" spans="1:13">
      <c r="A14" s="655" t="s">
        <v>520</v>
      </c>
      <c r="B14" s="656" t="s">
        <v>420</v>
      </c>
      <c r="C14" s="647">
        <f>CONSOLIDADA!C15</f>
        <v>51691.811277545596</v>
      </c>
      <c r="D14" s="657">
        <f>C14*0.2</f>
        <v>10338.362255509121</v>
      </c>
      <c r="E14" s="649">
        <f t="shared" si="2"/>
        <v>0.20000000000000004</v>
      </c>
      <c r="F14" s="658">
        <f>C14*0.3</f>
        <v>15507.543383263677</v>
      </c>
      <c r="G14" s="651">
        <f t="shared" si="3"/>
        <v>0.3</v>
      </c>
      <c r="H14" s="659">
        <f>C14*0.3</f>
        <v>15507.543383263677</v>
      </c>
      <c r="I14" s="660">
        <f t="shared" si="4"/>
        <v>0.3</v>
      </c>
      <c r="J14" s="661">
        <f>C14*0.2</f>
        <v>10338.362255509121</v>
      </c>
      <c r="K14" s="654">
        <f t="shared" si="0"/>
        <v>0.20000000000000004</v>
      </c>
      <c r="L14" s="659"/>
      <c r="M14" s="649">
        <f t="shared" si="1"/>
        <v>0</v>
      </c>
    </row>
    <row r="15" spans="1:13">
      <c r="A15" s="655" t="s">
        <v>305</v>
      </c>
      <c r="B15" s="662" t="s">
        <v>25</v>
      </c>
      <c r="C15" s="647">
        <f>CONSOLIDADA!C16</f>
        <v>171.46098368</v>
      </c>
      <c r="D15" s="648"/>
      <c r="E15" s="649">
        <f t="shared" si="2"/>
        <v>0</v>
      </c>
      <c r="F15" s="650">
        <f>C15</f>
        <v>171.46098368</v>
      </c>
      <c r="G15" s="651">
        <f t="shared" si="3"/>
        <v>1</v>
      </c>
      <c r="H15" s="652"/>
      <c r="I15" s="649">
        <f t="shared" si="4"/>
        <v>0</v>
      </c>
      <c r="J15" s="661"/>
      <c r="K15" s="654">
        <f t="shared" si="0"/>
        <v>0</v>
      </c>
      <c r="L15" s="659"/>
      <c r="M15" s="649">
        <f t="shared" si="1"/>
        <v>0</v>
      </c>
    </row>
    <row r="16" spans="1:13">
      <c r="A16" s="655" t="s">
        <v>521</v>
      </c>
      <c r="B16" s="656" t="s">
        <v>26</v>
      </c>
      <c r="C16" s="647">
        <f>CONSOLIDADA!C17</f>
        <v>214716.87445278847</v>
      </c>
      <c r="D16" s="657"/>
      <c r="E16" s="649">
        <f t="shared" si="2"/>
        <v>0</v>
      </c>
      <c r="F16" s="658">
        <f>C16*0.3</f>
        <v>64415.062335836541</v>
      </c>
      <c r="G16" s="651">
        <f t="shared" si="3"/>
        <v>0.3</v>
      </c>
      <c r="H16" s="659">
        <f>C16*0.3</f>
        <v>64415.062335836541</v>
      </c>
      <c r="I16" s="660">
        <f t="shared" si="4"/>
        <v>0.3</v>
      </c>
      <c r="J16" s="661">
        <f>C16*0.4</f>
        <v>85886.749781115388</v>
      </c>
      <c r="K16" s="654">
        <f t="shared" si="0"/>
        <v>0.4</v>
      </c>
      <c r="L16" s="659"/>
      <c r="M16" s="649">
        <f t="shared" si="1"/>
        <v>0</v>
      </c>
    </row>
    <row r="17" spans="1:13">
      <c r="A17" s="655" t="s">
        <v>522</v>
      </c>
      <c r="B17" s="656" t="s">
        <v>40</v>
      </c>
      <c r="C17" s="647">
        <f>CONSOLIDADA!C18</f>
        <v>114165.56645033065</v>
      </c>
      <c r="D17" s="648"/>
      <c r="E17" s="649">
        <f t="shared" si="2"/>
        <v>0</v>
      </c>
      <c r="F17" s="650"/>
      <c r="G17" s="651">
        <f t="shared" si="3"/>
        <v>0</v>
      </c>
      <c r="H17" s="652">
        <f>C17*0.3</f>
        <v>34249.669935099191</v>
      </c>
      <c r="I17" s="649">
        <f t="shared" si="4"/>
        <v>0.3</v>
      </c>
      <c r="J17" s="661">
        <f>C17*0.3</f>
        <v>34249.669935099191</v>
      </c>
      <c r="K17" s="654">
        <f t="shared" si="0"/>
        <v>0.3</v>
      </c>
      <c r="L17" s="652">
        <f>C17*0.4</f>
        <v>45666.226580132265</v>
      </c>
      <c r="M17" s="649">
        <f t="shared" si="1"/>
        <v>0.40000000000000008</v>
      </c>
    </row>
    <row r="18" spans="1:13">
      <c r="A18" s="655" t="s">
        <v>523</v>
      </c>
      <c r="B18" s="656" t="s">
        <v>45</v>
      </c>
      <c r="C18" s="647">
        <f>CONSOLIDADA!C19</f>
        <v>72496.906104000009</v>
      </c>
      <c r="D18" s="657"/>
      <c r="E18" s="649">
        <f t="shared" si="2"/>
        <v>0</v>
      </c>
      <c r="F18" s="658"/>
      <c r="G18" s="651">
        <f t="shared" si="3"/>
        <v>0</v>
      </c>
      <c r="H18" s="652">
        <f>C18*0.5</f>
        <v>36248.453052000004</v>
      </c>
      <c r="I18" s="660">
        <f t="shared" si="4"/>
        <v>0.5</v>
      </c>
      <c r="J18" s="661">
        <f>C18*0.4</f>
        <v>28998.762441600004</v>
      </c>
      <c r="K18" s="654">
        <f t="shared" si="0"/>
        <v>0.4</v>
      </c>
      <c r="L18" s="652">
        <f>C18*0.1</f>
        <v>7249.6906104000009</v>
      </c>
      <c r="M18" s="649">
        <f t="shared" si="1"/>
        <v>0.1</v>
      </c>
    </row>
    <row r="19" spans="1:13">
      <c r="A19" s="655" t="s">
        <v>524</v>
      </c>
      <c r="B19" s="656" t="s">
        <v>527</v>
      </c>
      <c r="C19" s="647">
        <f>CONSOLIDADA!C20</f>
        <v>94810.94275133012</v>
      </c>
      <c r="D19" s="648"/>
      <c r="E19" s="649">
        <f t="shared" si="2"/>
        <v>0</v>
      </c>
      <c r="F19" s="650"/>
      <c r="G19" s="651">
        <f t="shared" si="3"/>
        <v>0</v>
      </c>
      <c r="H19" s="652">
        <f>C19*0.4</f>
        <v>37924.377100532052</v>
      </c>
      <c r="I19" s="649">
        <f t="shared" si="4"/>
        <v>0.4</v>
      </c>
      <c r="J19" s="661">
        <f>C19*0.4</f>
        <v>37924.377100532052</v>
      </c>
      <c r="K19" s="654">
        <f t="shared" si="0"/>
        <v>0.4</v>
      </c>
      <c r="L19" s="652">
        <f>C19*0.2</f>
        <v>18962.188550266026</v>
      </c>
      <c r="M19" s="649">
        <f t="shared" si="1"/>
        <v>0.2</v>
      </c>
    </row>
    <row r="20" spans="1:13">
      <c r="A20" s="655" t="s">
        <v>525</v>
      </c>
      <c r="B20" s="662" t="s">
        <v>89</v>
      </c>
      <c r="C20" s="647">
        <f>CONSOLIDADA!C21</f>
        <v>15621.580806854399</v>
      </c>
      <c r="D20" s="657"/>
      <c r="E20" s="649">
        <f t="shared" si="2"/>
        <v>0</v>
      </c>
      <c r="F20" s="658"/>
      <c r="G20" s="651">
        <f t="shared" si="3"/>
        <v>0</v>
      </c>
      <c r="H20" s="659"/>
      <c r="I20" s="660">
        <f t="shared" si="4"/>
        <v>0</v>
      </c>
      <c r="J20" s="661"/>
      <c r="K20" s="663">
        <f t="shared" si="0"/>
        <v>0</v>
      </c>
      <c r="L20" s="652">
        <f>C20</f>
        <v>15621.580806854399</v>
      </c>
      <c r="M20" s="649">
        <f t="shared" si="1"/>
        <v>1</v>
      </c>
    </row>
    <row r="21" spans="1:13" ht="13.5" thickBot="1">
      <c r="A21" s="664" t="s">
        <v>526</v>
      </c>
      <c r="B21" s="665" t="s">
        <v>90</v>
      </c>
      <c r="C21" s="647">
        <f>CONSOLIDADA!C22</f>
        <v>2390.9301561599996</v>
      </c>
      <c r="D21" s="648"/>
      <c r="E21" s="649">
        <f t="shared" si="2"/>
        <v>0</v>
      </c>
      <c r="F21" s="650"/>
      <c r="G21" s="651">
        <f t="shared" si="3"/>
        <v>0</v>
      </c>
      <c r="H21" s="652"/>
      <c r="I21" s="649">
        <f t="shared" si="4"/>
        <v>0</v>
      </c>
      <c r="J21" s="661"/>
      <c r="K21" s="663">
        <f t="shared" si="0"/>
        <v>0</v>
      </c>
      <c r="L21" s="652">
        <f>C21</f>
        <v>2390.9301561599996</v>
      </c>
      <c r="M21" s="649">
        <f t="shared" si="1"/>
        <v>1</v>
      </c>
    </row>
    <row r="22" spans="1:13">
      <c r="A22" s="666"/>
      <c r="B22" s="667" t="s">
        <v>1289</v>
      </c>
      <c r="C22" s="668">
        <f>SUM(C11:C21)</f>
        <v>723378.13399927923</v>
      </c>
      <c r="D22" s="669">
        <f>SUM(D11:D21)</f>
        <v>50095.750023089116</v>
      </c>
      <c r="E22" s="670">
        <f>D22/C22</f>
        <v>6.925250801559206E-2</v>
      </c>
      <c r="F22" s="671">
        <f>SUM(F11:F21)</f>
        <v>95099.240631769237</v>
      </c>
      <c r="G22" s="672">
        <f>F22/C22</f>
        <v>0.13146546206200918</v>
      </c>
      <c r="H22" s="673">
        <f>SUM(H11:H21)</f>
        <v>230365.25046333912</v>
      </c>
      <c r="I22" s="670">
        <f>H22/C22</f>
        <v>0.31845758067048324</v>
      </c>
      <c r="J22" s="674">
        <f>SUM(J11:J21)</f>
        <v>244419.79081345975</v>
      </c>
      <c r="K22" s="675">
        <f t="shared" si="0"/>
        <v>0.33788661742117754</v>
      </c>
      <c r="L22" s="676">
        <f>SUM(L11:L21)</f>
        <v>103398.10206762201</v>
      </c>
      <c r="M22" s="670">
        <f t="shared" si="1"/>
        <v>0.14293783183073797</v>
      </c>
    </row>
    <row r="23" spans="1:13" ht="13.5" thickBot="1">
      <c r="A23" s="677"/>
      <c r="B23" s="678" t="s">
        <v>1290</v>
      </c>
      <c r="C23" s="679"/>
      <c r="D23" s="680">
        <f>D22</f>
        <v>50095.750023089116</v>
      </c>
      <c r="E23" s="681">
        <f>E22</f>
        <v>6.925250801559206E-2</v>
      </c>
      <c r="F23" s="682">
        <f t="shared" ref="F23:G23" si="5">D23+F22</f>
        <v>145194.99065485835</v>
      </c>
      <c r="G23" s="683">
        <f t="shared" si="5"/>
        <v>0.20071797007760123</v>
      </c>
      <c r="H23" s="684">
        <f>H22+F23</f>
        <v>375560.24111819745</v>
      </c>
      <c r="I23" s="681">
        <f>I22+G23</f>
        <v>0.51917555074808441</v>
      </c>
      <c r="J23" s="682">
        <f t="shared" ref="J23:L23" si="6">H23+J22</f>
        <v>619980.03193165723</v>
      </c>
      <c r="K23" s="685">
        <f t="shared" si="6"/>
        <v>0.85706216816926195</v>
      </c>
      <c r="L23" s="680">
        <f t="shared" si="6"/>
        <v>723378.13399927923</v>
      </c>
      <c r="M23" s="681">
        <f>K23+M22</f>
        <v>0.99999999999999989</v>
      </c>
    </row>
    <row r="24" spans="1:13">
      <c r="A24" s="686"/>
      <c r="B24" s="686"/>
      <c r="C24" s="686"/>
      <c r="D24" s="686"/>
      <c r="E24" s="686"/>
      <c r="F24" s="686"/>
      <c r="G24" s="686"/>
      <c r="H24" s="686"/>
      <c r="I24" s="686"/>
      <c r="J24" s="919" t="s">
        <v>97</v>
      </c>
      <c r="K24" s="920"/>
      <c r="L24" s="923">
        <f>D22+F22+H22+J22+L22</f>
        <v>723378.13399927923</v>
      </c>
      <c r="M24" s="925">
        <f>E22+G22+I22+K22+M22</f>
        <v>0.99999999999999989</v>
      </c>
    </row>
    <row r="25" spans="1:13" ht="13.5" thickBot="1">
      <c r="A25" s="686"/>
      <c r="B25" s="686"/>
      <c r="C25" s="686"/>
      <c r="D25" s="686"/>
      <c r="E25" s="686"/>
      <c r="F25" s="686"/>
      <c r="G25" s="686"/>
      <c r="H25" s="686"/>
      <c r="I25" s="686"/>
      <c r="J25" s="921"/>
      <c r="K25" s="922"/>
      <c r="L25" s="924"/>
      <c r="M25" s="926"/>
    </row>
  </sheetData>
  <mergeCells count="24">
    <mergeCell ref="F9:G9"/>
    <mergeCell ref="A1:G4"/>
    <mergeCell ref="H1:I1"/>
    <mergeCell ref="J1:K1"/>
    <mergeCell ref="L1:M1"/>
    <mergeCell ref="H2:I2"/>
    <mergeCell ref="J2:K2"/>
    <mergeCell ref="L2:M2"/>
    <mergeCell ref="H9:I9"/>
    <mergeCell ref="J24:K25"/>
    <mergeCell ref="L24:L25"/>
    <mergeCell ref="M24:M25"/>
    <mergeCell ref="A5:I5"/>
    <mergeCell ref="A6:I6"/>
    <mergeCell ref="A7:I7"/>
    <mergeCell ref="A8:A9"/>
    <mergeCell ref="B8:B9"/>
    <mergeCell ref="C8:C9"/>
    <mergeCell ref="D8:E8"/>
    <mergeCell ref="F8:G8"/>
    <mergeCell ref="H8:I8"/>
    <mergeCell ref="J8:K8"/>
    <mergeCell ref="L8:M8"/>
    <mergeCell ref="D9:E9"/>
  </mergeCells>
  <pageMargins left="0.511811024" right="0.511811024" top="0.78740157499999996" bottom="0.78740157499999996" header="0.31496062000000002" footer="0.31496062000000002"/>
  <pageSetup paperSize="9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3</vt:i4>
      </vt:variant>
    </vt:vector>
  </HeadingPairs>
  <TitlesOfParts>
    <vt:vector size="12" baseType="lpstr">
      <vt:lpstr>CONSOLIDADA</vt:lpstr>
      <vt:lpstr>CABO MICHEL</vt:lpstr>
      <vt:lpstr>COMPOSIÇÃO</vt:lpstr>
      <vt:lpstr>MED_1</vt:lpstr>
      <vt:lpstr>MEMORIAL DE CALCULO</vt:lpstr>
      <vt:lpstr>CALCULO_ESTRUTURA</vt:lpstr>
      <vt:lpstr>ALVENARIA</vt:lpstr>
      <vt:lpstr>BDI</vt:lpstr>
      <vt:lpstr>CRONOGRAMA</vt:lpstr>
      <vt:lpstr>'CABO MICHEL'!Area_de_impressao</vt:lpstr>
      <vt:lpstr>COMPOSIÇÃO!Area_de_impressao</vt:lpstr>
      <vt:lpstr>'MEMORIAL DE CALCULO'!Area_de_impressao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GRÁFICA CREPALDI</dc:creator>
  <cp:lastModifiedBy>jucimarecm</cp:lastModifiedBy>
  <cp:lastPrinted>2018-02-06T12:04:48Z</cp:lastPrinted>
  <dcterms:created xsi:type="dcterms:W3CDTF">2014-02-13T00:48:21Z</dcterms:created>
  <dcterms:modified xsi:type="dcterms:W3CDTF">2018-02-06T12:04:58Z</dcterms:modified>
</cp:coreProperties>
</file>