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 activeTab="2"/>
  </bookViews>
  <sheets>
    <sheet name="1" sheetId="1" r:id="rId1"/>
    <sheet name="2" sheetId="2" r:id="rId2"/>
    <sheet name="3 E 4" sheetId="4" r:id="rId3"/>
    <sheet name="5" sheetId="8" r:id="rId4"/>
    <sheet name="6" sheetId="9" r:id="rId5"/>
    <sheet name="7" sheetId="6" r:id="rId6"/>
    <sheet name="8" sheetId="10" r:id="rId7"/>
    <sheet name="9" sheetId="11" r:id="rId8"/>
    <sheet name="10" sheetId="7" r:id="rId9"/>
  </sheets>
  <definedNames>
    <definedName name="_xlnm.Print_Area" localSheetId="1">'2'!$A$1:$J$37</definedName>
    <definedName name="_xlnm.Print_Area" localSheetId="3">'5'!$A$1:$F$22</definedName>
    <definedName name="_xlnm.Print_Area" localSheetId="4">'6'!$A$1:$D$25</definedName>
    <definedName name="_xlnm.Print_Area" localSheetId="6">'8'!$A$1:$E$33</definedName>
    <definedName name="_xlnm.Print_Area" localSheetId="7">'9'!$A$1:$E$20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/>
  <c r="D15"/>
  <c r="C4" i="2"/>
  <c r="C7"/>
  <c r="C8"/>
  <c r="C14"/>
  <c r="C21"/>
  <c r="C22"/>
  <c r="C31"/>
  <c r="C34"/>
  <c r="D4"/>
  <c r="D8"/>
  <c r="D21"/>
  <c r="D22"/>
  <c r="D31"/>
  <c r="D34"/>
  <c r="C35"/>
  <c r="F4"/>
  <c r="F8"/>
  <c r="F14"/>
  <c r="F21"/>
  <c r="F22"/>
  <c r="F31"/>
  <c r="F34"/>
  <c r="G4"/>
  <c r="G8"/>
  <c r="G14"/>
  <c r="G21"/>
  <c r="G22"/>
  <c r="G31"/>
  <c r="G34"/>
  <c r="H4"/>
  <c r="H8"/>
  <c r="H14"/>
  <c r="H21"/>
  <c r="H22"/>
  <c r="H31"/>
  <c r="H34"/>
  <c r="I4"/>
  <c r="I8"/>
  <c r="I14"/>
  <c r="I21"/>
  <c r="I22"/>
  <c r="I31"/>
  <c r="I34"/>
  <c r="J4"/>
  <c r="J8"/>
  <c r="J14"/>
  <c r="J21"/>
  <c r="J22"/>
  <c r="J31"/>
  <c r="J34"/>
  <c r="F35"/>
  <c r="J37"/>
  <c r="B5" i="7"/>
  <c r="B6" i="4"/>
  <c r="D6"/>
  <c r="B7"/>
  <c r="D7"/>
  <c r="D8"/>
  <c r="F6"/>
  <c r="H6"/>
  <c r="F7"/>
  <c r="H7"/>
  <c r="H8"/>
  <c r="H9"/>
  <c r="B6" i="7"/>
  <c r="H14" i="4"/>
  <c r="H15"/>
  <c r="H17"/>
  <c r="H18"/>
  <c r="H19"/>
  <c r="H20"/>
  <c r="H21"/>
  <c r="H22"/>
  <c r="H23"/>
  <c r="H24"/>
  <c r="H25"/>
  <c r="H26"/>
  <c r="H27"/>
  <c r="H28"/>
  <c r="H29"/>
  <c r="H30"/>
  <c r="D20"/>
  <c r="D21"/>
  <c r="D22"/>
  <c r="D23"/>
  <c r="D25"/>
  <c r="D26"/>
  <c r="D27"/>
  <c r="D28"/>
  <c r="D29"/>
  <c r="D30"/>
  <c r="H31"/>
  <c r="B7" i="7"/>
  <c r="D4" i="8"/>
  <c r="F4"/>
  <c r="D5"/>
  <c r="F5"/>
  <c r="D6"/>
  <c r="F6"/>
  <c r="D7"/>
  <c r="F7"/>
  <c r="D8"/>
  <c r="F8"/>
  <c r="D9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F22"/>
  <c r="B9" i="7"/>
  <c r="C3" i="9"/>
  <c r="D3"/>
  <c r="C4"/>
  <c r="D4"/>
  <c r="C5"/>
  <c r="D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D25"/>
  <c r="B10" i="7"/>
  <c r="E5" i="6"/>
  <c r="E6"/>
  <c r="E7"/>
  <c r="E8"/>
  <c r="E9"/>
  <c r="E10"/>
  <c r="E11"/>
  <c r="E12"/>
  <c r="E13"/>
  <c r="J5"/>
  <c r="J6"/>
  <c r="J7"/>
  <c r="J8"/>
  <c r="J9"/>
  <c r="J10"/>
  <c r="J11"/>
  <c r="J13"/>
  <c r="B14"/>
  <c r="B11" i="7"/>
  <c r="E3" i="10"/>
  <c r="E4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E26"/>
  <c r="E27"/>
  <c r="D28"/>
  <c r="E28"/>
  <c r="D29"/>
  <c r="E29"/>
  <c r="E30"/>
  <c r="E31"/>
  <c r="E32"/>
  <c r="E33"/>
  <c r="B12" i="7"/>
  <c r="E3" i="11"/>
  <c r="E4"/>
  <c r="E5"/>
  <c r="E6"/>
  <c r="E7"/>
  <c r="E8"/>
  <c r="E9"/>
  <c r="E10"/>
  <c r="B13" i="7"/>
  <c r="E15" i="11"/>
  <c r="D16"/>
  <c r="E16"/>
  <c r="D17"/>
  <c r="E17"/>
  <c r="D18"/>
  <c r="E18"/>
  <c r="E19"/>
  <c r="B14" i="7"/>
  <c r="B15"/>
  <c r="B16"/>
  <c r="B18"/>
  <c r="B21"/>
</calcChain>
</file>

<file path=xl/sharedStrings.xml><?xml version="1.0" encoding="utf-8"?>
<sst xmlns="http://schemas.openxmlformats.org/spreadsheetml/2006/main" count="414" uniqueCount="280">
  <si>
    <t>LOTE 01 - ESTIMATIVA DE CUSTO</t>
  </si>
  <si>
    <t>S/N</t>
  </si>
  <si>
    <t>FUNÇÃO</t>
  </si>
  <si>
    <t>SERVIÇOS, FUNCÕES e HORÁRIOS</t>
  </si>
  <si>
    <t>ID</t>
  </si>
  <si>
    <t>SERVIÇOS</t>
  </si>
  <si>
    <t>Limpeza e Conservação</t>
  </si>
  <si>
    <t>CÓDIGO TCE</t>
  </si>
  <si>
    <t>216107-9</t>
  </si>
  <si>
    <t>420933-8</t>
  </si>
  <si>
    <t>216104-4</t>
  </si>
  <si>
    <t>288523-9</t>
  </si>
  <si>
    <t>216109-5</t>
  </si>
  <si>
    <t>216106-0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</si>
  <si>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</si>
  <si>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</si>
  <si>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</si>
  <si>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</si>
  <si>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</si>
  <si>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</si>
  <si>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</si>
  <si>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</si>
  <si>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</si>
  <si>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</si>
  <si>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12X36</t>
  </si>
  <si>
    <t>auxiliar de serviços gerais</t>
  </si>
  <si>
    <t>auxiliar de serviços gerais 40%</t>
  </si>
  <si>
    <t>auxiliar de serviços gerais 20%</t>
  </si>
  <si>
    <t>auxiliar de serviços gerais 10%</t>
  </si>
  <si>
    <t>SEXO</t>
  </si>
  <si>
    <t>M</t>
  </si>
  <si>
    <t>x</t>
  </si>
  <si>
    <t>F</t>
  </si>
  <si>
    <t>HORÁRIOS</t>
  </si>
  <si>
    <t>08 hs às 12 hs e das 14 às 18 de segunda a sexta com 04 horas no sábado.</t>
  </si>
  <si>
    <t>07 hs às 19 hs com 01 hora de intervalo na escala 12x36, folga conforme escala</t>
  </si>
  <si>
    <t>19 hs às 07 hs com 01 hora de intervalo na escala 12x36, folga conforme escala</t>
  </si>
  <si>
    <t>07 hs às 19 hs com 01 hora de intervalo na escala 12x36, folga conforme escala diurno</t>
  </si>
  <si>
    <t>CH</t>
  </si>
  <si>
    <t>QTD</t>
  </si>
  <si>
    <r>
      <t xml:space="preserve">FUNÇÃO: </t>
    </r>
    <r>
      <rPr>
        <sz val="12"/>
        <color theme="1"/>
        <rFont val="Arial"/>
        <family val="2"/>
      </rPr>
      <t>Coordenadora</t>
    </r>
  </si>
  <si>
    <r>
      <rPr>
        <b/>
        <sz val="12"/>
        <rFont val="Arial"/>
        <family val="2"/>
      </rPr>
      <t>UF:</t>
    </r>
    <r>
      <rPr>
        <sz val="12"/>
        <rFont val="Arial"/>
        <family val="2"/>
      </rPr>
      <t xml:space="preserve"> MT</t>
    </r>
  </si>
  <si>
    <r>
      <rPr>
        <b/>
        <sz val="12"/>
        <rFont val="Arial"/>
        <family val="2"/>
      </rPr>
      <t xml:space="preserve">CIDADE: </t>
    </r>
    <r>
      <rPr>
        <sz val="12"/>
        <rFont val="Arial"/>
        <family val="2"/>
      </rPr>
      <t>Várzea Grande</t>
    </r>
  </si>
  <si>
    <t>CNPJ:</t>
  </si>
  <si>
    <t>FORMAÇÃO SALARIAL</t>
  </si>
  <si>
    <t>TOTAL</t>
  </si>
  <si>
    <t>ENCARGOS SOCIAIS</t>
  </si>
  <si>
    <t>PCMSO</t>
  </si>
  <si>
    <t>R$</t>
  </si>
  <si>
    <t>Lider de equipe</t>
  </si>
  <si>
    <t>07 hs às 12 hs e das 19 às 22 de segunda a sexta com 04 horas no sábado.</t>
  </si>
  <si>
    <t>SALÁRIO</t>
  </si>
  <si>
    <t>PISO INDV</t>
  </si>
  <si>
    <t>GRATIFICAÇÕES</t>
  </si>
  <si>
    <t>HORAS EXTRAS 50%</t>
  </si>
  <si>
    <t>HORAS EXTRAS 75%</t>
  </si>
  <si>
    <t>HOTRAS EXTRAS 100%</t>
  </si>
  <si>
    <t>HORAS EXTRAS INTRAJORNADAS</t>
  </si>
  <si>
    <t>ADICIONAL DE INSALUBRIDADE</t>
  </si>
  <si>
    <t>QT H/D</t>
  </si>
  <si>
    <t>QT D</t>
  </si>
  <si>
    <t>FERIADO TRABALHADO</t>
  </si>
  <si>
    <t>RESERVA TÉCNICA</t>
  </si>
  <si>
    <t>VALE TRANSP</t>
  </si>
  <si>
    <t>EXAMES MÉDICOS</t>
  </si>
  <si>
    <t>CONTRIBUIÇÕES PATRONAIS</t>
  </si>
  <si>
    <t>DIV I</t>
  </si>
  <si>
    <t>DIV II</t>
  </si>
  <si>
    <t>TIQUETES REFEIÇÕES</t>
  </si>
  <si>
    <t>UNIFORMES</t>
  </si>
  <si>
    <t>CONJUNTO SERVIÇOS GERAIS</t>
  </si>
  <si>
    <t>CONJUNTO LIDER</t>
  </si>
  <si>
    <t>CONJUNTO HOSPITALAR</t>
  </si>
  <si>
    <t>ITENS</t>
  </si>
  <si>
    <t>VLR</t>
  </si>
  <si>
    <t>VALOR TOTAL</t>
  </si>
  <si>
    <t>Blusa Estilo Blazer Oxford Bordado c/2 cores</t>
  </si>
  <si>
    <t>Jaleco Brin 100% leve c/3 bolsos serigrafado</t>
  </si>
  <si>
    <t>Calça Oxford Corte Social</t>
  </si>
  <si>
    <t>Calça brim pesado 100% c/2 bolsos</t>
  </si>
  <si>
    <t>UNIFORMIZAÇÃO e EQUIPAMENTOS DE PROTEÇÃO: Individual e Coletiva</t>
  </si>
  <si>
    <t>EPI's</t>
  </si>
  <si>
    <t>Avental em PVC</t>
  </si>
  <si>
    <t>Bota de Borracha (Cano longo) Branco</t>
  </si>
  <si>
    <t>Bota de Borracha (Cano longo) Preto</t>
  </si>
  <si>
    <t>Botina de Segurança com Biqueira em PVC</t>
  </si>
  <si>
    <t>Botina de segurança com Biqueira em aço</t>
  </si>
  <si>
    <t>Capa de Chuva (Jaqueta e Calça)</t>
  </si>
  <si>
    <t>Capacete (M.S.A) com Carneira e Jugular</t>
  </si>
  <si>
    <t>Cinto de Segurança (Tipo Paraquedista com Talabarte Duplo)</t>
  </si>
  <si>
    <t>Colete Refletivo</t>
  </si>
  <si>
    <t xml:space="preserve">Luva Anti-Corte </t>
  </si>
  <si>
    <t>Luva de Procedimento Vinil (CX. com 100 Unidades)</t>
  </si>
  <si>
    <t>Luva de Raspa</t>
  </si>
  <si>
    <t>Luva de Vaqueta</t>
  </si>
  <si>
    <t>Luva Nitrílica - Cano Longo</t>
  </si>
  <si>
    <t>Luva Nitrilica PMVA - Coletor de Residuos</t>
  </si>
  <si>
    <t>Luva Pigmentada</t>
  </si>
  <si>
    <t>TOTAL GERAL</t>
  </si>
  <si>
    <t>Luva Veniz (Látex)</t>
  </si>
  <si>
    <t>Macacão para Aplicação de Defensivo (Tyvek)</t>
  </si>
  <si>
    <t>Máscara Descartável (PFF2 com Valvula de Alívio)</t>
  </si>
  <si>
    <t>Mascara Descartavel (PFF2 sem Valvula de Alívio)</t>
  </si>
  <si>
    <t>Mascara Descartavel (PFF1 com Valvula de Alívio)</t>
  </si>
  <si>
    <t>Óculos de Proteção (Incolor ou Escuro)</t>
  </si>
  <si>
    <t>Perneira de PVC</t>
  </si>
  <si>
    <t>Protetor Auricular Concha</t>
  </si>
  <si>
    <t>Protetor Auricular Inserção (Plug)</t>
  </si>
  <si>
    <t>Protetor Facial (Transparente)</t>
  </si>
  <si>
    <t>Protetor Solar FFP 30</t>
  </si>
  <si>
    <t>Protetor Solar FFP 60</t>
  </si>
  <si>
    <t>Sapato Recepcionista</t>
  </si>
  <si>
    <t>Sapato Stic Shoe apenas para o Feminino</t>
  </si>
  <si>
    <t>CINTA ERGONÔMICA</t>
  </si>
  <si>
    <t>Avental impermeável</t>
  </si>
  <si>
    <t>VALOR</t>
  </si>
  <si>
    <t>MATERIAIS</t>
  </si>
  <si>
    <t>PISOS e SUPERFÍCIES</t>
  </si>
  <si>
    <t>LIMPEZA DE PISOS</t>
  </si>
  <si>
    <t xml:space="preserve">FUNÇÃO - MARCA/NOME </t>
  </si>
  <si>
    <t xml:space="preserve">Discos 350 mm </t>
  </si>
  <si>
    <t xml:space="preserve">Discos 410 mm </t>
  </si>
  <si>
    <t>Fibras para LT</t>
  </si>
  <si>
    <t>Removedor sem cheiro</t>
  </si>
  <si>
    <t>REPOSIÇÃO</t>
  </si>
  <si>
    <t>APRESENTAÇÃO</t>
  </si>
  <si>
    <t>Unidade</t>
  </si>
  <si>
    <t>Alcoól spray antibacteriano p/ mãos</t>
  </si>
  <si>
    <t>Papel Toalha 100% celulose interfolhado</t>
  </si>
  <si>
    <t>Pcte c/ 2000 folhas</t>
  </si>
  <si>
    <t>Papel Higiênico rolão</t>
  </si>
  <si>
    <t>Cx. Com 8</t>
  </si>
  <si>
    <t>Sabonete Líquido</t>
  </si>
  <si>
    <t>Galão 5 Lts</t>
  </si>
  <si>
    <t>500 ml</t>
  </si>
  <si>
    <t>Sacos de Lixo 100 Lts branco</t>
  </si>
  <si>
    <t>Sacos de Lixo 50 Lts branco</t>
  </si>
  <si>
    <t>Sacos de Lixo 40 Lts branco</t>
  </si>
  <si>
    <t>Sacos de Lixo 200 Lts preto</t>
  </si>
  <si>
    <t>Sacos de Lixo 100 Lts preto</t>
  </si>
  <si>
    <t>Sacos de Lixo 60 Lts preto</t>
  </si>
  <si>
    <t>Sacos de Lixo 40 Lts preto</t>
  </si>
  <si>
    <t>Sachê 500 ml</t>
  </si>
  <si>
    <t>PLANILHA DE CUSTOS</t>
  </si>
  <si>
    <t>FORMADORES</t>
  </si>
  <si>
    <t>I) REMUNERAÇÃO</t>
  </si>
  <si>
    <t>Uniformes</t>
  </si>
  <si>
    <t>Equipamentos</t>
  </si>
  <si>
    <t>Utensílios</t>
  </si>
  <si>
    <t>Materiais</t>
  </si>
  <si>
    <t>BDI MÁXIMO 10%</t>
  </si>
  <si>
    <t>EQUIPAMENTOS, MAQUINAS E VEÍCULOS (Custos de propriedade + Custos de Operação)</t>
  </si>
  <si>
    <t>INVEST</t>
  </si>
  <si>
    <t>CP + CO</t>
  </si>
  <si>
    <t>Mensal</t>
  </si>
  <si>
    <t>Aplicador de cera UNGER (Haste)com balde</t>
  </si>
  <si>
    <t>Mop Pó (60) ( completo , cabo , cabeleira e haste)</t>
  </si>
  <si>
    <t>Carrinho para coleta de resíduos: Tipo Prefeitura</t>
  </si>
  <si>
    <t>Placas sinalizadoras</t>
  </si>
  <si>
    <t>Porta papel higiênico. Rolão</t>
  </si>
  <si>
    <t>Porta papel toalha</t>
  </si>
  <si>
    <t>Rodo de alumínio 50 cm</t>
  </si>
  <si>
    <t>Saboneteira simples C/reservatorio</t>
  </si>
  <si>
    <t>Enceradeira industrial 410 mm Cleanner</t>
  </si>
  <si>
    <t>Relógio de Ponto - IDNOX LT BIO PROX</t>
  </si>
  <si>
    <t>Extensão. Padrão: 30 metros (completa com os plugs)</t>
  </si>
  <si>
    <t>Mop Água    ( completo , cabo , cabeleira e haste)</t>
  </si>
  <si>
    <t>Escada de alumínio (R$ por degrau) dupla                            (5 DEGRAUS)</t>
  </si>
  <si>
    <t>UTENSÍLIOS</t>
  </si>
  <si>
    <t>Pulverizador</t>
  </si>
  <si>
    <t>Rastelo</t>
  </si>
  <si>
    <t>Rodo de Madeira (90cm)</t>
  </si>
  <si>
    <t>Baldes 15 Lts</t>
  </si>
  <si>
    <t>Rodo de Madeira Duplo (40 cm)</t>
  </si>
  <si>
    <t>Baldes 6,5 Lts</t>
  </si>
  <si>
    <t>Rodo de Madeira Duplo (60 cm)</t>
  </si>
  <si>
    <t>Baldes Pedreiro 12 Lts</t>
  </si>
  <si>
    <t>Escova de mão (plastica)</t>
  </si>
  <si>
    <t>Vassoura de Nylon</t>
  </si>
  <si>
    <t>Escova para enceradeira industrial 350 mm</t>
  </si>
  <si>
    <t>Vassoura de Pelo (40 cm)</t>
  </si>
  <si>
    <t>Escova para enceradeira industrial 410 mm</t>
  </si>
  <si>
    <t>Vassoura de Pelo (60 cm)</t>
  </si>
  <si>
    <t>Escova para enceradeira industrial 510 mm</t>
  </si>
  <si>
    <t>Vassoura de Piaçava</t>
  </si>
  <si>
    <t>Escova sanitária</t>
  </si>
  <si>
    <t>Vassoura de Teto</t>
  </si>
  <si>
    <t>Espátula 10 cm</t>
  </si>
  <si>
    <t>Pá de lixo</t>
  </si>
  <si>
    <t>Pá de lixo com cabo</t>
  </si>
  <si>
    <t>Mangueira 1/2 Completa (preço do metro)    50 Metros</t>
  </si>
  <si>
    <t>LIMPEZA DIVERSOS</t>
  </si>
  <si>
    <t>FUNÇÃO - MARCA/NOME - FABRICANTE</t>
  </si>
  <si>
    <t>Litro</t>
  </si>
  <si>
    <t>2 Litros</t>
  </si>
  <si>
    <t>Kg</t>
  </si>
  <si>
    <t>Pacote</t>
  </si>
  <si>
    <t>500 ml = 5 Litros</t>
  </si>
  <si>
    <t>5 Litros</t>
  </si>
  <si>
    <t>200 ml</t>
  </si>
  <si>
    <t>Sacos de lixo 100 Lts div cores</t>
  </si>
  <si>
    <t>Sacos de lixo 60 Lts div. cores</t>
  </si>
  <si>
    <t>Sapóleo em Pó</t>
  </si>
  <si>
    <t>Vaselina</t>
  </si>
  <si>
    <t>HIGIENE PESSOAL</t>
  </si>
  <si>
    <t>DESODORIZAÇÃO DE AMBIENTES</t>
  </si>
  <si>
    <t>Bom ar 400 ml</t>
  </si>
  <si>
    <t>Naftalina</t>
  </si>
  <si>
    <t>SUBTOTAL</t>
  </si>
  <si>
    <t xml:space="preserve">TOTAL </t>
  </si>
  <si>
    <t>QTDE</t>
  </si>
  <si>
    <t>QTDE MENSAL</t>
  </si>
  <si>
    <r>
      <rPr>
        <b/>
        <sz val="12"/>
        <rFont val="Arial"/>
        <family val="2"/>
      </rPr>
      <t>CLIENTE:</t>
    </r>
    <r>
      <rPr>
        <sz val="12"/>
        <rFont val="Arial"/>
        <family val="2"/>
      </rPr>
      <t xml:space="preserve"> HOSPITAL E PRONTO SOCORRO DE VÁRZEA GRANDE</t>
    </r>
  </si>
  <si>
    <t>CONTATO: Elizete de Arruda Proença</t>
  </si>
  <si>
    <r>
      <rPr>
        <b/>
        <sz val="12"/>
        <rFont val="Arial"/>
        <family val="2"/>
      </rPr>
      <t xml:space="preserve">ENDEREÇO: </t>
    </r>
    <r>
      <rPr>
        <sz val="12"/>
        <rFont val="Arial"/>
        <family val="2"/>
      </rPr>
      <t>Rua Alzira Santana</t>
    </r>
  </si>
  <si>
    <r>
      <rPr>
        <b/>
        <sz val="12"/>
        <rFont val="Arial"/>
        <family val="2"/>
      </rPr>
      <t>CEP:</t>
    </r>
    <r>
      <rPr>
        <sz val="12"/>
        <rFont val="Arial"/>
        <family val="2"/>
      </rPr>
      <t xml:space="preserve"> 78.135-626</t>
    </r>
  </si>
  <si>
    <t>TELEFONE: (65) 99250-3803</t>
  </si>
  <si>
    <t>EMAIL: elizetearrudaps@gmail.com</t>
  </si>
  <si>
    <t>410257-6</t>
  </si>
  <si>
    <t>VVT - R$ 4,10</t>
  </si>
  <si>
    <t>QVT - 44 unid.</t>
  </si>
  <si>
    <t>QT - 22 unid.</t>
  </si>
  <si>
    <t>VL - R$ 14,00</t>
  </si>
  <si>
    <t>QVT - 32 unid.</t>
  </si>
  <si>
    <t>QT - 15 unid.</t>
  </si>
  <si>
    <t>VALOR MENSAL</t>
  </si>
  <si>
    <t>Peroxy 4D</t>
  </si>
  <si>
    <t>CDC-1- - Detergente Alcalino Clorado/Banheiro</t>
  </si>
  <si>
    <t>Cera gold Carflex sem Perfume</t>
  </si>
  <si>
    <t>Wax base seladora</t>
  </si>
  <si>
    <t>unidade</t>
  </si>
  <si>
    <t>Limpesa Diversos</t>
  </si>
  <si>
    <t>Higiene Pessoal</t>
  </si>
  <si>
    <t>Formação Salarias e Beneficios</t>
  </si>
  <si>
    <t>HOSPITALAR</t>
  </si>
  <si>
    <t>ASSIDUIDADE</t>
  </si>
  <si>
    <t>LIDER</t>
  </si>
  <si>
    <t>SEGURO DE VIDA</t>
  </si>
  <si>
    <t>PRÊMIO ASSIDUIDADE - CESTA BASICA</t>
  </si>
  <si>
    <t>ADICIONAL NOTURNO 20%</t>
  </si>
  <si>
    <t>,</t>
  </si>
  <si>
    <t xml:space="preserve">Alcool Gel </t>
  </si>
  <si>
    <t>Lã de aço</t>
  </si>
  <si>
    <t>Desinfetante</t>
  </si>
  <si>
    <t xml:space="preserve">Desinfetante </t>
  </si>
  <si>
    <t xml:space="preserve">Pano de chão </t>
  </si>
  <si>
    <t xml:space="preserve">Aromatizante Floral Star - </t>
  </si>
  <si>
    <t>Aromatizante Essency Baby -</t>
  </si>
  <si>
    <t xml:space="preserve">Aspirador semi-industrial 23 Litros </t>
  </si>
  <si>
    <t xml:space="preserve">Carrinho funcional  com Bolsa - </t>
  </si>
  <si>
    <t xml:space="preserve">Enceradeira industrial 350 mm </t>
  </si>
  <si>
    <t xml:space="preserve">Kit UNGER limpeza de vidros completo </t>
  </si>
  <si>
    <t xml:space="preserve">Máquina de alta pressão. Uso profissional </t>
  </si>
  <si>
    <t xml:space="preserve">Impostos </t>
  </si>
  <si>
    <t xml:space="preserve"> TRIBUTOS (ISS 5% ; PIS 0,65% ; COFINS 3%) = 8,65%</t>
  </si>
  <si>
    <t>Desodorização de Ambientes</t>
  </si>
  <si>
    <t>SOMA TOTAL</t>
  </si>
  <si>
    <t>II) INSUMOS DIVERSOS</t>
  </si>
  <si>
    <t>SUB TOTAL I+II</t>
  </si>
  <si>
    <t xml:space="preserve">Água sanitária </t>
  </si>
  <si>
    <t xml:space="preserve">Acqua bactericida </t>
  </si>
  <si>
    <t>Alcool 70%</t>
  </si>
  <si>
    <t xml:space="preserve">Hipoclorito </t>
  </si>
  <si>
    <t xml:space="preserve">Pedra sanitária </t>
  </si>
  <si>
    <t xml:space="preserve">Sabão em barra </t>
  </si>
  <si>
    <t xml:space="preserve">Sabão em Pó </t>
  </si>
  <si>
    <t xml:space="preserve">Brilho Inox </t>
  </si>
  <si>
    <t xml:space="preserve">Limpa Metais </t>
  </si>
  <si>
    <t xml:space="preserve">Super Sabão </t>
  </si>
  <si>
    <t xml:space="preserve">Azulim  </t>
  </si>
  <si>
    <t xml:space="preserve">Esponja dupla face </t>
  </si>
  <si>
    <t xml:space="preserve">Fibra limpeza pesada </t>
  </si>
  <si>
    <t xml:space="preserve">Flanelas </t>
  </si>
  <si>
    <t xml:space="preserve">Limpa aluminio </t>
  </si>
  <si>
    <t xml:space="preserve">Lustra móveis </t>
  </si>
  <si>
    <t xml:space="preserve">Limpa vidros  </t>
  </si>
  <si>
    <t xml:space="preserve">Limpa vidros </t>
  </si>
  <si>
    <t xml:space="preserve">Multi uso </t>
  </si>
  <si>
    <t xml:space="preserve">Alcool 46º </t>
  </si>
  <si>
    <t>55 COLABORADORES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</si>
</sst>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00000\-000"/>
    <numFmt numFmtId="167" formatCode="_-* #,##0_-;\-* #,##0_-;_-* &quot;-&quot;??_-;_-@_-"/>
    <numFmt numFmtId="168" formatCode="_-[$R$-416]\ * #,##0.00_-;\-[$R$-416]\ * #,##0.00_-;_-[$R$-416]\ * &quot;-&quot;??_-;_-@_-"/>
    <numFmt numFmtId="169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165" fontId="4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164" fontId="5" fillId="0" borderId="0" applyFont="0" applyFill="0" applyBorder="0" applyAlignment="0" applyProtection="0"/>
    <xf numFmtId="0" fontId="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7" fillId="0" borderId="0" xfId="0" applyFont="1"/>
    <xf numFmtId="0" fontId="28" fillId="0" borderId="0" xfId="0" applyFont="1"/>
    <xf numFmtId="0" fontId="25" fillId="0" borderId="10" xfId="433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0" borderId="10" xfId="562" applyFont="1" applyFill="1" applyBorder="1" applyAlignment="1" applyProtection="1">
      <alignment horizontal="center" vertical="center" shrinkToFit="1"/>
    </xf>
    <xf numFmtId="0" fontId="25" fillId="0" borderId="10" xfId="308" applyFont="1" applyFill="1" applyBorder="1" applyAlignment="1" applyProtection="1">
      <alignment vertical="center" shrinkToFit="1"/>
      <protection locked="0"/>
    </xf>
    <xf numFmtId="1" fontId="25" fillId="0" borderId="10" xfId="347" applyNumberFormat="1" applyFont="1" applyFill="1" applyBorder="1" applyAlignment="1" applyProtection="1">
      <alignment horizontal="center" vertical="center" shrinkToFit="1"/>
    </xf>
    <xf numFmtId="1" fontId="25" fillId="0" borderId="10" xfId="394" applyNumberFormat="1" applyFont="1" applyFill="1" applyBorder="1" applyAlignment="1" applyProtection="1">
      <alignment horizontal="center" vertical="center" shrinkToFit="1"/>
      <protection locked="0"/>
    </xf>
    <xf numFmtId="0" fontId="25" fillId="0" borderId="10" xfId="519" applyFont="1" applyFill="1" applyBorder="1" applyAlignment="1" applyProtection="1">
      <alignment horizontal="center" vertical="center" shrinkToFit="1"/>
      <protection locked="0"/>
    </xf>
    <xf numFmtId="0" fontId="25" fillId="0" borderId="10" xfId="562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</xf>
    <xf numFmtId="0" fontId="0" fillId="0" borderId="0" xfId="0" applyFont="1"/>
    <xf numFmtId="0" fontId="0" fillId="0" borderId="10" xfId="0" applyBorder="1"/>
    <xf numFmtId="0" fontId="26" fillId="24" borderId="10" xfId="0" applyFont="1" applyFill="1" applyBorder="1" applyAlignment="1" applyProtection="1">
      <alignment horizontal="center" vertical="center" wrapText="1" shrinkToFit="1"/>
    </xf>
    <xf numFmtId="0" fontId="26" fillId="24" borderId="16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wrapText="1" shrinkToFit="1"/>
    </xf>
    <xf numFmtId="2" fontId="25" fillId="24" borderId="10" xfId="0" applyNumberFormat="1" applyFont="1" applyFill="1" applyBorder="1" applyAlignment="1" applyProtection="1">
      <alignment vertical="center" shrinkToFit="1"/>
    </xf>
    <xf numFmtId="0" fontId="26" fillId="24" borderId="10" xfId="0" applyFont="1" applyFill="1" applyBorder="1" applyAlignment="1" applyProtection="1">
      <alignment vertical="center" shrinkToFit="1"/>
    </xf>
    <xf numFmtId="0" fontId="25" fillId="24" borderId="10" xfId="0" applyFont="1" applyFill="1" applyBorder="1" applyAlignment="1" applyProtection="1">
      <alignment vertical="center" shrinkToFit="1"/>
      <protection locked="0"/>
    </xf>
    <xf numFmtId="2" fontId="25" fillId="24" borderId="10" xfId="0" applyNumberFormat="1" applyFont="1" applyFill="1" applyBorder="1" applyAlignment="1" applyProtection="1">
      <alignment vertical="center" shrinkToFit="1"/>
      <protection locked="0"/>
    </xf>
    <xf numFmtId="0" fontId="26" fillId="24" borderId="10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wrapText="1" shrinkToFit="1"/>
    </xf>
    <xf numFmtId="0" fontId="25" fillId="0" borderId="16" xfId="0" applyFont="1" applyFill="1" applyBorder="1" applyAlignment="1" applyProtection="1">
      <alignment horizontal="center" vertical="center" wrapText="1" shrinkToFit="1"/>
      <protection locked="0"/>
    </xf>
    <xf numFmtId="2" fontId="25" fillId="24" borderId="16" xfId="0" applyNumberFormat="1" applyFont="1" applyFill="1" applyBorder="1" applyAlignment="1" applyProtection="1">
      <alignment vertical="center" shrinkToFit="1"/>
      <protection locked="0"/>
    </xf>
    <xf numFmtId="0" fontId="31" fillId="24" borderId="16" xfId="0" applyFont="1" applyFill="1" applyBorder="1" applyAlignment="1" applyProtection="1">
      <alignment vertical="center" shrinkToFit="1"/>
      <protection locked="0"/>
    </xf>
    <xf numFmtId="2" fontId="26" fillId="24" borderId="16" xfId="0" applyNumberFormat="1" applyFont="1" applyFill="1" applyBorder="1" applyAlignment="1" applyProtection="1">
      <alignment vertical="center" shrinkToFit="1"/>
    </xf>
    <xf numFmtId="0" fontId="26" fillId="24" borderId="16" xfId="0" applyFont="1" applyFill="1" applyBorder="1" applyAlignment="1" applyProtection="1">
      <alignment vertical="center" shrinkToFit="1"/>
      <protection locked="0"/>
    </xf>
    <xf numFmtId="0" fontId="26" fillId="24" borderId="16" xfId="0" applyFont="1" applyFill="1" applyBorder="1" applyAlignment="1" applyProtection="1">
      <alignment horizontal="center" vertical="center" shrinkToFit="1"/>
      <protection locked="0"/>
    </xf>
    <xf numFmtId="167" fontId="25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2" fillId="24" borderId="16" xfId="0" applyFont="1" applyFill="1" applyBorder="1" applyAlignment="1" applyProtection="1">
      <alignment horizontal="center" vertical="center" wrapText="1" shrinkToFit="1"/>
    </xf>
    <xf numFmtId="0" fontId="32" fillId="24" borderId="16" xfId="0" applyFont="1" applyFill="1" applyBorder="1" applyAlignment="1" applyProtection="1">
      <alignment horizontal="center" vertical="center" shrinkToFit="1"/>
    </xf>
    <xf numFmtId="0" fontId="33" fillId="0" borderId="16" xfId="0" applyFont="1" applyFill="1" applyBorder="1" applyAlignment="1" applyProtection="1">
      <alignment vertical="center" wrapText="1" shrinkToFit="1"/>
    </xf>
    <xf numFmtId="0" fontId="33" fillId="0" borderId="16" xfId="0" applyFont="1" applyFill="1" applyBorder="1" applyAlignment="1" applyProtection="1">
      <alignment horizontal="center" vertical="center" shrinkToFit="1"/>
    </xf>
    <xf numFmtId="44" fontId="33" fillId="0" borderId="16" xfId="2" applyFont="1" applyFill="1" applyBorder="1" applyAlignment="1" applyProtection="1">
      <alignment vertical="center" shrinkToFit="1"/>
    </xf>
    <xf numFmtId="167" fontId="33" fillId="0" borderId="16" xfId="1" applyNumberFormat="1" applyFont="1" applyFill="1" applyBorder="1" applyAlignment="1" applyProtection="1">
      <alignment horizontal="center" vertical="center" shrinkToFit="1"/>
    </xf>
    <xf numFmtId="0" fontId="32" fillId="24" borderId="16" xfId="0" applyFont="1" applyFill="1" applyBorder="1" applyAlignment="1" applyProtection="1">
      <alignment vertical="center" shrinkToFit="1"/>
    </xf>
    <xf numFmtId="0" fontId="33" fillId="24" borderId="16" xfId="0" applyFont="1" applyFill="1" applyBorder="1" applyAlignment="1" applyProtection="1">
      <alignment vertical="center" shrinkToFit="1"/>
    </xf>
    <xf numFmtId="2" fontId="33" fillId="24" borderId="16" xfId="0" applyNumberFormat="1" applyFont="1" applyFill="1" applyBorder="1" applyAlignment="1" applyProtection="1">
      <alignment vertical="center" shrinkToFit="1"/>
    </xf>
    <xf numFmtId="0" fontId="32" fillId="24" borderId="10" xfId="0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shrinkToFit="1"/>
      <protection locked="0"/>
    </xf>
    <xf numFmtId="167" fontId="25" fillId="0" borderId="10" xfId="1" applyNumberFormat="1" applyFont="1" applyFill="1" applyBorder="1" applyAlignment="1" applyProtection="1">
      <alignment vertical="center" shrinkToFit="1"/>
      <protection locked="0"/>
    </xf>
    <xf numFmtId="44" fontId="0" fillId="0" borderId="0" xfId="2" applyFont="1"/>
    <xf numFmtId="44" fontId="0" fillId="0" borderId="10" xfId="2" applyFont="1" applyBorder="1"/>
    <xf numFmtId="0" fontId="27" fillId="0" borderId="10" xfId="0" applyFont="1" applyBorder="1" applyAlignment="1">
      <alignment vertical="center"/>
    </xf>
    <xf numFmtId="44" fontId="27" fillId="0" borderId="10" xfId="2" applyFont="1" applyBorder="1" applyAlignment="1">
      <alignment vertical="center"/>
    </xf>
    <xf numFmtId="0" fontId="30" fillId="24" borderId="10" xfId="0" applyFont="1" applyFill="1" applyBorder="1" applyAlignment="1">
      <alignment horizontal="center" vertical="center"/>
    </xf>
    <xf numFmtId="0" fontId="2" fillId="24" borderId="10" xfId="0" applyFont="1" applyFill="1" applyBorder="1"/>
    <xf numFmtId="0" fontId="2" fillId="24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Border="1"/>
    <xf numFmtId="0" fontId="2" fillId="24" borderId="16" xfId="0" applyFont="1" applyFill="1" applyBorder="1" applyAlignment="1">
      <alignment horizontal="center"/>
    </xf>
    <xf numFmtId="0" fontId="0" fillId="24" borderId="10" xfId="0" applyFill="1" applyBorder="1"/>
    <xf numFmtId="0" fontId="27" fillId="24" borderId="10" xfId="0" applyFont="1" applyFill="1" applyBorder="1"/>
    <xf numFmtId="0" fontId="29" fillId="24" borderId="19" xfId="0" applyFont="1" applyFill="1" applyBorder="1" applyAlignment="1">
      <alignment vertical="center"/>
    </xf>
    <xf numFmtId="0" fontId="29" fillId="24" borderId="10" xfId="0" applyFont="1" applyFill="1" applyBorder="1" applyAlignment="1">
      <alignment horizontal="center"/>
    </xf>
    <xf numFmtId="0" fontId="28" fillId="0" borderId="10" xfId="0" applyFont="1" applyBorder="1" applyAlignment="1">
      <alignment vertical="center"/>
    </xf>
    <xf numFmtId="44" fontId="28" fillId="0" borderId="10" xfId="2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28" fillId="24" borderId="10" xfId="0" applyFont="1" applyFill="1" applyBorder="1"/>
    <xf numFmtId="0" fontId="29" fillId="24" borderId="16" xfId="0" applyFont="1" applyFill="1" applyBorder="1" applyAlignment="1">
      <alignment horizontal="center"/>
    </xf>
    <xf numFmtId="44" fontId="27" fillId="0" borderId="10" xfId="2" applyFont="1" applyBorder="1"/>
    <xf numFmtId="167" fontId="27" fillId="0" borderId="10" xfId="1" applyNumberFormat="1" applyFont="1" applyBorder="1"/>
    <xf numFmtId="44" fontId="0" fillId="0" borderId="16" xfId="2" applyFont="1" applyBorder="1"/>
    <xf numFmtId="0" fontId="35" fillId="0" borderId="0" xfId="0" applyFont="1"/>
    <xf numFmtId="0" fontId="26" fillId="0" borderId="10" xfId="0" applyFont="1" applyFill="1" applyBorder="1" applyAlignment="1" applyProtection="1">
      <alignment horizontal="center" vertical="center" shrinkToFit="1"/>
    </xf>
    <xf numFmtId="4" fontId="26" fillId="0" borderId="10" xfId="0" applyNumberFormat="1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shrinkToFit="1"/>
    </xf>
    <xf numFmtId="0" fontId="26" fillId="0" borderId="16" xfId="0" applyFont="1" applyFill="1" applyBorder="1" applyAlignment="1" applyProtection="1">
      <alignment horizontal="center" vertical="center" shrinkToFit="1"/>
    </xf>
    <xf numFmtId="0" fontId="26" fillId="0" borderId="10" xfId="0" applyFont="1" applyFill="1" applyBorder="1" applyAlignment="1" applyProtection="1">
      <alignment vertical="center" shrinkToFit="1"/>
    </xf>
    <xf numFmtId="4" fontId="26" fillId="24" borderId="10" xfId="0" applyNumberFormat="1" applyFont="1" applyFill="1" applyBorder="1" applyAlignment="1" applyProtection="1">
      <alignment horizontal="center" vertical="center" shrinkToFit="1"/>
    </xf>
    <xf numFmtId="0" fontId="27" fillId="24" borderId="10" xfId="0" applyFont="1" applyFill="1" applyBorder="1" applyAlignment="1">
      <alignment horizontal="center"/>
    </xf>
    <xf numFmtId="168" fontId="30" fillId="0" borderId="10" xfId="0" applyNumberFormat="1" applyFont="1" applyBorder="1" applyAlignment="1">
      <alignment horizontal="center"/>
    </xf>
    <xf numFmtId="168" fontId="27" fillId="0" borderId="10" xfId="0" applyNumberFormat="1" applyFont="1" applyBorder="1"/>
    <xf numFmtId="168" fontId="27" fillId="0" borderId="0" xfId="0" applyNumberFormat="1" applyFont="1"/>
    <xf numFmtId="20" fontId="27" fillId="0" borderId="10" xfId="1" applyNumberFormat="1" applyFont="1" applyBorder="1"/>
    <xf numFmtId="0" fontId="27" fillId="24" borderId="10" xfId="0" applyFont="1" applyFill="1" applyBorder="1" applyAlignment="1">
      <alignment horizontal="center" wrapText="1"/>
    </xf>
    <xf numFmtId="0" fontId="27" fillId="24" borderId="10" xfId="0" applyFont="1" applyFill="1" applyBorder="1" applyAlignment="1">
      <alignment horizontal="center" vertical="center" wrapText="1"/>
    </xf>
    <xf numFmtId="9" fontId="27" fillId="24" borderId="10" xfId="0" applyNumberFormat="1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 wrapText="1"/>
    </xf>
    <xf numFmtId="9" fontId="27" fillId="24" borderId="10" xfId="652" applyFont="1" applyFill="1" applyBorder="1"/>
    <xf numFmtId="168" fontId="27" fillId="24" borderId="10" xfId="0" applyNumberFormat="1" applyFont="1" applyFill="1" applyBorder="1"/>
    <xf numFmtId="168" fontId="27" fillId="0" borderId="19" xfId="0" applyNumberFormat="1" applyFont="1" applyBorder="1"/>
    <xf numFmtId="44" fontId="25" fillId="0" borderId="10" xfId="2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26" fillId="24" borderId="10" xfId="0" applyFont="1" applyFill="1" applyBorder="1" applyAlignment="1" applyProtection="1">
      <alignment vertical="center" wrapText="1" shrinkToFit="1"/>
    </xf>
    <xf numFmtId="44" fontId="25" fillId="0" borderId="10" xfId="2" applyFont="1" applyFill="1" applyBorder="1" applyAlignment="1" applyProtection="1">
      <alignment vertical="center" shrinkToFit="1"/>
      <protection locked="0"/>
    </xf>
    <xf numFmtId="44" fontId="25" fillId="24" borderId="10" xfId="2" applyFont="1" applyFill="1" applyBorder="1" applyAlignment="1" applyProtection="1">
      <alignment vertical="center" shrinkToFit="1"/>
      <protection locked="0"/>
    </xf>
    <xf numFmtId="44" fontId="25" fillId="0" borderId="16" xfId="0" applyNumberFormat="1" applyFont="1" applyFill="1" applyBorder="1" applyAlignment="1" applyProtection="1">
      <alignment horizontal="center"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  <protection locked="0"/>
    </xf>
    <xf numFmtId="44" fontId="25" fillId="0" borderId="10" xfId="2" applyFont="1" applyFill="1" applyBorder="1" applyAlignment="1" applyProtection="1">
      <alignment horizontal="center" vertical="center" shrinkToFit="1"/>
      <protection locked="0"/>
    </xf>
    <xf numFmtId="44" fontId="27" fillId="0" borderId="10" xfId="0" applyNumberFormat="1" applyFont="1" applyBorder="1" applyAlignment="1">
      <alignment vertical="center"/>
    </xf>
    <xf numFmtId="44" fontId="28" fillId="0" borderId="10" xfId="0" applyNumberFormat="1" applyFont="1" applyBorder="1" applyAlignment="1">
      <alignment vertical="center"/>
    </xf>
    <xf numFmtId="44" fontId="28" fillId="24" borderId="10" xfId="0" applyNumberFormat="1" applyFont="1" applyFill="1" applyBorder="1"/>
    <xf numFmtId="44" fontId="32" fillId="0" borderId="16" xfId="2" applyFont="1" applyFill="1" applyBorder="1" applyAlignment="1" applyProtection="1">
      <alignment vertical="center" shrinkToFit="1"/>
    </xf>
    <xf numFmtId="44" fontId="32" fillId="24" borderId="16" xfId="0" applyNumberFormat="1" applyFont="1" applyFill="1" applyBorder="1" applyAlignment="1" applyProtection="1">
      <alignment vertical="center" shrinkToFit="1"/>
    </xf>
    <xf numFmtId="44" fontId="32" fillId="0" borderId="16" xfId="2" applyFont="1" applyFill="1" applyBorder="1" applyAlignment="1" applyProtection="1">
      <alignment vertical="center" shrinkToFit="1"/>
      <protection locked="0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44" fontId="27" fillId="24" borderId="10" xfId="0" applyNumberFormat="1" applyFont="1" applyFill="1" applyBorder="1"/>
    <xf numFmtId="0" fontId="36" fillId="0" borderId="16" xfId="0" applyFont="1" applyFill="1" applyBorder="1" applyAlignment="1" applyProtection="1">
      <alignment vertical="center" wrapText="1" shrinkToFit="1"/>
    </xf>
    <xf numFmtId="0" fontId="36" fillId="0" borderId="16" xfId="0" applyFont="1" applyFill="1" applyBorder="1" applyAlignment="1" applyProtection="1">
      <alignment horizontal="center" vertical="center" shrinkToFit="1"/>
    </xf>
    <xf numFmtId="44" fontId="36" fillId="0" borderId="16" xfId="2" applyFont="1" applyFill="1" applyBorder="1" applyAlignment="1" applyProtection="1">
      <alignment vertical="center" shrinkToFit="1"/>
    </xf>
    <xf numFmtId="167" fontId="36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6" fillId="0" borderId="11" xfId="0" applyFont="1" applyFill="1" applyBorder="1" applyAlignment="1" applyProtection="1">
      <alignment vertical="center" wrapText="1" shrinkToFit="1"/>
    </xf>
    <xf numFmtId="0" fontId="36" fillId="0" borderId="11" xfId="0" applyFont="1" applyFill="1" applyBorder="1" applyAlignment="1" applyProtection="1">
      <alignment horizontal="center" vertical="center" wrapText="1" shrinkToFit="1"/>
    </xf>
    <xf numFmtId="44" fontId="36" fillId="0" borderId="11" xfId="2" applyFont="1" applyFill="1" applyBorder="1" applyAlignment="1" applyProtection="1">
      <alignment vertical="center" shrinkToFit="1"/>
    </xf>
    <xf numFmtId="167" fontId="36" fillId="0" borderId="11" xfId="1" applyNumberFormat="1" applyFont="1" applyFill="1" applyBorder="1" applyAlignment="1" applyProtection="1">
      <alignment horizontal="center" vertical="center" shrinkToFit="1"/>
    </xf>
    <xf numFmtId="44" fontId="0" fillId="0" borderId="10" xfId="0" applyNumberFormat="1" applyFont="1" applyBorder="1"/>
    <xf numFmtId="44" fontId="37" fillId="0" borderId="10" xfId="2" applyFont="1" applyBorder="1"/>
    <xf numFmtId="44" fontId="37" fillId="24" borderId="10" xfId="0" applyNumberFormat="1" applyFont="1" applyFill="1" applyBorder="1"/>
    <xf numFmtId="169" fontId="27" fillId="24" borderId="10" xfId="0" applyNumberFormat="1" applyFont="1" applyFill="1" applyBorder="1" applyAlignment="1">
      <alignment horizontal="center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/>
    </xf>
    <xf numFmtId="168" fontId="27" fillId="0" borderId="20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vertical="center"/>
    </xf>
    <xf numFmtId="168" fontId="27" fillId="0" borderId="11" xfId="0" applyNumberFormat="1" applyFont="1" applyBorder="1" applyAlignment="1">
      <alignment wrapText="1"/>
    </xf>
    <xf numFmtId="168" fontId="27" fillId="0" borderId="12" xfId="0" applyNumberFormat="1" applyFont="1" applyBorder="1" applyAlignment="1">
      <alignment wrapText="1"/>
    </xf>
    <xf numFmtId="168" fontId="27" fillId="0" borderId="22" xfId="0" applyNumberFormat="1" applyFont="1" applyBorder="1" applyAlignment="1">
      <alignment wrapText="1"/>
    </xf>
    <xf numFmtId="168" fontId="27" fillId="0" borderId="13" xfId="0" applyNumberFormat="1" applyFont="1" applyBorder="1" applyAlignment="1">
      <alignment wrapText="1"/>
    </xf>
    <xf numFmtId="168" fontId="27" fillId="0" borderId="14" xfId="0" applyNumberFormat="1" applyFont="1" applyBorder="1" applyAlignment="1">
      <alignment wrapText="1"/>
    </xf>
    <xf numFmtId="168" fontId="39" fillId="0" borderId="15" xfId="0" applyNumberFormat="1" applyFont="1" applyBorder="1" applyAlignment="1">
      <alignment wrapText="1"/>
    </xf>
    <xf numFmtId="44" fontId="26" fillId="24" borderId="17" xfId="0" applyNumberFormat="1" applyFont="1" applyFill="1" applyBorder="1" applyAlignment="1" applyProtection="1">
      <alignment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</xf>
    <xf numFmtId="44" fontId="2" fillId="24" borderId="10" xfId="0" applyNumberFormat="1" applyFont="1" applyFill="1" applyBorder="1"/>
    <xf numFmtId="44" fontId="30" fillId="0" borderId="10" xfId="0" applyNumberFormat="1" applyFont="1" applyBorder="1"/>
    <xf numFmtId="0" fontId="34" fillId="24" borderId="16" xfId="0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/>
    </xf>
    <xf numFmtId="44" fontId="37" fillId="26" borderId="10" xfId="2" applyFont="1" applyFill="1" applyBorder="1"/>
    <xf numFmtId="44" fontId="38" fillId="26" borderId="10" xfId="2" applyFont="1" applyFill="1" applyBorder="1" applyAlignment="1" applyProtection="1">
      <alignment horizontal="center" vertical="center" shrinkToFit="1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24" borderId="10" xfId="3" applyFont="1" applyFill="1" applyBorder="1" applyAlignment="1" applyProtection="1">
      <alignment horizontal="center" vertical="center"/>
    </xf>
    <xf numFmtId="0" fontId="29" fillId="24" borderId="10" xfId="0" applyFont="1" applyFill="1" applyBorder="1" applyAlignment="1">
      <alignment horizontal="center" vertical="center"/>
    </xf>
    <xf numFmtId="0" fontId="25" fillId="0" borderId="16" xfId="94" applyFont="1" applyFill="1" applyBorder="1" applyAlignment="1" applyProtection="1">
      <alignment horizontal="left" vertical="center" wrapText="1" shrinkToFit="1"/>
      <protection locked="0"/>
    </xf>
    <xf numFmtId="0" fontId="25" fillId="0" borderId="17" xfId="94" applyFont="1" applyFill="1" applyBorder="1" applyAlignment="1" applyProtection="1">
      <alignment horizontal="left" vertical="center" wrapText="1" shrinkToFit="1"/>
      <protection locked="0"/>
    </xf>
    <xf numFmtId="0" fontId="25" fillId="0" borderId="18" xfId="94" applyFont="1" applyFill="1" applyBorder="1" applyAlignment="1" applyProtection="1">
      <alignment horizontal="left" vertical="center" wrapText="1" shrinkToFit="1"/>
      <protection locked="0"/>
    </xf>
    <xf numFmtId="0" fontId="26" fillId="0" borderId="16" xfId="51" applyFont="1" applyFill="1" applyBorder="1" applyAlignment="1" applyProtection="1">
      <alignment horizontal="left" vertical="center" shrinkToFit="1"/>
    </xf>
    <xf numFmtId="0" fontId="26" fillId="0" borderId="17" xfId="51" applyFont="1" applyFill="1" applyBorder="1" applyAlignment="1" applyProtection="1">
      <alignment horizontal="left" vertical="center" shrinkToFit="1"/>
    </xf>
    <xf numFmtId="0" fontId="26" fillId="0" borderId="18" xfId="51" applyFont="1" applyFill="1" applyBorder="1" applyAlignment="1" applyProtection="1">
      <alignment horizontal="left" vertical="center" shrinkToFit="1"/>
    </xf>
    <xf numFmtId="0" fontId="26" fillId="0" borderId="16" xfId="137" applyFont="1" applyFill="1" applyBorder="1" applyAlignment="1" applyProtection="1">
      <alignment horizontal="left" vertical="center" shrinkToFit="1"/>
    </xf>
    <xf numFmtId="0" fontId="26" fillId="0" borderId="17" xfId="137" applyFont="1" applyFill="1" applyBorder="1" applyAlignment="1" applyProtection="1">
      <alignment horizontal="left" vertical="center" shrinkToFit="1"/>
    </xf>
    <xf numFmtId="0" fontId="26" fillId="0" borderId="18" xfId="137" applyFont="1" applyFill="1" applyBorder="1" applyAlignment="1" applyProtection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6" fontId="25" fillId="0" borderId="16" xfId="180" applyNumberFormat="1" applyFont="1" applyFill="1" applyBorder="1" applyAlignment="1" applyProtection="1">
      <alignment horizontal="center" vertical="center" shrinkToFit="1"/>
      <protection locked="0"/>
    </xf>
    <xf numFmtId="166" fontId="25" fillId="0" borderId="18" xfId="180" applyNumberFormat="1" applyFont="1" applyFill="1" applyBorder="1" applyAlignment="1" applyProtection="1">
      <alignment horizontal="center" vertical="center" shrinkToFit="1"/>
      <protection locked="0"/>
    </xf>
    <xf numFmtId="0" fontId="25" fillId="0" borderId="16" xfId="137" applyFont="1" applyFill="1" applyBorder="1" applyAlignment="1" applyProtection="1">
      <alignment horizontal="center" vertical="center" shrinkToFit="1"/>
    </xf>
    <xf numFmtId="0" fontId="25" fillId="0" borderId="18" xfId="137" applyFont="1" applyFill="1" applyBorder="1" applyAlignment="1" applyProtection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6" fillId="0" borderId="10" xfId="223" applyFont="1" applyFill="1" applyBorder="1" applyAlignment="1" applyProtection="1">
      <alignment horizontal="center" vertical="center" shrinkToFit="1"/>
    </xf>
    <xf numFmtId="0" fontId="25" fillId="0" borderId="10" xfId="605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5" fillId="0" borderId="19" xfId="223" applyFont="1" applyFill="1" applyBorder="1" applyAlignment="1" applyProtection="1">
      <alignment horizontal="center" vertical="center" wrapText="1" shrinkToFit="1"/>
      <protection locked="0"/>
    </xf>
    <xf numFmtId="0" fontId="25" fillId="0" borderId="21" xfId="223" applyFont="1" applyFill="1" applyBorder="1" applyAlignment="1" applyProtection="1">
      <alignment horizontal="center" vertical="center" wrapText="1" shrinkToFit="1"/>
      <protection locked="0"/>
    </xf>
    <xf numFmtId="0" fontId="25" fillId="0" borderId="20" xfId="223" applyFont="1" applyFill="1" applyBorder="1" applyAlignment="1" applyProtection="1">
      <alignment horizontal="center" vertical="center" wrapText="1" shrinkToFit="1"/>
      <protection locked="0"/>
    </xf>
    <xf numFmtId="0" fontId="26" fillId="0" borderId="10" xfId="223" applyFont="1" applyFill="1" applyBorder="1" applyAlignment="1" applyProtection="1">
      <alignment horizontal="center" vertical="center" wrapText="1" shrinkToFit="1"/>
    </xf>
    <xf numFmtId="0" fontId="26" fillId="0" borderId="10" xfId="471" applyFont="1" applyFill="1" applyBorder="1" applyAlignment="1" applyProtection="1">
      <alignment horizontal="center" vertical="center" shrinkToFit="1"/>
    </xf>
    <xf numFmtId="0" fontId="26" fillId="0" borderId="10" xfId="605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6" fillId="24" borderId="0" xfId="0" applyFont="1" applyFill="1" applyBorder="1" applyAlignment="1" applyProtection="1">
      <alignment horizontal="center" vertical="center" shrinkToFit="1"/>
    </xf>
    <xf numFmtId="0" fontId="30" fillId="0" borderId="10" xfId="0" applyFont="1" applyBorder="1" applyAlignment="1">
      <alignment horizontal="center"/>
    </xf>
    <xf numFmtId="0" fontId="27" fillId="25" borderId="19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168" fontId="27" fillId="0" borderId="19" xfId="0" applyNumberFormat="1" applyFont="1" applyBorder="1" applyAlignment="1">
      <alignment horizontal="center"/>
    </xf>
    <xf numFmtId="168" fontId="27" fillId="0" borderId="20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 wrapText="1"/>
    </xf>
    <xf numFmtId="168" fontId="27" fillId="0" borderId="21" xfId="0" applyNumberFormat="1" applyFont="1" applyBorder="1" applyAlignment="1">
      <alignment horizontal="center" wrapText="1"/>
    </xf>
    <xf numFmtId="168" fontId="27" fillId="0" borderId="20" xfId="0" applyNumberFormat="1" applyFont="1" applyBorder="1" applyAlignment="1">
      <alignment horizontal="center" wrapText="1"/>
    </xf>
    <xf numFmtId="9" fontId="27" fillId="24" borderId="19" xfId="0" applyNumberFormat="1" applyFont="1" applyFill="1" applyBorder="1" applyAlignment="1">
      <alignment horizontal="center"/>
    </xf>
    <xf numFmtId="9" fontId="27" fillId="24" borderId="20" xfId="0" applyNumberFormat="1" applyFont="1" applyFill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8" fontId="27" fillId="0" borderId="12" xfId="0" applyNumberFormat="1" applyFont="1" applyBorder="1" applyAlignment="1">
      <alignment horizontal="center"/>
    </xf>
    <xf numFmtId="168" fontId="27" fillId="0" borderId="22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 vertical="center"/>
    </xf>
    <xf numFmtId="168" fontId="27" fillId="0" borderId="21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68" fontId="27" fillId="0" borderId="19" xfId="0" applyNumberFormat="1" applyFont="1" applyBorder="1" applyAlignment="1">
      <alignment horizontal="center" vertical="center" wrapText="1"/>
    </xf>
    <xf numFmtId="168" fontId="27" fillId="0" borderId="21" xfId="0" applyNumberFormat="1" applyFont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center" vertical="center" wrapText="1"/>
    </xf>
    <xf numFmtId="0" fontId="27" fillId="24" borderId="22" xfId="0" applyFont="1" applyFill="1" applyBorder="1" applyAlignment="1">
      <alignment horizontal="center"/>
    </xf>
    <xf numFmtId="0" fontId="27" fillId="24" borderId="23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6" fillId="24" borderId="10" xfId="0" applyFont="1" applyFill="1" applyBorder="1" applyAlignment="1" applyProtection="1">
      <alignment horizontal="center" vertical="center" shrinkToFit="1"/>
    </xf>
    <xf numFmtId="0" fontId="26" fillId="24" borderId="16" xfId="0" applyFont="1" applyFill="1" applyBorder="1" applyAlignment="1" applyProtection="1">
      <alignment horizontal="center" vertical="center" shrinkToFit="1"/>
    </xf>
    <xf numFmtId="0" fontId="26" fillId="24" borderId="18" xfId="0" applyFont="1" applyFill="1" applyBorder="1" applyAlignment="1" applyProtection="1">
      <alignment horizontal="center" vertical="center" shrinkToFit="1"/>
    </xf>
    <xf numFmtId="0" fontId="26" fillId="24" borderId="17" xfId="0" applyFont="1" applyFill="1" applyBorder="1" applyAlignment="1" applyProtection="1">
      <alignment horizontal="center" vertical="center" shrinkToFit="1"/>
    </xf>
    <xf numFmtId="0" fontId="29" fillId="24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29" fillId="24" borderId="16" xfId="0" applyFont="1" applyFill="1" applyBorder="1" applyAlignment="1">
      <alignment horizontal="center"/>
    </xf>
    <xf numFmtId="0" fontId="29" fillId="24" borderId="17" xfId="0" applyFont="1" applyFill="1" applyBorder="1" applyAlignment="1">
      <alignment horizontal="center"/>
    </xf>
    <xf numFmtId="44" fontId="32" fillId="24" borderId="16" xfId="0" applyNumberFormat="1" applyFont="1" applyFill="1" applyBorder="1" applyAlignment="1" applyProtection="1">
      <alignment horizontal="center" vertical="center" shrinkToFit="1"/>
    </xf>
    <xf numFmtId="44" fontId="32" fillId="24" borderId="17" xfId="0" applyNumberFormat="1" applyFont="1" applyFill="1" applyBorder="1" applyAlignment="1" applyProtection="1">
      <alignment horizontal="center" vertical="center" shrinkToFit="1"/>
    </xf>
    <xf numFmtId="44" fontId="32" fillId="24" borderId="18" xfId="0" applyNumberFormat="1" applyFont="1" applyFill="1" applyBorder="1" applyAlignment="1" applyProtection="1">
      <alignment horizontal="center" vertical="center" shrinkToFit="1"/>
    </xf>
    <xf numFmtId="0" fontId="32" fillId="24" borderId="10" xfId="0" applyFont="1" applyFill="1" applyBorder="1" applyAlignment="1" applyProtection="1">
      <alignment horizontal="center" vertical="center" shrinkToFit="1"/>
    </xf>
    <xf numFmtId="0" fontId="30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  <xf numFmtId="44" fontId="26" fillId="24" borderId="10" xfId="0" applyNumberFormat="1" applyFont="1" applyFill="1" applyBorder="1" applyAlignment="1" applyProtection="1">
      <alignment vertical="center" shrinkToFit="1"/>
      <protection locked="0"/>
    </xf>
  </cellXfs>
  <cellStyles count="653">
    <cellStyle name="20% - Ênfase1 10" xfId="346"/>
    <cellStyle name="20% - Ênfase1 11" xfId="395"/>
    <cellStyle name="20% - Ênfase1 12" xfId="432"/>
    <cellStyle name="20% - Ênfase1 13" xfId="467"/>
    <cellStyle name="20% - Ênfase1 14" xfId="518"/>
    <cellStyle name="20% - Ênfase1 15" xfId="561"/>
    <cellStyle name="20% - Ênfase1 16" xfId="604"/>
    <cellStyle name="20% - Ênfase1 2" xfId="4"/>
    <cellStyle name="20% - Ênfase1 3" xfId="52"/>
    <cellStyle name="20% - Ênfase1 4" xfId="95"/>
    <cellStyle name="20% - Ênfase1 5" xfId="138"/>
    <cellStyle name="20% - Ênfase1 6" xfId="181"/>
    <cellStyle name="20% - Ênfase1 7" xfId="224"/>
    <cellStyle name="20% - Ênfase1 8" xfId="266"/>
    <cellStyle name="20% - Ênfase1 9" xfId="309"/>
    <cellStyle name="20% - Ênfase2 10" xfId="343"/>
    <cellStyle name="20% - Ênfase2 11" xfId="396"/>
    <cellStyle name="20% - Ênfase2 12" xfId="429"/>
    <cellStyle name="20% - Ênfase2 13" xfId="482"/>
    <cellStyle name="20% - Ênfase2 14" xfId="515"/>
    <cellStyle name="20% - Ênfase2 15" xfId="558"/>
    <cellStyle name="20% - Ênfase2 16" xfId="601"/>
    <cellStyle name="20% - Ênfase2 2" xfId="5"/>
    <cellStyle name="20% - Ênfase2 3" xfId="53"/>
    <cellStyle name="20% - Ênfase2 4" xfId="96"/>
    <cellStyle name="20% - Ênfase2 5" xfId="139"/>
    <cellStyle name="20% - Ênfase2 6" xfId="182"/>
    <cellStyle name="20% - Ênfase2 7" xfId="225"/>
    <cellStyle name="20% - Ênfase2 8" xfId="267"/>
    <cellStyle name="20% - Ênfase2 9" xfId="310"/>
    <cellStyle name="20% - Ênfase3 10" xfId="342"/>
    <cellStyle name="20% - Ênfase3 11" xfId="397"/>
    <cellStyle name="20% - Ênfase3 12" xfId="428"/>
    <cellStyle name="20% - Ênfase3 13" xfId="483"/>
    <cellStyle name="20% - Ênfase3 14" xfId="514"/>
    <cellStyle name="20% - Ênfase3 15" xfId="557"/>
    <cellStyle name="20% - Ênfase3 16" xfId="600"/>
    <cellStyle name="20% - Ênfase3 2" xfId="6"/>
    <cellStyle name="20% - Ênfase3 3" xfId="54"/>
    <cellStyle name="20% - Ênfase3 4" xfId="97"/>
    <cellStyle name="20% - Ênfase3 5" xfId="140"/>
    <cellStyle name="20% - Ênfase3 6" xfId="183"/>
    <cellStyle name="20% - Ênfase3 7" xfId="226"/>
    <cellStyle name="20% - Ênfase3 8" xfId="268"/>
    <cellStyle name="20% - Ênfase3 9" xfId="311"/>
    <cellStyle name="20% - Ênfase4 10" xfId="338"/>
    <cellStyle name="20% - Ênfase4 11" xfId="398"/>
    <cellStyle name="20% - Ênfase4 12" xfId="424"/>
    <cellStyle name="20% - Ênfase4 13" xfId="484"/>
    <cellStyle name="20% - Ênfase4 14" xfId="510"/>
    <cellStyle name="20% - Ênfase4 15" xfId="553"/>
    <cellStyle name="20% - Ênfase4 16" xfId="596"/>
    <cellStyle name="20% - Ênfase4 2" xfId="7"/>
    <cellStyle name="20% - Ênfase4 3" xfId="55"/>
    <cellStyle name="20% - Ênfase4 4" xfId="98"/>
    <cellStyle name="20% - Ênfase4 5" xfId="141"/>
    <cellStyle name="20% - Ênfase4 6" xfId="184"/>
    <cellStyle name="20% - Ênfase4 7" xfId="227"/>
    <cellStyle name="20% - Ênfase4 8" xfId="269"/>
    <cellStyle name="20% - Ênfase4 9" xfId="312"/>
    <cellStyle name="20% - Ênfase5 10" xfId="356"/>
    <cellStyle name="20% - Ênfase5 11" xfId="399"/>
    <cellStyle name="20% - Ênfase5 12" xfId="442"/>
    <cellStyle name="20% - Ênfase5 13" xfId="485"/>
    <cellStyle name="20% - Ênfase5 14" xfId="528"/>
    <cellStyle name="20% - Ênfase5 15" xfId="571"/>
    <cellStyle name="20% - Ênfase5 16" xfId="614"/>
    <cellStyle name="20% - Ênfase5 2" xfId="8"/>
    <cellStyle name="20% - Ênfase5 3" xfId="56"/>
    <cellStyle name="20% - Ênfase5 4" xfId="99"/>
    <cellStyle name="20% - Ênfase5 5" xfId="142"/>
    <cellStyle name="20% - Ênfase5 6" xfId="185"/>
    <cellStyle name="20% - Ênfase5 7" xfId="228"/>
    <cellStyle name="20% - Ênfase5 8" xfId="270"/>
    <cellStyle name="20% - Ênfase5 9" xfId="313"/>
    <cellStyle name="20% - Ênfase6 10" xfId="357"/>
    <cellStyle name="20% - Ênfase6 11" xfId="400"/>
    <cellStyle name="20% - Ênfase6 12" xfId="443"/>
    <cellStyle name="20% - Ênfase6 13" xfId="486"/>
    <cellStyle name="20% - Ênfase6 14" xfId="529"/>
    <cellStyle name="20% - Ênfase6 15" xfId="572"/>
    <cellStyle name="20% - Ênfase6 16" xfId="615"/>
    <cellStyle name="20% - Ênfase6 2" xfId="9"/>
    <cellStyle name="20% - Ênfase6 3" xfId="57"/>
    <cellStyle name="20% - Ênfase6 4" xfId="100"/>
    <cellStyle name="20% - Ênfase6 5" xfId="143"/>
    <cellStyle name="20% - Ênfase6 6" xfId="186"/>
    <cellStyle name="20% - Ênfase6 7" xfId="229"/>
    <cellStyle name="20% - Ênfase6 8" xfId="271"/>
    <cellStyle name="20% - Ênfase6 9" xfId="314"/>
    <cellStyle name="40% - Ênfase1 10" xfId="358"/>
    <cellStyle name="40% - Ênfase1 11" xfId="401"/>
    <cellStyle name="40% - Ênfase1 12" xfId="444"/>
    <cellStyle name="40% - Ênfase1 13" xfId="487"/>
    <cellStyle name="40% - Ênfase1 14" xfId="530"/>
    <cellStyle name="40% - Ênfase1 15" xfId="573"/>
    <cellStyle name="40% - Ênfase1 16" xfId="616"/>
    <cellStyle name="40% - Ênfase1 2" xfId="10"/>
    <cellStyle name="40% - Ênfase1 3" xfId="58"/>
    <cellStyle name="40% - Ênfase1 4" xfId="101"/>
    <cellStyle name="40% - Ênfase1 5" xfId="144"/>
    <cellStyle name="40% - Ênfase1 6" xfId="187"/>
    <cellStyle name="40% - Ênfase1 7" xfId="230"/>
    <cellStyle name="40% - Ênfase1 8" xfId="272"/>
    <cellStyle name="40% - Ênfase1 9" xfId="315"/>
    <cellStyle name="40% - Ênfase2 10" xfId="359"/>
    <cellStyle name="40% - Ênfase2 11" xfId="402"/>
    <cellStyle name="40% - Ênfase2 12" xfId="445"/>
    <cellStyle name="40% - Ênfase2 13" xfId="488"/>
    <cellStyle name="40% - Ênfase2 14" xfId="531"/>
    <cellStyle name="40% - Ênfase2 15" xfId="574"/>
    <cellStyle name="40% - Ênfase2 16" xfId="617"/>
    <cellStyle name="40% - Ênfase2 2" xfId="11"/>
    <cellStyle name="40% - Ênfase2 3" xfId="59"/>
    <cellStyle name="40% - Ênfase2 4" xfId="102"/>
    <cellStyle name="40% - Ênfase2 5" xfId="145"/>
    <cellStyle name="40% - Ênfase2 6" xfId="188"/>
    <cellStyle name="40% - Ênfase2 7" xfId="231"/>
    <cellStyle name="40% - Ênfase2 8" xfId="273"/>
    <cellStyle name="40% - Ênfase2 9" xfId="316"/>
    <cellStyle name="40% - Ênfase3 10" xfId="360"/>
    <cellStyle name="40% - Ênfase3 11" xfId="403"/>
    <cellStyle name="40% - Ênfase3 12" xfId="446"/>
    <cellStyle name="40% - Ênfase3 13" xfId="489"/>
    <cellStyle name="40% - Ênfase3 14" xfId="532"/>
    <cellStyle name="40% - Ênfase3 15" xfId="575"/>
    <cellStyle name="40% - Ênfase3 16" xfId="618"/>
    <cellStyle name="40% - Ênfase3 2" xfId="12"/>
    <cellStyle name="40% - Ênfase3 3" xfId="60"/>
    <cellStyle name="40% - Ênfase3 4" xfId="103"/>
    <cellStyle name="40% - Ênfase3 5" xfId="146"/>
    <cellStyle name="40% - Ênfase3 6" xfId="189"/>
    <cellStyle name="40% - Ênfase3 7" xfId="232"/>
    <cellStyle name="40% - Ênfase3 8" xfId="274"/>
    <cellStyle name="40% - Ênfase3 9" xfId="317"/>
    <cellStyle name="40% - Ênfase4 10" xfId="361"/>
    <cellStyle name="40% - Ênfase4 11" xfId="404"/>
    <cellStyle name="40% - Ênfase4 12" xfId="447"/>
    <cellStyle name="40% - Ênfase4 13" xfId="490"/>
    <cellStyle name="40% - Ênfase4 14" xfId="533"/>
    <cellStyle name="40% - Ênfase4 15" xfId="576"/>
    <cellStyle name="40% - Ênfase4 16" xfId="619"/>
    <cellStyle name="40% - Ênfase4 2" xfId="13"/>
    <cellStyle name="40% - Ênfase4 3" xfId="61"/>
    <cellStyle name="40% - Ênfase4 4" xfId="104"/>
    <cellStyle name="40% - Ênfase4 5" xfId="147"/>
    <cellStyle name="40% - Ênfase4 6" xfId="190"/>
    <cellStyle name="40% - Ênfase4 7" xfId="233"/>
    <cellStyle name="40% - Ênfase4 8" xfId="275"/>
    <cellStyle name="40% - Ênfase4 9" xfId="318"/>
    <cellStyle name="40% - Ênfase5 10" xfId="362"/>
    <cellStyle name="40% - Ênfase5 11" xfId="405"/>
    <cellStyle name="40% - Ênfase5 12" xfId="448"/>
    <cellStyle name="40% - Ênfase5 13" xfId="491"/>
    <cellStyle name="40% - Ênfase5 14" xfId="534"/>
    <cellStyle name="40% - Ênfase5 15" xfId="577"/>
    <cellStyle name="40% - Ênfase5 16" xfId="620"/>
    <cellStyle name="40% - Ênfase5 2" xfId="14"/>
    <cellStyle name="40% - Ênfase5 3" xfId="62"/>
    <cellStyle name="40% - Ênfase5 4" xfId="105"/>
    <cellStyle name="40% - Ênfase5 5" xfId="148"/>
    <cellStyle name="40% - Ênfase5 6" xfId="191"/>
    <cellStyle name="40% - Ênfase5 7" xfId="234"/>
    <cellStyle name="40% - Ênfase5 8" xfId="276"/>
    <cellStyle name="40% - Ênfase5 9" xfId="319"/>
    <cellStyle name="40% - Ênfase6 10" xfId="363"/>
    <cellStyle name="40% - Ênfase6 11" xfId="406"/>
    <cellStyle name="40% - Ênfase6 12" xfId="449"/>
    <cellStyle name="40% - Ênfase6 13" xfId="492"/>
    <cellStyle name="40% - Ênfase6 14" xfId="535"/>
    <cellStyle name="40% - Ênfase6 15" xfId="578"/>
    <cellStyle name="40% - Ênfase6 16" xfId="621"/>
    <cellStyle name="40% - Ênfase6 2" xfId="15"/>
    <cellStyle name="40% - Ênfase6 3" xfId="63"/>
    <cellStyle name="40% - Ênfase6 4" xfId="106"/>
    <cellStyle name="40% - Ênfase6 5" xfId="149"/>
    <cellStyle name="40% - Ênfase6 6" xfId="192"/>
    <cellStyle name="40% - Ênfase6 7" xfId="235"/>
    <cellStyle name="40% - Ênfase6 8" xfId="277"/>
    <cellStyle name="40% - Ênfase6 9" xfId="320"/>
    <cellStyle name="60% - Ênfase1 10" xfId="364"/>
    <cellStyle name="60% - Ênfase1 11" xfId="407"/>
    <cellStyle name="60% - Ênfase1 12" xfId="450"/>
    <cellStyle name="60% - Ênfase1 13" xfId="493"/>
    <cellStyle name="60% - Ênfase1 14" xfId="536"/>
    <cellStyle name="60% - Ênfase1 15" xfId="579"/>
    <cellStyle name="60% - Ênfase1 16" xfId="622"/>
    <cellStyle name="60% - Ênfase1 2" xfId="16"/>
    <cellStyle name="60% - Ênfase1 3" xfId="64"/>
    <cellStyle name="60% - Ênfase1 4" xfId="107"/>
    <cellStyle name="60% - Ênfase1 5" xfId="150"/>
    <cellStyle name="60% - Ênfase1 6" xfId="193"/>
    <cellStyle name="60% - Ênfase1 7" xfId="236"/>
    <cellStyle name="60% - Ênfase1 8" xfId="278"/>
    <cellStyle name="60% - Ênfase1 9" xfId="321"/>
    <cellStyle name="60% - Ênfase2 10" xfId="365"/>
    <cellStyle name="60% - Ênfase2 11" xfId="408"/>
    <cellStyle name="60% - Ênfase2 12" xfId="451"/>
    <cellStyle name="60% - Ênfase2 13" xfId="494"/>
    <cellStyle name="60% - Ênfase2 14" xfId="537"/>
    <cellStyle name="60% - Ênfase2 15" xfId="580"/>
    <cellStyle name="60% - Ênfase2 16" xfId="623"/>
    <cellStyle name="60% - Ênfase2 2" xfId="17"/>
    <cellStyle name="60% - Ênfase2 3" xfId="65"/>
    <cellStyle name="60% - Ênfase2 4" xfId="108"/>
    <cellStyle name="60% - Ênfase2 5" xfId="151"/>
    <cellStyle name="60% - Ênfase2 6" xfId="194"/>
    <cellStyle name="60% - Ênfase2 7" xfId="237"/>
    <cellStyle name="60% - Ênfase2 8" xfId="279"/>
    <cellStyle name="60% - Ênfase2 9" xfId="322"/>
    <cellStyle name="60% - Ênfase3 10" xfId="366"/>
    <cellStyle name="60% - Ênfase3 11" xfId="409"/>
    <cellStyle name="60% - Ênfase3 12" xfId="452"/>
    <cellStyle name="60% - Ênfase3 13" xfId="495"/>
    <cellStyle name="60% - Ênfase3 14" xfId="538"/>
    <cellStyle name="60% - Ênfase3 15" xfId="581"/>
    <cellStyle name="60% - Ênfase3 16" xfId="624"/>
    <cellStyle name="60% - Ênfase3 2" xfId="18"/>
    <cellStyle name="60% - Ênfase3 3" xfId="66"/>
    <cellStyle name="60% - Ênfase3 4" xfId="109"/>
    <cellStyle name="60% - Ênfase3 5" xfId="152"/>
    <cellStyle name="60% - Ênfase3 6" xfId="195"/>
    <cellStyle name="60% - Ênfase3 7" xfId="238"/>
    <cellStyle name="60% - Ênfase3 8" xfId="280"/>
    <cellStyle name="60% - Ênfase3 9" xfId="323"/>
    <cellStyle name="60% - Ênfase4 10" xfId="367"/>
    <cellStyle name="60% - Ênfase4 11" xfId="410"/>
    <cellStyle name="60% - Ênfase4 12" xfId="453"/>
    <cellStyle name="60% - Ênfase4 13" xfId="496"/>
    <cellStyle name="60% - Ênfase4 14" xfId="539"/>
    <cellStyle name="60% - Ênfase4 15" xfId="582"/>
    <cellStyle name="60% - Ênfase4 16" xfId="625"/>
    <cellStyle name="60% - Ênfase4 2" xfId="19"/>
    <cellStyle name="60% - Ênfase4 3" xfId="67"/>
    <cellStyle name="60% - Ênfase4 4" xfId="110"/>
    <cellStyle name="60% - Ênfase4 5" xfId="153"/>
    <cellStyle name="60% - Ênfase4 6" xfId="196"/>
    <cellStyle name="60% - Ênfase4 7" xfId="239"/>
    <cellStyle name="60% - Ênfase4 8" xfId="281"/>
    <cellStyle name="60% - Ênfase4 9" xfId="324"/>
    <cellStyle name="60% - Ênfase5 10" xfId="368"/>
    <cellStyle name="60% - Ênfase5 11" xfId="411"/>
    <cellStyle name="60% - Ênfase5 12" xfId="454"/>
    <cellStyle name="60% - Ênfase5 13" xfId="497"/>
    <cellStyle name="60% - Ênfase5 14" xfId="540"/>
    <cellStyle name="60% - Ênfase5 15" xfId="583"/>
    <cellStyle name="60% - Ênfase5 16" xfId="626"/>
    <cellStyle name="60% - Ênfase5 2" xfId="20"/>
    <cellStyle name="60% - Ênfase5 3" xfId="68"/>
    <cellStyle name="60% - Ênfase5 4" xfId="111"/>
    <cellStyle name="60% - Ênfase5 5" xfId="154"/>
    <cellStyle name="60% - Ênfase5 6" xfId="197"/>
    <cellStyle name="60% - Ênfase5 7" xfId="240"/>
    <cellStyle name="60% - Ênfase5 8" xfId="282"/>
    <cellStyle name="60% - Ênfase5 9" xfId="325"/>
    <cellStyle name="60% - Ênfase6 10" xfId="369"/>
    <cellStyle name="60% - Ênfase6 11" xfId="412"/>
    <cellStyle name="60% - Ênfase6 12" xfId="455"/>
    <cellStyle name="60% - Ênfase6 13" xfId="498"/>
    <cellStyle name="60% - Ênfase6 14" xfId="541"/>
    <cellStyle name="60% - Ênfase6 15" xfId="584"/>
    <cellStyle name="60% - Ênfase6 16" xfId="627"/>
    <cellStyle name="60% - Ênfase6 2" xfId="21"/>
    <cellStyle name="60% - Ênfase6 3" xfId="69"/>
    <cellStyle name="60% - Ênfase6 4" xfId="112"/>
    <cellStyle name="60% - Ênfase6 5" xfId="155"/>
    <cellStyle name="60% - Ênfase6 6" xfId="198"/>
    <cellStyle name="60% - Ênfase6 7" xfId="241"/>
    <cellStyle name="60% - Ênfase6 8" xfId="283"/>
    <cellStyle name="60% - Ênfase6 9" xfId="326"/>
    <cellStyle name="Bom 10" xfId="370"/>
    <cellStyle name="Bom 11" xfId="413"/>
    <cellStyle name="Bom 12" xfId="456"/>
    <cellStyle name="Bom 13" xfId="499"/>
    <cellStyle name="Bom 14" xfId="542"/>
    <cellStyle name="Bom 15" xfId="585"/>
    <cellStyle name="Bom 16" xfId="628"/>
    <cellStyle name="Bom 2" xfId="22"/>
    <cellStyle name="Bom 3" xfId="70"/>
    <cellStyle name="Bom 4" xfId="113"/>
    <cellStyle name="Bom 5" xfId="156"/>
    <cellStyle name="Bom 6" xfId="199"/>
    <cellStyle name="Bom 7" xfId="242"/>
    <cellStyle name="Bom 8" xfId="284"/>
    <cellStyle name="Bom 9" xfId="327"/>
    <cellStyle name="Cálculo 10" xfId="371"/>
    <cellStyle name="Cálculo 11" xfId="414"/>
    <cellStyle name="Cálculo 12" xfId="457"/>
    <cellStyle name="Cálculo 13" xfId="500"/>
    <cellStyle name="Cálculo 14" xfId="543"/>
    <cellStyle name="Cálculo 15" xfId="586"/>
    <cellStyle name="Cálculo 16" xfId="629"/>
    <cellStyle name="Cálculo 2" xfId="23"/>
    <cellStyle name="Cálculo 3" xfId="71"/>
    <cellStyle name="Cálculo 4" xfId="114"/>
    <cellStyle name="Cálculo 5" xfId="157"/>
    <cellStyle name="Cálculo 6" xfId="200"/>
    <cellStyle name="Cálculo 7" xfId="243"/>
    <cellStyle name="Cálculo 8" xfId="285"/>
    <cellStyle name="Cálculo 9" xfId="328"/>
    <cellStyle name="Célula de Verificação 10" xfId="372"/>
    <cellStyle name="Célula de Verificação 11" xfId="415"/>
    <cellStyle name="Célula de Verificação 12" xfId="458"/>
    <cellStyle name="Célula de Verificação 13" xfId="501"/>
    <cellStyle name="Célula de Verificação 14" xfId="544"/>
    <cellStyle name="Célula de Verificação 15" xfId="587"/>
    <cellStyle name="Célula de Verificação 16" xfId="630"/>
    <cellStyle name="Célula de Verificação 2" xfId="24"/>
    <cellStyle name="Célula de Verificação 3" xfId="72"/>
    <cellStyle name="Célula de Verificação 4" xfId="115"/>
    <cellStyle name="Célula de Verificação 5" xfId="158"/>
    <cellStyle name="Célula de Verificação 6" xfId="201"/>
    <cellStyle name="Célula de Verificação 7" xfId="244"/>
    <cellStyle name="Célula de Verificação 8" xfId="286"/>
    <cellStyle name="Célula de Verificação 9" xfId="329"/>
    <cellStyle name="Célula Vinculada 10" xfId="373"/>
    <cellStyle name="Célula Vinculada 11" xfId="416"/>
    <cellStyle name="Célula Vinculada 12" xfId="459"/>
    <cellStyle name="Célula Vinculada 13" xfId="502"/>
    <cellStyle name="Célula Vinculada 14" xfId="545"/>
    <cellStyle name="Célula Vinculada 15" xfId="588"/>
    <cellStyle name="Célula Vinculada 16" xfId="631"/>
    <cellStyle name="Célula Vinculada 2" xfId="25"/>
    <cellStyle name="Célula Vinculada 3" xfId="73"/>
    <cellStyle name="Célula Vinculada 4" xfId="116"/>
    <cellStyle name="Célula Vinculada 5" xfId="159"/>
    <cellStyle name="Célula Vinculada 6" xfId="202"/>
    <cellStyle name="Célula Vinculada 7" xfId="245"/>
    <cellStyle name="Célula Vinculada 8" xfId="287"/>
    <cellStyle name="Célula Vinculada 9" xfId="330"/>
    <cellStyle name="Ênfase1 10" xfId="374"/>
    <cellStyle name="Ênfase1 11" xfId="417"/>
    <cellStyle name="Ênfase1 12" xfId="460"/>
    <cellStyle name="Ênfase1 13" xfId="503"/>
    <cellStyle name="Ênfase1 14" xfId="546"/>
    <cellStyle name="Ênfase1 15" xfId="589"/>
    <cellStyle name="Ênfase1 16" xfId="632"/>
    <cellStyle name="Ênfase1 2" xfId="26"/>
    <cellStyle name="Ênfase1 3" xfId="74"/>
    <cellStyle name="Ênfase1 4" xfId="117"/>
    <cellStyle name="Ênfase1 5" xfId="160"/>
    <cellStyle name="Ênfase1 6" xfId="203"/>
    <cellStyle name="Ênfase1 7" xfId="246"/>
    <cellStyle name="Ênfase1 8" xfId="288"/>
    <cellStyle name="Ênfase1 9" xfId="331"/>
    <cellStyle name="Ênfase2 10" xfId="375"/>
    <cellStyle name="Ênfase2 11" xfId="418"/>
    <cellStyle name="Ênfase2 12" xfId="461"/>
    <cellStyle name="Ênfase2 13" xfId="504"/>
    <cellStyle name="Ênfase2 14" xfId="547"/>
    <cellStyle name="Ênfase2 15" xfId="590"/>
    <cellStyle name="Ênfase2 16" xfId="633"/>
    <cellStyle name="Ênfase2 2" xfId="27"/>
    <cellStyle name="Ênfase2 3" xfId="75"/>
    <cellStyle name="Ênfase2 4" xfId="118"/>
    <cellStyle name="Ênfase2 5" xfId="161"/>
    <cellStyle name="Ênfase2 6" xfId="204"/>
    <cellStyle name="Ênfase2 7" xfId="247"/>
    <cellStyle name="Ênfase2 8" xfId="289"/>
    <cellStyle name="Ênfase2 9" xfId="332"/>
    <cellStyle name="Ênfase3 10" xfId="376"/>
    <cellStyle name="Ênfase3 11" xfId="419"/>
    <cellStyle name="Ênfase3 12" xfId="462"/>
    <cellStyle name="Ênfase3 13" xfId="505"/>
    <cellStyle name="Ênfase3 14" xfId="548"/>
    <cellStyle name="Ênfase3 15" xfId="591"/>
    <cellStyle name="Ênfase3 16" xfId="634"/>
    <cellStyle name="Ênfase3 2" xfId="28"/>
    <cellStyle name="Ênfase3 3" xfId="76"/>
    <cellStyle name="Ênfase3 4" xfId="119"/>
    <cellStyle name="Ênfase3 5" xfId="162"/>
    <cellStyle name="Ênfase3 6" xfId="205"/>
    <cellStyle name="Ênfase3 7" xfId="248"/>
    <cellStyle name="Ênfase3 8" xfId="290"/>
    <cellStyle name="Ênfase3 9" xfId="333"/>
    <cellStyle name="Ênfase4 10" xfId="377"/>
    <cellStyle name="Ênfase4 11" xfId="420"/>
    <cellStyle name="Ênfase4 12" xfId="463"/>
    <cellStyle name="Ênfase4 13" xfId="506"/>
    <cellStyle name="Ênfase4 14" xfId="549"/>
    <cellStyle name="Ênfase4 15" xfId="592"/>
    <cellStyle name="Ênfase4 16" xfId="635"/>
    <cellStyle name="Ênfase4 2" xfId="29"/>
    <cellStyle name="Ênfase4 3" xfId="77"/>
    <cellStyle name="Ênfase4 4" xfId="120"/>
    <cellStyle name="Ênfase4 5" xfId="163"/>
    <cellStyle name="Ênfase4 6" xfId="206"/>
    <cellStyle name="Ênfase4 7" xfId="249"/>
    <cellStyle name="Ênfase4 8" xfId="291"/>
    <cellStyle name="Ênfase4 9" xfId="334"/>
    <cellStyle name="Ênfase5 10" xfId="378"/>
    <cellStyle name="Ênfase5 11" xfId="421"/>
    <cellStyle name="Ênfase5 12" xfId="464"/>
    <cellStyle name="Ênfase5 13" xfId="507"/>
    <cellStyle name="Ênfase5 14" xfId="550"/>
    <cellStyle name="Ênfase5 15" xfId="593"/>
    <cellStyle name="Ênfase5 16" xfId="636"/>
    <cellStyle name="Ênfase5 2" xfId="30"/>
    <cellStyle name="Ênfase5 3" xfId="78"/>
    <cellStyle name="Ênfase5 4" xfId="121"/>
    <cellStyle name="Ênfase5 5" xfId="164"/>
    <cellStyle name="Ênfase5 6" xfId="207"/>
    <cellStyle name="Ênfase5 7" xfId="250"/>
    <cellStyle name="Ênfase5 8" xfId="292"/>
    <cellStyle name="Ênfase5 9" xfId="335"/>
    <cellStyle name="Ênfase6 10" xfId="379"/>
    <cellStyle name="Ênfase6 11" xfId="422"/>
    <cellStyle name="Ênfase6 12" xfId="465"/>
    <cellStyle name="Ênfase6 13" xfId="508"/>
    <cellStyle name="Ênfase6 14" xfId="551"/>
    <cellStyle name="Ênfase6 15" xfId="594"/>
    <cellStyle name="Ênfase6 16" xfId="637"/>
    <cellStyle name="Ênfase6 2" xfId="31"/>
    <cellStyle name="Ênfase6 3" xfId="79"/>
    <cellStyle name="Ênfase6 4" xfId="122"/>
    <cellStyle name="Ênfase6 5" xfId="165"/>
    <cellStyle name="Ênfase6 6" xfId="208"/>
    <cellStyle name="Ênfase6 7" xfId="251"/>
    <cellStyle name="Ênfase6 8" xfId="293"/>
    <cellStyle name="Ênfase6 9" xfId="336"/>
    <cellStyle name="Entrada 10" xfId="380"/>
    <cellStyle name="Entrada 11" xfId="423"/>
    <cellStyle name="Entrada 12" xfId="466"/>
    <cellStyle name="Entrada 13" xfId="509"/>
    <cellStyle name="Entrada 14" xfId="552"/>
    <cellStyle name="Entrada 15" xfId="595"/>
    <cellStyle name="Entrada 16" xfId="638"/>
    <cellStyle name="Entrada 2" xfId="32"/>
    <cellStyle name="Entrada 3" xfId="80"/>
    <cellStyle name="Entrada 4" xfId="123"/>
    <cellStyle name="Entrada 5" xfId="166"/>
    <cellStyle name="Entrada 6" xfId="209"/>
    <cellStyle name="Entrada 7" xfId="252"/>
    <cellStyle name="Entrada 8" xfId="294"/>
    <cellStyle name="Entrada 9" xfId="337"/>
    <cellStyle name="Euro" xfId="33"/>
    <cellStyle name="Incorreto 10" xfId="381"/>
    <cellStyle name="Incorreto 11" xfId="425"/>
    <cellStyle name="Incorreto 12" xfId="468"/>
    <cellStyle name="Incorreto 13" xfId="511"/>
    <cellStyle name="Incorreto 14" xfId="554"/>
    <cellStyle name="Incorreto 15" xfId="597"/>
    <cellStyle name="Incorreto 16" xfId="639"/>
    <cellStyle name="Incorreto 2" xfId="34"/>
    <cellStyle name="Incorreto 3" xfId="81"/>
    <cellStyle name="Incorreto 4" xfId="124"/>
    <cellStyle name="Incorreto 5" xfId="167"/>
    <cellStyle name="Incorreto 6" xfId="210"/>
    <cellStyle name="Incorreto 7" xfId="253"/>
    <cellStyle name="Incorreto 8" xfId="295"/>
    <cellStyle name="Incorreto 9" xfId="339"/>
    <cellStyle name="Moeda" xfId="2" builtinId="4"/>
    <cellStyle name="Neutra 10" xfId="382"/>
    <cellStyle name="Neutra 11" xfId="426"/>
    <cellStyle name="Neutra 12" xfId="469"/>
    <cellStyle name="Neutra 13" xfId="512"/>
    <cellStyle name="Neutra 14" xfId="555"/>
    <cellStyle name="Neutra 15" xfId="598"/>
    <cellStyle name="Neutra 16" xfId="640"/>
    <cellStyle name="Neutra 2" xfId="35"/>
    <cellStyle name="Neutra 3" xfId="82"/>
    <cellStyle name="Neutra 4" xfId="125"/>
    <cellStyle name="Neutra 5" xfId="168"/>
    <cellStyle name="Neutra 6" xfId="211"/>
    <cellStyle name="Neutra 7" xfId="254"/>
    <cellStyle name="Neutra 8" xfId="296"/>
    <cellStyle name="Neutra 9" xfId="340"/>
    <cellStyle name="Normal" xfId="0" builtinId="0"/>
    <cellStyle name="Normal 11" xfId="308"/>
    <cellStyle name="Normal 12" xfId="347"/>
    <cellStyle name="Normal 13" xfId="394"/>
    <cellStyle name="Normal 14" xfId="433"/>
    <cellStyle name="Normal 15" xfId="471"/>
    <cellStyle name="Normal 16" xfId="519"/>
    <cellStyle name="Normal 17" xfId="562"/>
    <cellStyle name="Normal 18" xfId="605"/>
    <cellStyle name="Normal 2" xfId="3"/>
    <cellStyle name="Normal 2 10" xfId="383"/>
    <cellStyle name="Normal 2 11" xfId="427"/>
    <cellStyle name="Normal 2 12" xfId="470"/>
    <cellStyle name="Normal 2 13" xfId="513"/>
    <cellStyle name="Normal 2 14" xfId="556"/>
    <cellStyle name="Normal 2 15" xfId="599"/>
    <cellStyle name="Normal 2 16" xfId="641"/>
    <cellStyle name="Normal 2 2" xfId="36"/>
    <cellStyle name="Normal 2 3" xfId="83"/>
    <cellStyle name="Normal 2 4" xfId="126"/>
    <cellStyle name="Normal 2 5" xfId="169"/>
    <cellStyle name="Normal 2 6" xfId="212"/>
    <cellStyle name="Normal 2 7" xfId="255"/>
    <cellStyle name="Normal 2 8" xfId="297"/>
    <cellStyle name="Normal 2 9" xfId="341"/>
    <cellStyle name="Normal 3" xfId="37"/>
    <cellStyle name="Normal 4" xfId="38"/>
    <cellStyle name="Normal 5" xfId="51"/>
    <cellStyle name="Normal 6" xfId="94"/>
    <cellStyle name="Normal 7" xfId="137"/>
    <cellStyle name="Normal 8" xfId="180"/>
    <cellStyle name="Normal 9" xfId="223"/>
    <cellStyle name="Nota 10" xfId="384"/>
    <cellStyle name="Nota 11" xfId="430"/>
    <cellStyle name="Nota 12" xfId="472"/>
    <cellStyle name="Nota 13" xfId="516"/>
    <cellStyle name="Nota 14" xfId="559"/>
    <cellStyle name="Nota 15" xfId="602"/>
    <cellStyle name="Nota 16" xfId="642"/>
    <cellStyle name="Nota 2" xfId="39"/>
    <cellStyle name="Nota 3" xfId="84"/>
    <cellStyle name="Nota 4" xfId="127"/>
    <cellStyle name="Nota 5" xfId="170"/>
    <cellStyle name="Nota 6" xfId="213"/>
    <cellStyle name="Nota 7" xfId="256"/>
    <cellStyle name="Nota 8" xfId="298"/>
    <cellStyle name="Nota 9" xfId="344"/>
    <cellStyle name="Porcentagem" xfId="652" builtinId="5"/>
    <cellStyle name="Saída 10" xfId="385"/>
    <cellStyle name="Saída 11" xfId="431"/>
    <cellStyle name="Saída 12" xfId="473"/>
    <cellStyle name="Saída 13" xfId="517"/>
    <cellStyle name="Saída 14" xfId="560"/>
    <cellStyle name="Saída 15" xfId="603"/>
    <cellStyle name="Saída 16" xfId="643"/>
    <cellStyle name="Saída 2" xfId="40"/>
    <cellStyle name="Saída 3" xfId="85"/>
    <cellStyle name="Saída 4" xfId="128"/>
    <cellStyle name="Saída 5" xfId="171"/>
    <cellStyle name="Saída 6" xfId="214"/>
    <cellStyle name="Saída 7" xfId="257"/>
    <cellStyle name="Saída 8" xfId="299"/>
    <cellStyle name="Saída 9" xfId="345"/>
    <cellStyle name="Separador de milhares" xfId="1" builtinId="3"/>
    <cellStyle name="Separador de milhares 2" xfId="41"/>
    <cellStyle name="Style 1" xfId="42"/>
    <cellStyle name="Texto de Aviso 10" xfId="386"/>
    <cellStyle name="Texto de Aviso 11" xfId="434"/>
    <cellStyle name="Texto de Aviso 12" xfId="474"/>
    <cellStyle name="Texto de Aviso 13" xfId="520"/>
    <cellStyle name="Texto de Aviso 14" xfId="563"/>
    <cellStyle name="Texto de Aviso 15" xfId="606"/>
    <cellStyle name="Texto de Aviso 16" xfId="644"/>
    <cellStyle name="Texto de Aviso 2" xfId="43"/>
    <cellStyle name="Texto de Aviso 3" xfId="86"/>
    <cellStyle name="Texto de Aviso 4" xfId="129"/>
    <cellStyle name="Texto de Aviso 5" xfId="172"/>
    <cellStyle name="Texto de Aviso 6" xfId="215"/>
    <cellStyle name="Texto de Aviso 7" xfId="258"/>
    <cellStyle name="Texto de Aviso 8" xfId="300"/>
    <cellStyle name="Texto de Aviso 9" xfId="348"/>
    <cellStyle name="Texto Explicativo 10" xfId="387"/>
    <cellStyle name="Texto Explicativo 11" xfId="435"/>
    <cellStyle name="Texto Explicativo 12" xfId="475"/>
    <cellStyle name="Texto Explicativo 13" xfId="521"/>
    <cellStyle name="Texto Explicativo 14" xfId="564"/>
    <cellStyle name="Texto Explicativo 15" xfId="607"/>
    <cellStyle name="Texto Explicativo 16" xfId="645"/>
    <cellStyle name="Texto Explicativo 2" xfId="44"/>
    <cellStyle name="Texto Explicativo 3" xfId="87"/>
    <cellStyle name="Texto Explicativo 4" xfId="130"/>
    <cellStyle name="Texto Explicativo 5" xfId="173"/>
    <cellStyle name="Texto Explicativo 6" xfId="216"/>
    <cellStyle name="Texto Explicativo 7" xfId="259"/>
    <cellStyle name="Texto Explicativo 8" xfId="301"/>
    <cellStyle name="Texto Explicativo 9" xfId="349"/>
    <cellStyle name="Título 1 10" xfId="389"/>
    <cellStyle name="Título 1 11" xfId="437"/>
    <cellStyle name="Título 1 12" xfId="477"/>
    <cellStyle name="Título 1 13" xfId="523"/>
    <cellStyle name="Título 1 14" xfId="566"/>
    <cellStyle name="Título 1 15" xfId="609"/>
    <cellStyle name="Título 1 16" xfId="647"/>
    <cellStyle name="Título 1 2" xfId="46"/>
    <cellStyle name="Título 1 3" xfId="89"/>
    <cellStyle name="Título 1 4" xfId="132"/>
    <cellStyle name="Título 1 5" xfId="175"/>
    <cellStyle name="Título 1 6" xfId="218"/>
    <cellStyle name="Título 1 7" xfId="261"/>
    <cellStyle name="Título 1 8" xfId="303"/>
    <cellStyle name="Título 1 9" xfId="351"/>
    <cellStyle name="Título 10" xfId="260"/>
    <cellStyle name="Título 11" xfId="302"/>
    <cellStyle name="Título 12" xfId="350"/>
    <cellStyle name="Título 13" xfId="388"/>
    <cellStyle name="Título 14" xfId="436"/>
    <cellStyle name="Título 15" xfId="476"/>
    <cellStyle name="Título 16" xfId="522"/>
    <cellStyle name="Título 17" xfId="565"/>
    <cellStyle name="Título 18" xfId="608"/>
    <cellStyle name="Título 19" xfId="646"/>
    <cellStyle name="Título 2 10" xfId="390"/>
    <cellStyle name="Título 2 11" xfId="438"/>
    <cellStyle name="Título 2 12" xfId="478"/>
    <cellStyle name="Título 2 13" xfId="524"/>
    <cellStyle name="Título 2 14" xfId="567"/>
    <cellStyle name="Título 2 15" xfId="610"/>
    <cellStyle name="Título 2 16" xfId="648"/>
    <cellStyle name="Título 2 2" xfId="47"/>
    <cellStyle name="Título 2 3" xfId="90"/>
    <cellStyle name="Título 2 4" xfId="133"/>
    <cellStyle name="Título 2 5" xfId="176"/>
    <cellStyle name="Título 2 6" xfId="219"/>
    <cellStyle name="Título 2 7" xfId="262"/>
    <cellStyle name="Título 2 8" xfId="304"/>
    <cellStyle name="Título 2 9" xfId="352"/>
    <cellStyle name="Título 3 10" xfId="391"/>
    <cellStyle name="Título 3 11" xfId="439"/>
    <cellStyle name="Título 3 12" xfId="479"/>
    <cellStyle name="Título 3 13" xfId="525"/>
    <cellStyle name="Título 3 14" xfId="568"/>
    <cellStyle name="Título 3 15" xfId="611"/>
    <cellStyle name="Título 3 16" xfId="649"/>
    <cellStyle name="Título 3 2" xfId="48"/>
    <cellStyle name="Título 3 3" xfId="91"/>
    <cellStyle name="Título 3 4" xfId="134"/>
    <cellStyle name="Título 3 5" xfId="177"/>
    <cellStyle name="Título 3 6" xfId="220"/>
    <cellStyle name="Título 3 7" xfId="263"/>
    <cellStyle name="Título 3 8" xfId="305"/>
    <cellStyle name="Título 3 9" xfId="353"/>
    <cellStyle name="Título 4 10" xfId="392"/>
    <cellStyle name="Título 4 11" xfId="440"/>
    <cellStyle name="Título 4 12" xfId="480"/>
    <cellStyle name="Título 4 13" xfId="526"/>
    <cellStyle name="Título 4 14" xfId="569"/>
    <cellStyle name="Título 4 15" xfId="612"/>
    <cellStyle name="Título 4 16" xfId="650"/>
    <cellStyle name="Título 4 2" xfId="49"/>
    <cellStyle name="Título 4 3" xfId="92"/>
    <cellStyle name="Título 4 4" xfId="135"/>
    <cellStyle name="Título 4 5" xfId="178"/>
    <cellStyle name="Título 4 6" xfId="221"/>
    <cellStyle name="Título 4 7" xfId="264"/>
    <cellStyle name="Título 4 8" xfId="306"/>
    <cellStyle name="Título 4 9" xfId="354"/>
    <cellStyle name="Título 5" xfId="45"/>
    <cellStyle name="Título 6" xfId="88"/>
    <cellStyle name="Título 7" xfId="131"/>
    <cellStyle name="Título 8" xfId="174"/>
    <cellStyle name="Título 9" xfId="217"/>
    <cellStyle name="Total 10" xfId="393"/>
    <cellStyle name="Total 11" xfId="441"/>
    <cellStyle name="Total 12" xfId="481"/>
    <cellStyle name="Total 13" xfId="527"/>
    <cellStyle name="Total 14" xfId="570"/>
    <cellStyle name="Total 15" xfId="613"/>
    <cellStyle name="Total 16" xfId="651"/>
    <cellStyle name="Total 2" xfId="50"/>
    <cellStyle name="Total 3" xfId="93"/>
    <cellStyle name="Total 4" xfId="136"/>
    <cellStyle name="Total 5" xfId="179"/>
    <cellStyle name="Total 6" xfId="222"/>
    <cellStyle name="Total 7" xfId="265"/>
    <cellStyle name="Total 8" xfId="307"/>
    <cellStyle name="Total 9" xfId="355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9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17"/>
  <sheetViews>
    <sheetView view="pageBreakPreview" topLeftCell="A6" zoomScale="90" zoomScaleSheetLayoutView="90" workbookViewId="0">
      <selection activeCell="T16" sqref="T16"/>
    </sheetView>
  </sheetViews>
  <sheetFormatPr defaultRowHeight="15"/>
  <cols>
    <col min="1" max="1" width="3.42578125" customWidth="1"/>
    <col min="2" max="2" width="14.5703125" bestFit="1" customWidth="1"/>
    <col min="3" max="3" width="11" customWidth="1"/>
    <col min="4" max="4" width="5.140625" customWidth="1"/>
    <col min="5" max="5" width="8" bestFit="1" customWidth="1"/>
    <col min="6" max="6" width="5.85546875" customWidth="1"/>
    <col min="7" max="7" width="13.5703125" customWidth="1"/>
    <col min="8" max="8" width="4.28515625" customWidth="1"/>
    <col min="9" max="9" width="4.42578125" customWidth="1"/>
    <col min="10" max="10" width="5.7109375" customWidth="1"/>
    <col min="11" max="11" width="12.85546875" bestFit="1" customWidth="1"/>
    <col min="12" max="12" width="4.140625" customWidth="1"/>
    <col min="13" max="13" width="4.5703125" customWidth="1"/>
    <col min="14" max="14" width="11.140625" bestFit="1" customWidth="1"/>
    <col min="15" max="15" width="15.42578125" customWidth="1"/>
  </cols>
  <sheetData>
    <row r="1" spans="1:15" ht="29.25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42.75" customHeight="1">
      <c r="A2" s="139" t="s">
        <v>212</v>
      </c>
      <c r="B2" s="140"/>
      <c r="C2" s="140"/>
      <c r="D2" s="140"/>
      <c r="E2" s="140"/>
      <c r="F2" s="140"/>
      <c r="G2" s="141"/>
      <c r="H2" s="145" t="s">
        <v>213</v>
      </c>
      <c r="I2" s="146"/>
      <c r="J2" s="146"/>
      <c r="K2" s="146"/>
      <c r="L2" s="146"/>
      <c r="M2" s="147"/>
      <c r="N2" s="148" t="s">
        <v>40</v>
      </c>
      <c r="O2" s="149"/>
    </row>
    <row r="3" spans="1:15" ht="46.5" customHeight="1">
      <c r="A3" s="139" t="s">
        <v>214</v>
      </c>
      <c r="B3" s="140"/>
      <c r="C3" s="140"/>
      <c r="D3" s="140"/>
      <c r="E3" s="140"/>
      <c r="F3" s="140"/>
      <c r="G3" s="141"/>
      <c r="H3" s="152" t="s">
        <v>1</v>
      </c>
      <c r="I3" s="153"/>
      <c r="J3" s="150" t="s">
        <v>215</v>
      </c>
      <c r="K3" s="151"/>
      <c r="L3" s="150" t="s">
        <v>41</v>
      </c>
      <c r="M3" s="151"/>
      <c r="N3" s="150" t="s">
        <v>42</v>
      </c>
      <c r="O3" s="151"/>
    </row>
    <row r="4" spans="1:15" ht="35.1" customHeight="1">
      <c r="A4" s="142" t="s">
        <v>217</v>
      </c>
      <c r="B4" s="143"/>
      <c r="C4" s="143"/>
      <c r="D4" s="143"/>
      <c r="E4" s="143"/>
      <c r="F4" s="143"/>
      <c r="G4" s="144"/>
      <c r="H4" s="142" t="s">
        <v>216</v>
      </c>
      <c r="I4" s="143"/>
      <c r="J4" s="143"/>
      <c r="K4" s="144"/>
      <c r="L4" s="142" t="s">
        <v>43</v>
      </c>
      <c r="M4" s="143"/>
      <c r="N4" s="143"/>
      <c r="O4" s="144"/>
    </row>
    <row r="5" spans="1:15" ht="4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5" ht="25.5" customHeight="1">
      <c r="A6" s="154" t="s">
        <v>4</v>
      </c>
      <c r="B6" s="155" t="s">
        <v>5</v>
      </c>
      <c r="C6" s="164" t="s">
        <v>7</v>
      </c>
      <c r="D6" s="155" t="s">
        <v>4</v>
      </c>
      <c r="E6" s="155" t="s">
        <v>38</v>
      </c>
      <c r="F6" s="155" t="s">
        <v>39</v>
      </c>
      <c r="G6" s="165" t="s">
        <v>2</v>
      </c>
      <c r="H6" s="136" t="s">
        <v>29</v>
      </c>
      <c r="I6" s="136"/>
      <c r="J6" s="166" t="s">
        <v>33</v>
      </c>
      <c r="K6" s="166"/>
      <c r="L6" s="166"/>
      <c r="M6" s="166"/>
      <c r="N6" s="166"/>
      <c r="O6" s="166"/>
    </row>
    <row r="7" spans="1:15" ht="15" customHeight="1">
      <c r="A7" s="154"/>
      <c r="B7" s="155"/>
      <c r="C7" s="164"/>
      <c r="D7" s="155"/>
      <c r="E7" s="155"/>
      <c r="F7" s="155"/>
      <c r="G7" s="165"/>
      <c r="H7" s="5" t="s">
        <v>30</v>
      </c>
      <c r="I7" s="6" t="s">
        <v>32</v>
      </c>
      <c r="J7" s="166"/>
      <c r="K7" s="166"/>
      <c r="L7" s="166"/>
      <c r="M7" s="166"/>
      <c r="N7" s="166"/>
      <c r="O7" s="166"/>
    </row>
    <row r="8" spans="1:15" ht="45" customHeight="1">
      <c r="A8" s="158">
        <v>1</v>
      </c>
      <c r="B8" s="161" t="s">
        <v>6</v>
      </c>
      <c r="C8" s="7" t="s">
        <v>218</v>
      </c>
      <c r="D8" s="8" t="s">
        <v>14</v>
      </c>
      <c r="E8" s="9">
        <v>44</v>
      </c>
      <c r="F8" s="3">
        <v>1</v>
      </c>
      <c r="G8" s="13" t="s">
        <v>49</v>
      </c>
      <c r="H8" s="10" t="s">
        <v>31</v>
      </c>
      <c r="I8" s="11" t="s">
        <v>31</v>
      </c>
      <c r="J8" s="156" t="s">
        <v>50</v>
      </c>
      <c r="K8" s="156"/>
      <c r="L8" s="156"/>
      <c r="M8" s="156"/>
      <c r="N8" s="156"/>
      <c r="O8" s="156"/>
    </row>
    <row r="9" spans="1:15" ht="45" customHeight="1">
      <c r="A9" s="159"/>
      <c r="B9" s="162"/>
      <c r="C9" s="7" t="s">
        <v>8</v>
      </c>
      <c r="D9" s="8" t="s">
        <v>15</v>
      </c>
      <c r="E9" s="9">
        <v>44</v>
      </c>
      <c r="F9" s="3">
        <v>4</v>
      </c>
      <c r="G9" s="13" t="s">
        <v>25</v>
      </c>
      <c r="H9" s="10" t="s">
        <v>31</v>
      </c>
      <c r="I9" s="11" t="s">
        <v>31</v>
      </c>
      <c r="J9" s="156" t="s">
        <v>34</v>
      </c>
      <c r="K9" s="156"/>
      <c r="L9" s="156"/>
      <c r="M9" s="156"/>
      <c r="N9" s="156"/>
      <c r="O9" s="156"/>
    </row>
    <row r="10" spans="1:15" ht="45" customHeight="1">
      <c r="A10" s="159"/>
      <c r="B10" s="162"/>
      <c r="C10" s="7"/>
      <c r="D10" s="8" t="s">
        <v>16</v>
      </c>
      <c r="E10" s="9"/>
      <c r="F10" s="3"/>
      <c r="G10" s="4"/>
      <c r="H10" s="10"/>
      <c r="I10" s="11"/>
      <c r="J10" s="167"/>
      <c r="K10" s="167"/>
      <c r="L10" s="167"/>
      <c r="M10" s="167"/>
      <c r="N10" s="167"/>
      <c r="O10" s="167"/>
    </row>
    <row r="11" spans="1:15" ht="45" customHeight="1">
      <c r="A11" s="159"/>
      <c r="B11" s="162"/>
      <c r="C11" s="7"/>
      <c r="D11" s="8" t="s">
        <v>17</v>
      </c>
      <c r="E11" s="9"/>
      <c r="F11" s="3"/>
      <c r="G11" s="4"/>
      <c r="H11" s="10"/>
      <c r="I11" s="11"/>
      <c r="J11" s="156"/>
      <c r="K11" s="156"/>
      <c r="L11" s="156"/>
      <c r="M11" s="156"/>
      <c r="N11" s="156"/>
      <c r="O11" s="156"/>
    </row>
    <row r="12" spans="1:15" ht="45" customHeight="1">
      <c r="A12" s="160"/>
      <c r="B12" s="163"/>
      <c r="C12" s="7"/>
      <c r="D12" s="8" t="s">
        <v>18</v>
      </c>
      <c r="E12" s="9"/>
      <c r="F12" s="3"/>
      <c r="G12" s="4"/>
      <c r="H12" s="10"/>
      <c r="I12" s="11"/>
      <c r="J12" s="156"/>
      <c r="K12" s="156"/>
      <c r="L12" s="156"/>
      <c r="M12" s="156"/>
      <c r="N12" s="156"/>
      <c r="O12" s="156"/>
    </row>
    <row r="13" spans="1:15" ht="45" customHeight="1">
      <c r="A13" s="158">
        <v>2</v>
      </c>
      <c r="B13" s="161" t="s">
        <v>6</v>
      </c>
      <c r="C13" s="7" t="s">
        <v>9</v>
      </c>
      <c r="D13" s="8" t="s">
        <v>19</v>
      </c>
      <c r="E13" s="9" t="s">
        <v>24</v>
      </c>
      <c r="F13" s="3">
        <v>14</v>
      </c>
      <c r="G13" s="12" t="s">
        <v>26</v>
      </c>
      <c r="H13" s="10" t="s">
        <v>31</v>
      </c>
      <c r="I13" s="11" t="s">
        <v>31</v>
      </c>
      <c r="J13" s="156" t="s">
        <v>35</v>
      </c>
      <c r="K13" s="156"/>
      <c r="L13" s="156"/>
      <c r="M13" s="156"/>
      <c r="N13" s="156"/>
      <c r="O13" s="156"/>
    </row>
    <row r="14" spans="1:15" ht="45" customHeight="1">
      <c r="A14" s="159"/>
      <c r="B14" s="162"/>
      <c r="C14" s="7" t="s">
        <v>10</v>
      </c>
      <c r="D14" s="8" t="s">
        <v>20</v>
      </c>
      <c r="E14" s="9" t="s">
        <v>24</v>
      </c>
      <c r="F14" s="3">
        <v>14</v>
      </c>
      <c r="G14" s="12" t="s">
        <v>26</v>
      </c>
      <c r="H14" s="10" t="s">
        <v>31</v>
      </c>
      <c r="I14" s="11" t="s">
        <v>31</v>
      </c>
      <c r="J14" s="156" t="s">
        <v>36</v>
      </c>
      <c r="K14" s="157"/>
      <c r="L14" s="157"/>
      <c r="M14" s="157"/>
      <c r="N14" s="157"/>
      <c r="O14" s="157"/>
    </row>
    <row r="15" spans="1:15" ht="45" customHeight="1">
      <c r="A15" s="159"/>
      <c r="B15" s="162"/>
      <c r="C15" s="7" t="s">
        <v>11</v>
      </c>
      <c r="D15" s="8" t="s">
        <v>21</v>
      </c>
      <c r="E15" s="9" t="s">
        <v>24</v>
      </c>
      <c r="F15" s="3">
        <v>10</v>
      </c>
      <c r="G15" s="12" t="s">
        <v>27</v>
      </c>
      <c r="H15" s="10" t="s">
        <v>31</v>
      </c>
      <c r="I15" s="11" t="s">
        <v>31</v>
      </c>
      <c r="J15" s="156" t="s">
        <v>35</v>
      </c>
      <c r="K15" s="157"/>
      <c r="L15" s="157"/>
      <c r="M15" s="157"/>
      <c r="N15" s="157"/>
      <c r="O15" s="157"/>
    </row>
    <row r="16" spans="1:15" ht="45" customHeight="1">
      <c r="A16" s="159"/>
      <c r="B16" s="162"/>
      <c r="C16" s="7" t="s">
        <v>12</v>
      </c>
      <c r="D16" s="8" t="s">
        <v>22</v>
      </c>
      <c r="E16" s="9" t="s">
        <v>24</v>
      </c>
      <c r="F16" s="3">
        <v>10</v>
      </c>
      <c r="G16" s="12" t="s">
        <v>27</v>
      </c>
      <c r="H16" s="10" t="s">
        <v>31</v>
      </c>
      <c r="I16" s="11" t="s">
        <v>31</v>
      </c>
      <c r="J16" s="156" t="s">
        <v>36</v>
      </c>
      <c r="K16" s="157"/>
      <c r="L16" s="157"/>
      <c r="M16" s="157"/>
      <c r="N16" s="157"/>
      <c r="O16" s="157"/>
    </row>
    <row r="17" spans="1:15" ht="65.25" customHeight="1">
      <c r="A17" s="160"/>
      <c r="B17" s="163"/>
      <c r="C17" s="7" t="s">
        <v>13</v>
      </c>
      <c r="D17" s="8" t="s">
        <v>23</v>
      </c>
      <c r="E17" s="9" t="s">
        <v>24</v>
      </c>
      <c r="F17" s="3">
        <v>2</v>
      </c>
      <c r="G17" s="12" t="s">
        <v>28</v>
      </c>
      <c r="H17" s="10" t="s">
        <v>31</v>
      </c>
      <c r="I17" s="11" t="s">
        <v>31</v>
      </c>
      <c r="J17" s="156" t="s">
        <v>37</v>
      </c>
      <c r="K17" s="157"/>
      <c r="L17" s="157"/>
      <c r="M17" s="157"/>
      <c r="N17" s="157"/>
      <c r="O17" s="157"/>
    </row>
  </sheetData>
  <mergeCells count="36">
    <mergeCell ref="J6:O7"/>
    <mergeCell ref="J9:O9"/>
    <mergeCell ref="J11:O11"/>
    <mergeCell ref="J10:O10"/>
    <mergeCell ref="J8:O8"/>
    <mergeCell ref="C6:C7"/>
    <mergeCell ref="D6:D7"/>
    <mergeCell ref="E6:E7"/>
    <mergeCell ref="F6:F7"/>
    <mergeCell ref="G6:G7"/>
    <mergeCell ref="J15:O15"/>
    <mergeCell ref="A8:A12"/>
    <mergeCell ref="B13:B17"/>
    <mergeCell ref="A13:A17"/>
    <mergeCell ref="J16:O16"/>
    <mergeCell ref="J12:O12"/>
    <mergeCell ref="B8:B12"/>
    <mergeCell ref="J17:O17"/>
    <mergeCell ref="J13:O13"/>
    <mergeCell ref="J14:O14"/>
    <mergeCell ref="H6:I6"/>
    <mergeCell ref="A1:O1"/>
    <mergeCell ref="A5:O5"/>
    <mergeCell ref="A2:G2"/>
    <mergeCell ref="A4:G4"/>
    <mergeCell ref="H2:M2"/>
    <mergeCell ref="N2:O2"/>
    <mergeCell ref="A3:G3"/>
    <mergeCell ref="J3:K3"/>
    <mergeCell ref="L3:M3"/>
    <mergeCell ref="N3:O3"/>
    <mergeCell ref="H4:K4"/>
    <mergeCell ref="L4:O4"/>
    <mergeCell ref="H3:I3"/>
    <mergeCell ref="A6:A7"/>
    <mergeCell ref="B6:B7"/>
  </mergeCells>
  <pageMargins left="0.51181102362204722" right="0.51181102362204722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37"/>
  <sheetViews>
    <sheetView view="pageBreakPreview" topLeftCell="A20" zoomScale="90" zoomScaleNormal="80" zoomScaleSheetLayoutView="90" workbookViewId="0">
      <selection sqref="A1:J37"/>
    </sheetView>
  </sheetViews>
  <sheetFormatPr defaultRowHeight="14.25"/>
  <cols>
    <col min="1" max="1" width="18.28515625" style="1" customWidth="1"/>
    <col min="2" max="2" width="12" style="1" bestFit="1" customWidth="1"/>
    <col min="3" max="3" width="13.85546875" style="76" bestFit="1" customWidth="1"/>
    <col min="4" max="4" width="15" style="76" bestFit="1" customWidth="1"/>
    <col min="5" max="5" width="10.42578125" style="76" customWidth="1"/>
    <col min="6" max="6" width="15" style="76" customWidth="1"/>
    <col min="7" max="7" width="18" style="76" bestFit="1" customWidth="1"/>
    <col min="8" max="9" width="15" style="76" bestFit="1" customWidth="1"/>
    <col min="10" max="10" width="23.5703125" style="76" bestFit="1" customWidth="1"/>
    <col min="11" max="16384" width="9.140625" style="1"/>
  </cols>
  <sheetData>
    <row r="1" spans="1:10" ht="29.25" customHeight="1">
      <c r="A1" s="172" t="s">
        <v>44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5">
      <c r="A2" s="173" t="s">
        <v>4</v>
      </c>
      <c r="B2" s="173"/>
      <c r="C2" s="74" t="s">
        <v>14</v>
      </c>
      <c r="D2" s="74" t="s">
        <v>15</v>
      </c>
      <c r="E2" s="74"/>
      <c r="F2" s="74" t="s">
        <v>19</v>
      </c>
      <c r="G2" s="74" t="s">
        <v>20</v>
      </c>
      <c r="H2" s="74" t="s">
        <v>21</v>
      </c>
      <c r="I2" s="74" t="s">
        <v>22</v>
      </c>
      <c r="J2" s="74" t="s">
        <v>23</v>
      </c>
    </row>
    <row r="3" spans="1:10" ht="35.1" customHeight="1">
      <c r="A3" s="177" t="s">
        <v>51</v>
      </c>
      <c r="B3" s="73" t="s">
        <v>52</v>
      </c>
      <c r="C3" s="75">
        <v>1100.29</v>
      </c>
      <c r="D3" s="75">
        <v>1100.29</v>
      </c>
      <c r="E3" s="75"/>
      <c r="F3" s="75">
        <v>1100.29</v>
      </c>
      <c r="G3" s="75">
        <v>1100.29</v>
      </c>
      <c r="H3" s="75">
        <v>1100.29</v>
      </c>
      <c r="I3" s="75">
        <v>1100.29</v>
      </c>
      <c r="J3" s="75">
        <v>1100.29</v>
      </c>
    </row>
    <row r="4" spans="1:10" ht="35.1" customHeight="1">
      <c r="A4" s="177"/>
      <c r="B4" s="73" t="s">
        <v>45</v>
      </c>
      <c r="C4" s="75">
        <f>SUM(C3)</f>
        <v>1100.29</v>
      </c>
      <c r="D4" s="75">
        <f>D3</f>
        <v>1100.29</v>
      </c>
      <c r="E4" s="75"/>
      <c r="F4" s="75">
        <f t="shared" ref="F4:J4" si="0">SUM(F3)</f>
        <v>1100.29</v>
      </c>
      <c r="G4" s="75">
        <f t="shared" si="0"/>
        <v>1100.29</v>
      </c>
      <c r="H4" s="75">
        <f t="shared" si="0"/>
        <v>1100.29</v>
      </c>
      <c r="I4" s="75">
        <f t="shared" si="0"/>
        <v>1100.29</v>
      </c>
      <c r="J4" s="75">
        <f t="shared" si="0"/>
        <v>1100.29</v>
      </c>
    </row>
    <row r="5" spans="1:10" ht="35.1" customHeight="1">
      <c r="A5" s="177" t="s">
        <v>53</v>
      </c>
      <c r="B5" s="78" t="s">
        <v>234</v>
      </c>
      <c r="C5" s="75">
        <v>199.6</v>
      </c>
      <c r="D5" s="75">
        <v>199.6</v>
      </c>
      <c r="E5" s="75"/>
      <c r="F5" s="75">
        <v>199.6</v>
      </c>
      <c r="G5" s="75">
        <v>199.6</v>
      </c>
      <c r="H5" s="75">
        <v>199.6</v>
      </c>
      <c r="I5" s="75">
        <v>199.6</v>
      </c>
      <c r="J5" s="75">
        <v>199.6</v>
      </c>
    </row>
    <row r="6" spans="1:10" ht="35.1" customHeight="1">
      <c r="A6" s="177"/>
      <c r="B6" s="78" t="s">
        <v>235</v>
      </c>
      <c r="C6" s="75">
        <v>42.4</v>
      </c>
      <c r="D6" s="75">
        <v>42.4</v>
      </c>
      <c r="E6" s="75"/>
      <c r="F6" s="75">
        <v>42.4</v>
      </c>
      <c r="G6" s="75">
        <v>42.4</v>
      </c>
      <c r="H6" s="75">
        <v>42.4</v>
      </c>
      <c r="I6" s="75">
        <v>42.4</v>
      </c>
      <c r="J6" s="75">
        <v>42.4</v>
      </c>
    </row>
    <row r="7" spans="1:10" ht="35.1" customHeight="1">
      <c r="A7" s="177"/>
      <c r="B7" s="78" t="s">
        <v>236</v>
      </c>
      <c r="C7" s="75">
        <f>C4*50%</f>
        <v>550.14499999999998</v>
      </c>
      <c r="D7" s="75">
        <v>0</v>
      </c>
      <c r="E7" s="75"/>
      <c r="F7" s="75">
        <v>0</v>
      </c>
      <c r="G7" s="75">
        <v>0</v>
      </c>
      <c r="H7" s="75">
        <v>0</v>
      </c>
      <c r="I7" s="75">
        <v>0</v>
      </c>
      <c r="J7" s="75">
        <v>0</v>
      </c>
    </row>
    <row r="8" spans="1:10" ht="35.1" customHeight="1">
      <c r="A8" s="177"/>
      <c r="B8" s="73" t="s">
        <v>45</v>
      </c>
      <c r="C8" s="75">
        <f>SUM(C5:C7)</f>
        <v>792.14499999999998</v>
      </c>
      <c r="D8" s="75">
        <f>SUM(D5:D7)</f>
        <v>242</v>
      </c>
      <c r="E8" s="75"/>
      <c r="F8" s="75">
        <f t="shared" ref="F8:J8" si="1">SUM(F5:F7)</f>
        <v>242</v>
      </c>
      <c r="G8" s="75">
        <f t="shared" si="1"/>
        <v>242</v>
      </c>
      <c r="H8" s="75">
        <f t="shared" si="1"/>
        <v>242</v>
      </c>
      <c r="I8" s="75">
        <f t="shared" si="1"/>
        <v>242</v>
      </c>
      <c r="J8" s="75">
        <f t="shared" si="1"/>
        <v>242</v>
      </c>
    </row>
    <row r="9" spans="1:10" ht="28.5">
      <c r="A9" s="82" t="s">
        <v>54</v>
      </c>
      <c r="B9" s="73"/>
      <c r="C9" s="75"/>
      <c r="D9" s="75"/>
      <c r="E9" s="75"/>
      <c r="F9" s="75"/>
      <c r="G9" s="75"/>
      <c r="H9" s="75"/>
      <c r="I9" s="75"/>
      <c r="J9" s="75"/>
    </row>
    <row r="10" spans="1:10" ht="28.5">
      <c r="A10" s="82" t="s">
        <v>55</v>
      </c>
      <c r="B10" s="73"/>
      <c r="C10" s="75"/>
      <c r="D10" s="75"/>
      <c r="E10" s="75"/>
      <c r="F10" s="75"/>
      <c r="G10" s="75"/>
      <c r="H10" s="75"/>
      <c r="I10" s="75"/>
      <c r="J10" s="75"/>
    </row>
    <row r="11" spans="1:10" ht="28.5">
      <c r="A11" s="82" t="s">
        <v>56</v>
      </c>
      <c r="B11" s="73"/>
      <c r="C11" s="75"/>
      <c r="D11" s="75"/>
      <c r="E11" s="75"/>
      <c r="F11" s="75"/>
      <c r="G11" s="75"/>
      <c r="H11" s="75"/>
      <c r="I11" s="75"/>
      <c r="J11" s="75"/>
    </row>
    <row r="12" spans="1:10" ht="42.75">
      <c r="A12" s="82" t="s">
        <v>57</v>
      </c>
      <c r="B12" s="73"/>
      <c r="C12" s="75"/>
      <c r="D12" s="75"/>
      <c r="E12" s="75"/>
      <c r="F12" s="75"/>
      <c r="G12" s="75"/>
      <c r="H12" s="75"/>
      <c r="I12" s="75"/>
      <c r="J12" s="75"/>
    </row>
    <row r="13" spans="1:10" ht="15" customHeight="1">
      <c r="A13" s="174" t="s">
        <v>58</v>
      </c>
      <c r="B13" s="183"/>
      <c r="C13" s="83">
        <v>0.4</v>
      </c>
      <c r="D13" s="84"/>
      <c r="E13" s="84"/>
      <c r="F13" s="83">
        <v>0.4</v>
      </c>
      <c r="G13" s="83">
        <v>0.4</v>
      </c>
      <c r="H13" s="83">
        <v>0.2</v>
      </c>
      <c r="I13" s="83">
        <v>0.2</v>
      </c>
      <c r="J13" s="83">
        <v>0.1</v>
      </c>
    </row>
    <row r="14" spans="1:10">
      <c r="A14" s="176"/>
      <c r="B14" s="184"/>
      <c r="C14" s="75">
        <f>998*C13</f>
        <v>399.20000000000005</v>
      </c>
      <c r="D14" s="75"/>
      <c r="E14" s="75"/>
      <c r="F14" s="75">
        <f t="shared" ref="F14:J14" si="2">998*F13</f>
        <v>399.20000000000005</v>
      </c>
      <c r="G14" s="75">
        <f t="shared" si="2"/>
        <v>399.20000000000005</v>
      </c>
      <c r="H14" s="75">
        <f t="shared" si="2"/>
        <v>199.60000000000002</v>
      </c>
      <c r="I14" s="75">
        <f t="shared" si="2"/>
        <v>199.60000000000002</v>
      </c>
      <c r="J14" s="75">
        <f t="shared" si="2"/>
        <v>99.800000000000011</v>
      </c>
    </row>
    <row r="15" spans="1:10" ht="35.1" customHeight="1">
      <c r="A15" s="177" t="s">
        <v>239</v>
      </c>
      <c r="B15" s="73" t="s">
        <v>59</v>
      </c>
      <c r="C15" s="75"/>
      <c r="D15" s="75"/>
      <c r="E15" s="75"/>
      <c r="F15" s="75"/>
      <c r="G15" s="77"/>
      <c r="H15" s="75"/>
      <c r="I15" s="77"/>
      <c r="J15" s="75"/>
    </row>
    <row r="16" spans="1:10" ht="35.1" customHeight="1">
      <c r="A16" s="177"/>
      <c r="B16" s="73" t="s">
        <v>60</v>
      </c>
      <c r="C16" s="75"/>
      <c r="D16" s="75"/>
      <c r="E16" s="75"/>
      <c r="F16" s="75"/>
      <c r="G16" s="64">
        <v>15</v>
      </c>
      <c r="H16" s="75"/>
      <c r="I16" s="64">
        <v>15</v>
      </c>
      <c r="J16" s="75"/>
    </row>
    <row r="17" spans="1:10" ht="35.1" customHeight="1">
      <c r="A17" s="177"/>
      <c r="B17" s="73" t="s">
        <v>48</v>
      </c>
      <c r="C17" s="75"/>
      <c r="D17" s="75"/>
      <c r="E17" s="75"/>
      <c r="F17" s="75"/>
      <c r="G17" s="75">
        <v>220</v>
      </c>
      <c r="H17" s="75"/>
      <c r="I17" s="75">
        <v>220</v>
      </c>
      <c r="J17" s="75"/>
    </row>
    <row r="18" spans="1:10" ht="35.1" customHeight="1">
      <c r="A18" s="177" t="s">
        <v>61</v>
      </c>
      <c r="B18" s="73" t="s">
        <v>59</v>
      </c>
      <c r="C18" s="75"/>
      <c r="D18" s="75"/>
      <c r="E18" s="75"/>
      <c r="F18" s="75"/>
      <c r="G18" s="75"/>
      <c r="H18" s="75"/>
      <c r="I18" s="75"/>
      <c r="J18" s="75"/>
    </row>
    <row r="19" spans="1:10" ht="35.1" customHeight="1">
      <c r="A19" s="177"/>
      <c r="B19" s="73" t="s">
        <v>48</v>
      </c>
      <c r="C19" s="75"/>
      <c r="D19" s="75"/>
      <c r="E19" s="75"/>
      <c r="F19" s="75"/>
      <c r="G19" s="75"/>
      <c r="H19" s="75"/>
      <c r="I19" s="75"/>
      <c r="J19" s="75"/>
    </row>
    <row r="20" spans="1:10" ht="28.5">
      <c r="A20" s="82" t="s">
        <v>62</v>
      </c>
      <c r="B20" s="73"/>
      <c r="C20" s="75"/>
      <c r="D20" s="75"/>
      <c r="E20" s="75"/>
      <c r="F20" s="75"/>
      <c r="G20" s="75"/>
      <c r="H20" s="75"/>
      <c r="I20" s="75"/>
      <c r="J20" s="75"/>
    </row>
    <row r="21" spans="1:10" ht="28.5">
      <c r="A21" s="82" t="s">
        <v>46</v>
      </c>
      <c r="B21" s="114">
        <v>0.75800000000000001</v>
      </c>
      <c r="C21" s="75">
        <f>(C4+C8+C14)*B21</f>
        <v>1737.0593300000003</v>
      </c>
      <c r="D21" s="75">
        <f>D14+D8+D4</f>
        <v>1342.29</v>
      </c>
      <c r="E21" s="114">
        <v>0.75800000000000001</v>
      </c>
      <c r="F21" s="75">
        <f>(F14+F8+F4)*E21</f>
        <v>1320.0494200000001</v>
      </c>
      <c r="G21" s="75">
        <f>(G14+G8+G4+G17)*E21</f>
        <v>1486.80942</v>
      </c>
      <c r="H21" s="75">
        <f>(H14+H8+H4+H17)*E21</f>
        <v>1168.75262</v>
      </c>
      <c r="I21" s="75">
        <f>(I14+I8+I4+I17)*E21</f>
        <v>1335.51262</v>
      </c>
      <c r="J21" s="75">
        <f>(J14+J8+J4)*E21</f>
        <v>1093.1042199999999</v>
      </c>
    </row>
    <row r="22" spans="1:10" ht="35.1" customHeight="1">
      <c r="A22" s="177" t="s">
        <v>63</v>
      </c>
      <c r="B22" s="78" t="s">
        <v>219</v>
      </c>
      <c r="C22" s="178">
        <f>4.1*52-(C4*6%)</f>
        <v>147.18259999999998</v>
      </c>
      <c r="D22" s="178">
        <f>4.1*52-(D4*6%)</f>
        <v>147.18259999999998</v>
      </c>
      <c r="E22" s="78" t="s">
        <v>219</v>
      </c>
      <c r="F22" s="178">
        <f>4.1*32-(F4*6%)</f>
        <v>65.182599999999994</v>
      </c>
      <c r="G22" s="178">
        <f>4.1*32-(G4*6%)</f>
        <v>65.182599999999994</v>
      </c>
      <c r="H22" s="178">
        <f>4.1*32-(H4*6%)</f>
        <v>65.182599999999994</v>
      </c>
      <c r="I22" s="178">
        <f>4.1*32-(I4*6%)</f>
        <v>65.182599999999994</v>
      </c>
      <c r="J22" s="178">
        <f>4.1*32-(J4*6%)</f>
        <v>65.182599999999994</v>
      </c>
    </row>
    <row r="23" spans="1:10" ht="35.1" customHeight="1" thickBot="1">
      <c r="A23" s="174"/>
      <c r="B23" s="78" t="s">
        <v>220</v>
      </c>
      <c r="C23" s="179"/>
      <c r="D23" s="179"/>
      <c r="E23" s="78" t="s">
        <v>223</v>
      </c>
      <c r="F23" s="179"/>
      <c r="G23" s="179"/>
      <c r="H23" s="179"/>
      <c r="I23" s="179"/>
      <c r="J23" s="179"/>
    </row>
    <row r="24" spans="1:10" ht="35.1" customHeight="1">
      <c r="A24" s="115" t="s">
        <v>47</v>
      </c>
      <c r="B24" s="195"/>
      <c r="C24" s="188">
        <v>47</v>
      </c>
      <c r="D24" s="192">
        <v>47</v>
      </c>
      <c r="E24" s="75"/>
      <c r="F24" s="188">
        <v>47</v>
      </c>
      <c r="G24" s="188">
        <v>47</v>
      </c>
      <c r="H24" s="188">
        <v>47</v>
      </c>
      <c r="I24" s="188">
        <v>47</v>
      </c>
      <c r="J24" s="188">
        <v>47</v>
      </c>
    </row>
    <row r="25" spans="1:10" ht="28.5">
      <c r="A25" s="116" t="s">
        <v>64</v>
      </c>
      <c r="B25" s="196"/>
      <c r="C25" s="189"/>
      <c r="D25" s="193"/>
      <c r="E25" s="75"/>
      <c r="F25" s="189"/>
      <c r="G25" s="189"/>
      <c r="H25" s="189"/>
      <c r="I25" s="189"/>
      <c r="J25" s="189"/>
    </row>
    <row r="26" spans="1:10" ht="28.5">
      <c r="A26" s="120" t="s">
        <v>65</v>
      </c>
      <c r="B26" s="197"/>
      <c r="C26" s="190"/>
      <c r="D26" s="194"/>
      <c r="E26" s="75"/>
      <c r="F26" s="190"/>
      <c r="G26" s="190"/>
      <c r="H26" s="190"/>
      <c r="I26" s="190"/>
      <c r="J26" s="190"/>
    </row>
    <row r="27" spans="1:10" ht="39.75" customHeight="1">
      <c r="A27" s="101" t="s">
        <v>237</v>
      </c>
      <c r="B27" s="117"/>
      <c r="C27" s="118">
        <v>2</v>
      </c>
      <c r="D27" s="119">
        <v>2</v>
      </c>
      <c r="E27" s="75"/>
      <c r="F27" s="118">
        <v>2</v>
      </c>
      <c r="G27" s="118">
        <v>2</v>
      </c>
      <c r="H27" s="118">
        <v>2</v>
      </c>
      <c r="I27" s="118">
        <v>2</v>
      </c>
      <c r="J27" s="118">
        <v>2</v>
      </c>
    </row>
    <row r="28" spans="1:10" ht="51" customHeight="1">
      <c r="A28" s="100" t="s">
        <v>238</v>
      </c>
      <c r="B28" s="73"/>
      <c r="C28" s="75">
        <v>110</v>
      </c>
      <c r="D28" s="75">
        <v>110</v>
      </c>
      <c r="E28" s="75"/>
      <c r="F28" s="75">
        <v>110</v>
      </c>
      <c r="G28" s="75">
        <v>110</v>
      </c>
      <c r="H28" s="75">
        <v>110</v>
      </c>
      <c r="I28" s="75">
        <v>110</v>
      </c>
      <c r="J28" s="75">
        <v>110</v>
      </c>
    </row>
    <row r="29" spans="1:10" ht="35.1" customHeight="1">
      <c r="A29" s="82" t="s">
        <v>66</v>
      </c>
      <c r="B29" s="73"/>
      <c r="C29" s="75"/>
      <c r="D29" s="75"/>
      <c r="E29" s="75"/>
      <c r="F29" s="75"/>
      <c r="G29" s="75"/>
      <c r="H29" s="75"/>
      <c r="I29" s="75"/>
      <c r="J29" s="75"/>
    </row>
    <row r="30" spans="1:10" ht="35.1" customHeight="1">
      <c r="A30" s="82" t="s">
        <v>67</v>
      </c>
      <c r="B30" s="73"/>
      <c r="C30" s="75"/>
      <c r="D30" s="75"/>
      <c r="E30" s="75"/>
      <c r="F30" s="75"/>
      <c r="G30" s="75"/>
      <c r="H30" s="75"/>
      <c r="I30" s="75"/>
      <c r="J30" s="75"/>
    </row>
    <row r="31" spans="1:10" ht="35.1" customHeight="1">
      <c r="A31" s="174" t="s">
        <v>68</v>
      </c>
      <c r="B31" s="79" t="s">
        <v>221</v>
      </c>
      <c r="C31" s="180">
        <f>22*14-(14*22*5%)</f>
        <v>292.60000000000002</v>
      </c>
      <c r="D31" s="180">
        <f>22*14-(14*22*5%)</f>
        <v>292.60000000000002</v>
      </c>
      <c r="E31" s="79" t="s">
        <v>224</v>
      </c>
      <c r="F31" s="180">
        <f>15*14-(14*15*5%)</f>
        <v>199.5</v>
      </c>
      <c r="G31" s="180">
        <f t="shared" ref="G31:J31" si="3">15*14-(14*15*5%)</f>
        <v>199.5</v>
      </c>
      <c r="H31" s="180">
        <f t="shared" si="3"/>
        <v>199.5</v>
      </c>
      <c r="I31" s="180">
        <f t="shared" si="3"/>
        <v>199.5</v>
      </c>
      <c r="J31" s="180">
        <f t="shared" si="3"/>
        <v>199.5</v>
      </c>
    </row>
    <row r="32" spans="1:10" ht="35.1" customHeight="1">
      <c r="A32" s="175"/>
      <c r="B32" s="79" t="s">
        <v>222</v>
      </c>
      <c r="C32" s="181"/>
      <c r="D32" s="181"/>
      <c r="E32" s="79" t="s">
        <v>222</v>
      </c>
      <c r="F32" s="181"/>
      <c r="G32" s="181"/>
      <c r="H32" s="181"/>
      <c r="I32" s="181"/>
      <c r="J32" s="181"/>
    </row>
    <row r="33" spans="1:10" ht="35.1" customHeight="1">
      <c r="A33" s="175"/>
      <c r="B33" s="80">
        <v>0.05</v>
      </c>
      <c r="C33" s="182"/>
      <c r="D33" s="182"/>
      <c r="E33" s="80">
        <v>0.05</v>
      </c>
      <c r="F33" s="182"/>
      <c r="G33" s="182"/>
      <c r="H33" s="182"/>
      <c r="I33" s="182"/>
      <c r="J33" s="182"/>
    </row>
    <row r="34" spans="1:10" ht="35.1" customHeight="1">
      <c r="A34" s="176"/>
      <c r="B34" s="81" t="s">
        <v>208</v>
      </c>
      <c r="C34" s="75">
        <f>C4+C8+C14+C21+C22+C24+C25+C27+C28+C31</f>
        <v>4627.4769300000007</v>
      </c>
      <c r="D34" s="75">
        <f>(D4+D8+D14+D21+D22+D24+D25+D27+D28+D31)*4</f>
        <v>13133.4504</v>
      </c>
      <c r="E34" s="75"/>
      <c r="F34" s="75">
        <f>(F4+F8+F14+F21+F22+F24+F25+F27+F28+F31)*14</f>
        <v>48793.10828</v>
      </c>
      <c r="G34" s="75">
        <f>(G4+G8+G14+G21+G22+G24+G25+G27+G17+G28+G31)*14</f>
        <v>54207.748280000007</v>
      </c>
      <c r="H34" s="75">
        <f>(H4+H8+H14+H21+H22+H24+H25+H27+H17+H28+H31)*10</f>
        <v>31343.252199999995</v>
      </c>
      <c r="I34" s="75">
        <f>(I4+I8+I14+I21+I22+I24+I25+I27+I17+I28+I31)*10</f>
        <v>35210.852200000001</v>
      </c>
      <c r="J34" s="75">
        <f>(J4+J8+J14+J21+J22+J24+J25+J27+J17+J28+J31)*2</f>
        <v>5917.7536399999999</v>
      </c>
    </row>
    <row r="35" spans="1:10" ht="35.1" customHeight="1">
      <c r="A35" s="191" t="s">
        <v>209</v>
      </c>
      <c r="B35" s="191"/>
      <c r="C35" s="185">
        <f>SUM(C34:D34)</f>
        <v>17760.927329999999</v>
      </c>
      <c r="D35" s="187"/>
      <c r="E35" s="85"/>
      <c r="F35" s="185">
        <f>F34+G34+H34+I34+J34</f>
        <v>175472.71460000001</v>
      </c>
      <c r="G35" s="186"/>
      <c r="H35" s="186"/>
      <c r="I35" s="186"/>
      <c r="J35" s="187"/>
    </row>
    <row r="36" spans="1:10">
      <c r="A36" s="168" t="s">
        <v>98</v>
      </c>
      <c r="B36" s="169"/>
      <c r="C36" s="122"/>
      <c r="D36" s="123"/>
      <c r="E36" s="123"/>
      <c r="F36" s="123"/>
      <c r="G36" s="123"/>
      <c r="H36" s="123"/>
      <c r="I36" s="123"/>
      <c r="J36" s="124"/>
    </row>
    <row r="37" spans="1:10" ht="18.75" customHeight="1">
      <c r="A37" s="170"/>
      <c r="B37" s="171"/>
      <c r="C37" s="125"/>
      <c r="D37" s="126"/>
      <c r="E37" s="126"/>
      <c r="F37" s="126"/>
      <c r="G37" s="126"/>
      <c r="H37" s="126"/>
      <c r="I37" s="126"/>
      <c r="J37" s="127">
        <f>SUM(C35:J35)</f>
        <v>193233.64193000001</v>
      </c>
    </row>
  </sheetData>
  <mergeCells count="36">
    <mergeCell ref="A35:B35"/>
    <mergeCell ref="C24:C26"/>
    <mergeCell ref="D24:D26"/>
    <mergeCell ref="B24:B26"/>
    <mergeCell ref="C35:D35"/>
    <mergeCell ref="F22:F23"/>
    <mergeCell ref="G22:G23"/>
    <mergeCell ref="F35:J35"/>
    <mergeCell ref="J31:J33"/>
    <mergeCell ref="H22:H23"/>
    <mergeCell ref="I22:I23"/>
    <mergeCell ref="F31:F33"/>
    <mergeCell ref="G31:G33"/>
    <mergeCell ref="H31:H33"/>
    <mergeCell ref="I31:I33"/>
    <mergeCell ref="F24:F26"/>
    <mergeCell ref="G24:G26"/>
    <mergeCell ref="H24:H26"/>
    <mergeCell ref="I24:I26"/>
    <mergeCell ref="J24:J26"/>
    <mergeCell ref="A36:B37"/>
    <mergeCell ref="A1:J1"/>
    <mergeCell ref="A2:B2"/>
    <mergeCell ref="A31:A34"/>
    <mergeCell ref="A3:A4"/>
    <mergeCell ref="A5:A8"/>
    <mergeCell ref="A15:A17"/>
    <mergeCell ref="A18:A19"/>
    <mergeCell ref="A22:A23"/>
    <mergeCell ref="C22:C23"/>
    <mergeCell ref="C31:C33"/>
    <mergeCell ref="D22:D23"/>
    <mergeCell ref="D31:D33"/>
    <mergeCell ref="J22:J23"/>
    <mergeCell ref="A13:A14"/>
    <mergeCell ref="B13:B14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2"/>
  <sheetViews>
    <sheetView tabSelected="1" view="pageBreakPreview" topLeftCell="A16" zoomScale="80" zoomScaleNormal="140" zoomScaleSheetLayoutView="80" workbookViewId="0">
      <selection activeCell="P29" sqref="P29"/>
    </sheetView>
  </sheetViews>
  <sheetFormatPr defaultRowHeight="15"/>
  <cols>
    <col min="1" max="1" width="20.140625" customWidth="1"/>
    <col min="2" max="2" width="11" bestFit="1" customWidth="1"/>
    <col min="3" max="3" width="6.42578125" customWidth="1"/>
    <col min="4" max="4" width="15.42578125" customWidth="1"/>
    <col min="5" max="5" width="18.85546875" customWidth="1"/>
    <col min="6" max="6" width="11" bestFit="1" customWidth="1"/>
    <col min="7" max="7" width="6" customWidth="1"/>
    <col min="8" max="8" width="17.42578125" customWidth="1"/>
  </cols>
  <sheetData>
    <row r="1" spans="1:8" ht="33.75" customHeight="1">
      <c r="A1" s="198" t="s">
        <v>80</v>
      </c>
      <c r="B1" s="198"/>
      <c r="C1" s="198"/>
      <c r="D1" s="198"/>
      <c r="E1" s="198"/>
      <c r="F1" s="198"/>
      <c r="G1" s="198"/>
      <c r="H1" s="198"/>
    </row>
    <row r="2" spans="1:8" ht="26.25" customHeight="1">
      <c r="A2" s="198" t="s">
        <v>69</v>
      </c>
      <c r="B2" s="198"/>
      <c r="C2" s="198"/>
      <c r="D2" s="198"/>
      <c r="E2" s="198"/>
      <c r="F2" s="198"/>
      <c r="G2" s="198"/>
      <c r="H2" s="198"/>
    </row>
    <row r="3" spans="1:8" ht="23.25" customHeight="1">
      <c r="A3" s="198" t="s">
        <v>70</v>
      </c>
      <c r="B3" s="198"/>
      <c r="C3" s="198"/>
      <c r="D3" s="198"/>
      <c r="E3" s="198"/>
      <c r="F3" s="198"/>
      <c r="G3" s="198"/>
      <c r="H3" s="198"/>
    </row>
    <row r="4" spans="1:8" ht="21.75" customHeight="1">
      <c r="A4" s="198" t="s">
        <v>71</v>
      </c>
      <c r="B4" s="198"/>
      <c r="C4" s="198"/>
      <c r="D4" s="198"/>
      <c r="E4" s="198" t="s">
        <v>72</v>
      </c>
      <c r="F4" s="198"/>
      <c r="G4" s="198"/>
      <c r="H4" s="198"/>
    </row>
    <row r="5" spans="1:8" ht="39.75" customHeight="1">
      <c r="A5" s="23" t="s">
        <v>73</v>
      </c>
      <c r="B5" s="88" t="s">
        <v>225</v>
      </c>
      <c r="C5" s="23" t="s">
        <v>39</v>
      </c>
      <c r="D5" s="16" t="s">
        <v>75</v>
      </c>
      <c r="E5" s="23" t="s">
        <v>73</v>
      </c>
      <c r="F5" s="88" t="s">
        <v>225</v>
      </c>
      <c r="G5" s="20" t="s">
        <v>39</v>
      </c>
      <c r="H5" s="16" t="s">
        <v>75</v>
      </c>
    </row>
    <row r="6" spans="1:8" ht="52.5" customHeight="1">
      <c r="A6" s="18" t="s">
        <v>76</v>
      </c>
      <c r="B6" s="86">
        <f>28.5/12</f>
        <v>2.375</v>
      </c>
      <c r="C6" s="42">
        <v>2</v>
      </c>
      <c r="D6" s="89">
        <f>B6*C6</f>
        <v>4.75</v>
      </c>
      <c r="E6" s="18" t="s">
        <v>77</v>
      </c>
      <c r="F6" s="86">
        <f>32.1/12</f>
        <v>2.6750000000000003</v>
      </c>
      <c r="G6" s="43">
        <v>6</v>
      </c>
      <c r="H6" s="89">
        <f>F6*G6</f>
        <v>16.05</v>
      </c>
    </row>
    <row r="7" spans="1:8" ht="51.75" customHeight="1">
      <c r="A7" s="18" t="s">
        <v>78</v>
      </c>
      <c r="B7" s="86">
        <f>46.7/12</f>
        <v>3.8916666666666671</v>
      </c>
      <c r="C7" s="87">
        <v>2</v>
      </c>
      <c r="D7" s="89">
        <f>B7*C7</f>
        <v>7.7833333333333341</v>
      </c>
      <c r="E7" s="18" t="s">
        <v>79</v>
      </c>
      <c r="F7" s="86">
        <f>46.05/12</f>
        <v>3.8374999999999999</v>
      </c>
      <c r="G7" s="43">
        <v>6</v>
      </c>
      <c r="H7" s="89">
        <f>F7*G7</f>
        <v>23.024999999999999</v>
      </c>
    </row>
    <row r="8" spans="1:8" ht="30" customHeight="1">
      <c r="A8" s="20" t="s">
        <v>45</v>
      </c>
      <c r="B8" s="19"/>
      <c r="C8" s="20"/>
      <c r="D8" s="90">
        <f>SUM(D6:D7)</f>
        <v>12.533333333333335</v>
      </c>
      <c r="E8" s="21"/>
      <c r="F8" s="22"/>
      <c r="G8" s="21"/>
      <c r="H8" s="90">
        <f>SUM(H6:H7)</f>
        <v>39.075000000000003</v>
      </c>
    </row>
    <row r="9" spans="1:8" ht="30" customHeight="1">
      <c r="A9" s="199" t="s">
        <v>98</v>
      </c>
      <c r="B9" s="200"/>
      <c r="C9" s="199" t="s">
        <v>279</v>
      </c>
      <c r="D9" s="201"/>
      <c r="E9" s="201"/>
      <c r="F9" s="201"/>
      <c r="G9" s="200"/>
      <c r="H9" s="128">
        <f>D8+H8*55</f>
        <v>2161.6583333333333</v>
      </c>
    </row>
    <row r="10" spans="1:8">
      <c r="D10" t="s">
        <v>240</v>
      </c>
    </row>
    <row r="12" spans="1:8" ht="31.5" customHeight="1">
      <c r="A12" s="198" t="s">
        <v>81</v>
      </c>
      <c r="B12" s="198"/>
      <c r="C12" s="198"/>
      <c r="D12" s="198"/>
      <c r="E12" s="198"/>
      <c r="F12" s="198"/>
      <c r="G12" s="198"/>
      <c r="H12" s="198"/>
    </row>
    <row r="13" spans="1:8" ht="31.5">
      <c r="A13" s="23" t="s">
        <v>73</v>
      </c>
      <c r="B13" s="16" t="s">
        <v>225</v>
      </c>
      <c r="C13" s="23" t="s">
        <v>39</v>
      </c>
      <c r="D13" s="16" t="s">
        <v>75</v>
      </c>
      <c r="E13" s="23" t="s">
        <v>73</v>
      </c>
      <c r="F13" s="16" t="s">
        <v>225</v>
      </c>
      <c r="G13" s="23" t="s">
        <v>39</v>
      </c>
      <c r="H13" s="16" t="s">
        <v>75</v>
      </c>
    </row>
    <row r="14" spans="1:8" ht="30">
      <c r="A14" s="24" t="s">
        <v>82</v>
      </c>
      <c r="B14" s="86">
        <v>1.04</v>
      </c>
      <c r="C14" s="31">
        <v>6</v>
      </c>
      <c r="D14" s="91">
        <v>6.24</v>
      </c>
      <c r="E14" s="24" t="s">
        <v>99</v>
      </c>
      <c r="F14" s="86">
        <v>0</v>
      </c>
      <c r="G14" s="31">
        <v>0</v>
      </c>
      <c r="H14" s="93">
        <f>F14*G14</f>
        <v>0</v>
      </c>
    </row>
    <row r="15" spans="1:8" ht="60">
      <c r="A15" s="24" t="s">
        <v>83</v>
      </c>
      <c r="B15" s="86">
        <v>2.38</v>
      </c>
      <c r="C15" s="31">
        <v>2</v>
      </c>
      <c r="D15" s="91">
        <v>4.76</v>
      </c>
      <c r="E15" s="24" t="s">
        <v>100</v>
      </c>
      <c r="F15" s="86">
        <v>0</v>
      </c>
      <c r="G15" s="31"/>
      <c r="H15" s="93">
        <f t="shared" ref="H15:H29" si="0">F15*G15</f>
        <v>0</v>
      </c>
    </row>
    <row r="16" spans="1:8" ht="60">
      <c r="A16" s="24" t="s">
        <v>84</v>
      </c>
      <c r="B16" s="86">
        <v>3.12</v>
      </c>
      <c r="C16" s="31">
        <v>2</v>
      </c>
      <c r="D16" s="91">
        <v>6.24</v>
      </c>
      <c r="E16" s="24" t="s">
        <v>101</v>
      </c>
      <c r="F16" s="86">
        <v>0.01</v>
      </c>
      <c r="G16" s="31">
        <v>327</v>
      </c>
      <c r="H16" s="93">
        <v>3.2709999999999999</v>
      </c>
    </row>
    <row r="17" spans="1:9" ht="60">
      <c r="A17" s="24" t="s">
        <v>85</v>
      </c>
      <c r="B17" s="86">
        <v>3.35</v>
      </c>
      <c r="C17" s="31">
        <v>2</v>
      </c>
      <c r="D17" s="91">
        <v>6.74</v>
      </c>
      <c r="E17" s="24" t="s">
        <v>102</v>
      </c>
      <c r="F17" s="86">
        <v>0</v>
      </c>
      <c r="G17" s="31"/>
      <c r="H17" s="93">
        <f t="shared" si="0"/>
        <v>0</v>
      </c>
    </row>
    <row r="18" spans="1:9" ht="60">
      <c r="A18" s="24" t="s">
        <v>86</v>
      </c>
      <c r="B18" s="86">
        <v>3.96</v>
      </c>
      <c r="C18" s="31">
        <v>2</v>
      </c>
      <c r="D18" s="91">
        <v>7.9340000000000002</v>
      </c>
      <c r="E18" s="24" t="s">
        <v>103</v>
      </c>
      <c r="F18" s="86">
        <v>0</v>
      </c>
      <c r="G18" s="31"/>
      <c r="H18" s="93">
        <f t="shared" si="0"/>
        <v>0</v>
      </c>
    </row>
    <row r="19" spans="1:9" ht="45">
      <c r="A19" s="24" t="s">
        <v>87</v>
      </c>
      <c r="B19" s="86">
        <v>1.1499999999999999</v>
      </c>
      <c r="C19" s="31">
        <v>2</v>
      </c>
      <c r="D19" s="91">
        <v>2.2999999999999998</v>
      </c>
      <c r="E19" s="24" t="s">
        <v>104</v>
      </c>
      <c r="F19" s="86">
        <v>0</v>
      </c>
      <c r="G19" s="31">
        <v>0</v>
      </c>
      <c r="H19" s="93">
        <f t="shared" si="0"/>
        <v>0</v>
      </c>
    </row>
    <row r="20" spans="1:9" ht="45">
      <c r="A20" s="24" t="s">
        <v>88</v>
      </c>
      <c r="B20" s="86">
        <v>0</v>
      </c>
      <c r="C20" s="31"/>
      <c r="D20" s="91">
        <f t="shared" ref="D20:D29" si="1">B20*C20</f>
        <v>0</v>
      </c>
      <c r="E20" s="24" t="s">
        <v>105</v>
      </c>
      <c r="F20" s="86">
        <v>0</v>
      </c>
      <c r="G20" s="31"/>
      <c r="H20" s="93">
        <f t="shared" si="0"/>
        <v>0</v>
      </c>
    </row>
    <row r="21" spans="1:9" ht="60">
      <c r="A21" s="24" t="s">
        <v>89</v>
      </c>
      <c r="B21" s="86">
        <v>0</v>
      </c>
      <c r="C21" s="31"/>
      <c r="D21" s="91">
        <f t="shared" si="1"/>
        <v>0</v>
      </c>
      <c r="E21" s="24" t="s">
        <v>106</v>
      </c>
      <c r="F21" s="86">
        <v>0</v>
      </c>
      <c r="G21" s="31"/>
      <c r="H21" s="93">
        <f t="shared" si="0"/>
        <v>0</v>
      </c>
    </row>
    <row r="22" spans="1:9" ht="30">
      <c r="A22" s="24" t="s">
        <v>90</v>
      </c>
      <c r="B22" s="86">
        <v>0</v>
      </c>
      <c r="C22" s="31"/>
      <c r="D22" s="91">
        <f t="shared" si="1"/>
        <v>0</v>
      </c>
      <c r="E22" s="24" t="s">
        <v>107</v>
      </c>
      <c r="F22" s="86">
        <v>0</v>
      </c>
      <c r="G22" s="31"/>
      <c r="H22" s="93">
        <f t="shared" si="0"/>
        <v>0</v>
      </c>
    </row>
    <row r="23" spans="1:9" ht="30">
      <c r="A23" s="24" t="s">
        <v>91</v>
      </c>
      <c r="B23" s="86">
        <v>0</v>
      </c>
      <c r="C23" s="31"/>
      <c r="D23" s="91">
        <f t="shared" si="1"/>
        <v>0</v>
      </c>
      <c r="E23" s="24" t="s">
        <v>108</v>
      </c>
      <c r="F23" s="86">
        <v>0</v>
      </c>
      <c r="G23" s="31"/>
      <c r="H23" s="93">
        <f t="shared" si="0"/>
        <v>0</v>
      </c>
    </row>
    <row r="24" spans="1:9" ht="60">
      <c r="A24" s="24" t="s">
        <v>92</v>
      </c>
      <c r="B24" s="86">
        <v>1.1499999999999999</v>
      </c>
      <c r="C24" s="31">
        <v>11</v>
      </c>
      <c r="D24" s="91">
        <v>12.654</v>
      </c>
      <c r="E24" s="24" t="s">
        <v>109</v>
      </c>
      <c r="F24" s="86">
        <v>0</v>
      </c>
      <c r="G24" s="31"/>
      <c r="H24" s="93">
        <f t="shared" si="0"/>
        <v>0</v>
      </c>
    </row>
    <row r="25" spans="1:9" ht="30">
      <c r="A25" s="24" t="s">
        <v>93</v>
      </c>
      <c r="B25" s="86">
        <v>0</v>
      </c>
      <c r="C25" s="31"/>
      <c r="D25" s="91">
        <f t="shared" si="1"/>
        <v>0</v>
      </c>
      <c r="E25" s="24" t="s">
        <v>110</v>
      </c>
      <c r="F25" s="86">
        <v>0</v>
      </c>
      <c r="G25" s="31">
        <v>0</v>
      </c>
      <c r="H25" s="93">
        <f t="shared" si="0"/>
        <v>0</v>
      </c>
    </row>
    <row r="26" spans="1:9" ht="30">
      <c r="A26" s="24" t="s">
        <v>94</v>
      </c>
      <c r="B26" s="86">
        <v>0</v>
      </c>
      <c r="C26" s="31"/>
      <c r="D26" s="91">
        <f t="shared" si="1"/>
        <v>0</v>
      </c>
      <c r="E26" s="24" t="s">
        <v>111</v>
      </c>
      <c r="F26" s="86">
        <v>0</v>
      </c>
      <c r="G26" s="31"/>
      <c r="H26" s="93">
        <f t="shared" si="0"/>
        <v>0</v>
      </c>
    </row>
    <row r="27" spans="1:9" ht="45">
      <c r="A27" s="24" t="s">
        <v>95</v>
      </c>
      <c r="B27" s="86">
        <v>0</v>
      </c>
      <c r="C27" s="31">
        <v>0</v>
      </c>
      <c r="D27" s="91">
        <f t="shared" si="1"/>
        <v>0</v>
      </c>
      <c r="E27" s="24" t="s">
        <v>112</v>
      </c>
      <c r="F27" s="86">
        <v>0</v>
      </c>
      <c r="G27" s="31">
        <v>0</v>
      </c>
      <c r="H27" s="93">
        <f t="shared" si="0"/>
        <v>0</v>
      </c>
    </row>
    <row r="28" spans="1:9" ht="45">
      <c r="A28" s="24" t="s">
        <v>96</v>
      </c>
      <c r="B28" s="86">
        <v>0</v>
      </c>
      <c r="C28" s="31">
        <v>0</v>
      </c>
      <c r="D28" s="91">
        <f t="shared" si="1"/>
        <v>0</v>
      </c>
      <c r="E28" s="25" t="s">
        <v>113</v>
      </c>
      <c r="F28" s="86">
        <v>0</v>
      </c>
      <c r="G28" s="31">
        <v>0</v>
      </c>
      <c r="H28" s="93">
        <f t="shared" si="0"/>
        <v>0</v>
      </c>
    </row>
    <row r="29" spans="1:9" ht="41.25" customHeight="1">
      <c r="A29" s="24" t="s">
        <v>97</v>
      </c>
      <c r="B29" s="86">
        <v>0</v>
      </c>
      <c r="C29" s="31">
        <v>0</v>
      </c>
      <c r="D29" s="91">
        <f t="shared" si="1"/>
        <v>0</v>
      </c>
      <c r="E29" s="25" t="s">
        <v>114</v>
      </c>
      <c r="F29" s="86">
        <v>0</v>
      </c>
      <c r="G29" s="31">
        <v>0</v>
      </c>
      <c r="H29" s="93">
        <f t="shared" si="0"/>
        <v>0</v>
      </c>
    </row>
    <row r="30" spans="1:9" ht="31.5" customHeight="1">
      <c r="A30" s="17" t="s">
        <v>45</v>
      </c>
      <c r="B30" s="28"/>
      <c r="C30" s="29"/>
      <c r="D30" s="92">
        <f>SUM(D14:D29)</f>
        <v>46.868000000000009</v>
      </c>
      <c r="E30" s="30" t="s">
        <v>45</v>
      </c>
      <c r="F30" s="26"/>
      <c r="G30" s="27"/>
      <c r="H30" s="221">
        <f>SUM(H14:H29)</f>
        <v>3.2709999999999999</v>
      </c>
    </row>
    <row r="31" spans="1:9" ht="30.75" customHeight="1">
      <c r="A31" s="20" t="s">
        <v>98</v>
      </c>
      <c r="B31" s="199" t="s">
        <v>279</v>
      </c>
      <c r="C31" s="201"/>
      <c r="D31" s="201"/>
      <c r="E31" s="201"/>
      <c r="F31" s="201"/>
      <c r="G31" s="200"/>
      <c r="H31" s="129">
        <f>(D30+H30)*55</f>
        <v>2757.6450000000004</v>
      </c>
    </row>
    <row r="32" spans="1:9" ht="15.75">
      <c r="B32" s="2"/>
      <c r="C32" s="2"/>
      <c r="D32" s="2"/>
      <c r="E32" s="2"/>
      <c r="F32" s="2"/>
      <c r="G32" s="2"/>
      <c r="H32" s="2"/>
      <c r="I32" s="2"/>
    </row>
  </sheetData>
  <mergeCells count="9">
    <mergeCell ref="B31:G31"/>
    <mergeCell ref="A12:H12"/>
    <mergeCell ref="A1:H1"/>
    <mergeCell ref="A2:H2"/>
    <mergeCell ref="A3:H3"/>
    <mergeCell ref="A4:D4"/>
    <mergeCell ref="E4:H4"/>
    <mergeCell ref="A9:B9"/>
    <mergeCell ref="C9:G9"/>
  </mergeCells>
  <pageMargins left="0.70866141732283472" right="0.51181102362204722" top="0.78740157480314965" bottom="0.78740157480314965" header="0.31496062992125984" footer="0.31496062992125984"/>
  <pageSetup paperSize="9" scale="77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22"/>
  <sheetViews>
    <sheetView view="pageBreakPreview" zoomScale="90" zoomScaleSheetLayoutView="90" workbookViewId="0">
      <selection activeCell="J18" sqref="J18"/>
    </sheetView>
  </sheetViews>
  <sheetFormatPr defaultRowHeight="14.25"/>
  <cols>
    <col min="1" max="1" width="24.7109375" style="1" customWidth="1"/>
    <col min="2" max="2" width="17.7109375" style="1" customWidth="1"/>
    <col min="3" max="3" width="16.140625" style="1" bestFit="1" customWidth="1"/>
    <col min="4" max="4" width="14.140625" style="1" bestFit="1" customWidth="1"/>
    <col min="5" max="5" width="18.7109375" style="1" customWidth="1"/>
    <col min="6" max="6" width="28.140625" style="1" customWidth="1"/>
    <col min="7" max="16384" width="9.140625" style="1"/>
  </cols>
  <sheetData>
    <row r="1" spans="1:6" ht="34.5" customHeight="1">
      <c r="A1" s="204" t="s">
        <v>151</v>
      </c>
      <c r="B1" s="205"/>
      <c r="C1" s="205"/>
      <c r="D1" s="205"/>
      <c r="E1" s="205"/>
      <c r="F1" s="205"/>
    </row>
    <row r="2" spans="1:6" ht="24" customHeight="1">
      <c r="A2" s="206" t="s">
        <v>73</v>
      </c>
      <c r="B2" s="207"/>
      <c r="C2" s="210" t="s">
        <v>152</v>
      </c>
      <c r="D2" s="48" t="s">
        <v>153</v>
      </c>
      <c r="E2" s="210" t="s">
        <v>210</v>
      </c>
      <c r="F2" s="211" t="s">
        <v>75</v>
      </c>
    </row>
    <row r="3" spans="1:6" ht="22.5" customHeight="1">
      <c r="A3" s="208"/>
      <c r="B3" s="209"/>
      <c r="C3" s="210"/>
      <c r="D3" s="48" t="s">
        <v>154</v>
      </c>
      <c r="E3" s="210"/>
      <c r="F3" s="212"/>
    </row>
    <row r="4" spans="1:6" ht="30" customHeight="1">
      <c r="A4" s="203" t="s">
        <v>155</v>
      </c>
      <c r="B4" s="203"/>
      <c r="C4" s="47">
        <v>225</v>
      </c>
      <c r="D4" s="47">
        <f>(C4*10%)/12</f>
        <v>1.875</v>
      </c>
      <c r="E4" s="46">
        <v>4</v>
      </c>
      <c r="F4" s="94">
        <f>D4*E4</f>
        <v>7.5</v>
      </c>
    </row>
    <row r="5" spans="1:6" ht="38.25" customHeight="1">
      <c r="A5" s="203" t="s">
        <v>248</v>
      </c>
      <c r="B5" s="203"/>
      <c r="C5" s="47">
        <v>389.9</v>
      </c>
      <c r="D5" s="47">
        <f t="shared" ref="D5:D21" si="0">(C5*10%)/12</f>
        <v>3.249166666666667</v>
      </c>
      <c r="E5" s="46">
        <v>2</v>
      </c>
      <c r="F5" s="94">
        <f t="shared" ref="F5:F21" si="1">D5*E5</f>
        <v>6.498333333333334</v>
      </c>
    </row>
    <row r="6" spans="1:6" ht="30" customHeight="1">
      <c r="A6" s="203" t="s">
        <v>157</v>
      </c>
      <c r="B6" s="203"/>
      <c r="C6" s="47">
        <v>555</v>
      </c>
      <c r="D6" s="47">
        <f t="shared" si="0"/>
        <v>4.625</v>
      </c>
      <c r="E6" s="46">
        <v>3</v>
      </c>
      <c r="F6" s="94">
        <f t="shared" si="1"/>
        <v>13.875</v>
      </c>
    </row>
    <row r="7" spans="1:6" ht="30" customHeight="1">
      <c r="A7" s="203" t="s">
        <v>249</v>
      </c>
      <c r="B7" s="203"/>
      <c r="C7" s="47">
        <v>462.9</v>
      </c>
      <c r="D7" s="47">
        <f t="shared" si="0"/>
        <v>3.8574999999999999</v>
      </c>
      <c r="E7" s="46">
        <v>10</v>
      </c>
      <c r="F7" s="94">
        <f t="shared" si="1"/>
        <v>38.575000000000003</v>
      </c>
    </row>
    <row r="8" spans="1:6" ht="30" customHeight="1">
      <c r="A8" s="203" t="s">
        <v>250</v>
      </c>
      <c r="B8" s="203"/>
      <c r="C8" s="47">
        <v>925</v>
      </c>
      <c r="D8" s="47">
        <f t="shared" si="0"/>
        <v>7.708333333333333</v>
      </c>
      <c r="E8" s="46">
        <v>2</v>
      </c>
      <c r="F8" s="94">
        <f t="shared" si="1"/>
        <v>15.416666666666666</v>
      </c>
    </row>
    <row r="9" spans="1:6" ht="30" customHeight="1">
      <c r="A9" s="203" t="s">
        <v>163</v>
      </c>
      <c r="B9" s="203"/>
      <c r="C9" s="47">
        <v>1079</v>
      </c>
      <c r="D9" s="47">
        <f t="shared" si="0"/>
        <v>8.9916666666666671</v>
      </c>
      <c r="E9" s="46">
        <v>1</v>
      </c>
      <c r="F9" s="94">
        <f t="shared" si="1"/>
        <v>8.9916666666666671</v>
      </c>
    </row>
    <row r="10" spans="1:6" ht="30" customHeight="1">
      <c r="A10" s="203" t="s">
        <v>167</v>
      </c>
      <c r="B10" s="203"/>
      <c r="C10" s="47">
        <v>78.900000000000006</v>
      </c>
      <c r="D10" s="47">
        <f t="shared" si="0"/>
        <v>0.65750000000000008</v>
      </c>
      <c r="E10" s="46">
        <v>1</v>
      </c>
      <c r="F10" s="94">
        <f t="shared" si="1"/>
        <v>0.65750000000000008</v>
      </c>
    </row>
    <row r="11" spans="1:6" ht="30" customHeight="1">
      <c r="A11" s="203" t="s">
        <v>165</v>
      </c>
      <c r="B11" s="203"/>
      <c r="C11" s="47">
        <v>54.84</v>
      </c>
      <c r="D11" s="47">
        <f t="shared" si="0"/>
        <v>0.45700000000000007</v>
      </c>
      <c r="E11" s="46">
        <v>2</v>
      </c>
      <c r="F11" s="94">
        <f t="shared" si="1"/>
        <v>0.91400000000000015</v>
      </c>
    </row>
    <row r="12" spans="1:6" ht="30" customHeight="1">
      <c r="A12" s="203" t="s">
        <v>251</v>
      </c>
      <c r="B12" s="203"/>
      <c r="C12" s="47">
        <v>227.9</v>
      </c>
      <c r="D12" s="47">
        <f t="shared" si="0"/>
        <v>1.8991666666666669</v>
      </c>
      <c r="E12" s="46">
        <v>1</v>
      </c>
      <c r="F12" s="94">
        <f t="shared" si="1"/>
        <v>1.8991666666666669</v>
      </c>
    </row>
    <row r="13" spans="1:6" ht="30" customHeight="1">
      <c r="A13" s="203" t="s">
        <v>252</v>
      </c>
      <c r="B13" s="203"/>
      <c r="C13" s="47">
        <v>469.9</v>
      </c>
      <c r="D13" s="47">
        <f t="shared" si="0"/>
        <v>3.9158333333333335</v>
      </c>
      <c r="E13" s="46">
        <v>1</v>
      </c>
      <c r="F13" s="94">
        <f t="shared" si="1"/>
        <v>3.9158333333333335</v>
      </c>
    </row>
    <row r="14" spans="1:6" ht="30" customHeight="1">
      <c r="A14" s="203" t="s">
        <v>166</v>
      </c>
      <c r="B14" s="203"/>
      <c r="C14" s="47">
        <v>49.9</v>
      </c>
      <c r="D14" s="47">
        <f t="shared" si="0"/>
        <v>0.41583333333333333</v>
      </c>
      <c r="E14" s="46">
        <v>10</v>
      </c>
      <c r="F14" s="94">
        <f t="shared" si="1"/>
        <v>4.1583333333333332</v>
      </c>
    </row>
    <row r="15" spans="1:6" ht="30" customHeight="1">
      <c r="A15" s="203" t="s">
        <v>156</v>
      </c>
      <c r="B15" s="203"/>
      <c r="C15" s="47">
        <v>69.989999999999995</v>
      </c>
      <c r="D15" s="47">
        <f t="shared" si="0"/>
        <v>0.58324999999999994</v>
      </c>
      <c r="E15" s="46">
        <v>8</v>
      </c>
      <c r="F15" s="94">
        <f t="shared" si="1"/>
        <v>4.6659999999999995</v>
      </c>
    </row>
    <row r="16" spans="1:6" ht="30" customHeight="1">
      <c r="A16" s="203" t="s">
        <v>158</v>
      </c>
      <c r="B16" s="203"/>
      <c r="C16" s="47">
        <v>29.9</v>
      </c>
      <c r="D16" s="47">
        <f t="shared" si="0"/>
        <v>0.24916666666666668</v>
      </c>
      <c r="E16" s="46">
        <v>14</v>
      </c>
      <c r="F16" s="94">
        <f t="shared" si="1"/>
        <v>3.4883333333333333</v>
      </c>
    </row>
    <row r="17" spans="1:6" ht="30" customHeight="1">
      <c r="A17" s="203" t="s">
        <v>159</v>
      </c>
      <c r="B17" s="203"/>
      <c r="C17" s="47">
        <v>30.15</v>
      </c>
      <c r="D17" s="47">
        <f t="shared" si="0"/>
        <v>0.25125000000000003</v>
      </c>
      <c r="E17" s="46">
        <v>30</v>
      </c>
      <c r="F17" s="94">
        <f t="shared" si="1"/>
        <v>7.5375000000000005</v>
      </c>
    </row>
    <row r="18" spans="1:6" ht="30" customHeight="1">
      <c r="A18" s="203" t="s">
        <v>160</v>
      </c>
      <c r="B18" s="203"/>
      <c r="C18" s="47">
        <v>18.3</v>
      </c>
      <c r="D18" s="47">
        <f t="shared" si="0"/>
        <v>0.1525</v>
      </c>
      <c r="E18" s="46">
        <v>30</v>
      </c>
      <c r="F18" s="94">
        <f t="shared" si="1"/>
        <v>4.5750000000000002</v>
      </c>
    </row>
    <row r="19" spans="1:6" ht="30" customHeight="1">
      <c r="A19" s="203" t="s">
        <v>161</v>
      </c>
      <c r="B19" s="203"/>
      <c r="C19" s="47">
        <v>34.42</v>
      </c>
      <c r="D19" s="47">
        <f t="shared" si="0"/>
        <v>0.28683333333333333</v>
      </c>
      <c r="E19" s="46">
        <v>8</v>
      </c>
      <c r="F19" s="94">
        <f t="shared" si="1"/>
        <v>2.2946666666666666</v>
      </c>
    </row>
    <row r="20" spans="1:6" ht="30" customHeight="1">
      <c r="A20" s="203" t="s">
        <v>162</v>
      </c>
      <c r="B20" s="203"/>
      <c r="C20" s="47">
        <v>18.25</v>
      </c>
      <c r="D20" s="47">
        <f t="shared" si="0"/>
        <v>0.15208333333333335</v>
      </c>
      <c r="E20" s="46">
        <v>30</v>
      </c>
      <c r="F20" s="94">
        <f t="shared" si="1"/>
        <v>4.5625</v>
      </c>
    </row>
    <row r="21" spans="1:6" ht="30" customHeight="1">
      <c r="A21" s="203" t="s">
        <v>164</v>
      </c>
      <c r="B21" s="203"/>
      <c r="C21" s="47">
        <v>1350</v>
      </c>
      <c r="D21" s="47">
        <f t="shared" si="0"/>
        <v>11.25</v>
      </c>
      <c r="E21" s="46">
        <v>1</v>
      </c>
      <c r="F21" s="94">
        <f t="shared" si="1"/>
        <v>11.25</v>
      </c>
    </row>
    <row r="22" spans="1:6" ht="33" customHeight="1">
      <c r="A22" s="202" t="s">
        <v>98</v>
      </c>
      <c r="B22" s="202"/>
      <c r="C22" s="202"/>
      <c r="D22" s="202"/>
      <c r="E22" s="52"/>
      <c r="F22" s="131">
        <f>SUM(F4:F21)</f>
        <v>140.77550000000002</v>
      </c>
    </row>
  </sheetData>
  <mergeCells count="24">
    <mergeCell ref="A10:B10"/>
    <mergeCell ref="A14:B14"/>
    <mergeCell ref="A13:B13"/>
    <mergeCell ref="A17:B17"/>
    <mergeCell ref="A16:B16"/>
    <mergeCell ref="A15:B15"/>
    <mergeCell ref="A12:B12"/>
    <mergeCell ref="A11:B11"/>
    <mergeCell ref="A22:D22"/>
    <mergeCell ref="A21:B21"/>
    <mergeCell ref="A20:B20"/>
    <mergeCell ref="A19:B19"/>
    <mergeCell ref="A1:F1"/>
    <mergeCell ref="A2:B3"/>
    <mergeCell ref="A7:B7"/>
    <mergeCell ref="A6:B6"/>
    <mergeCell ref="A5:B5"/>
    <mergeCell ref="A4:B4"/>
    <mergeCell ref="C2:C3"/>
    <mergeCell ref="E2:E3"/>
    <mergeCell ref="F2:F3"/>
    <mergeCell ref="A9:B9"/>
    <mergeCell ref="A8:B8"/>
    <mergeCell ref="A18:B18"/>
  </mergeCells>
  <pageMargins left="0.51181102362204722" right="0.31496062992125984" top="0.78740157480314965" bottom="0.78740157480314965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25"/>
  <sheetViews>
    <sheetView view="pageBreakPreview" topLeftCell="A6" zoomScaleSheetLayoutView="100" workbookViewId="0">
      <selection activeCell="F20" sqref="F20"/>
    </sheetView>
  </sheetViews>
  <sheetFormatPr defaultRowHeight="15"/>
  <cols>
    <col min="1" max="1" width="39.85546875" style="2" customWidth="1"/>
    <col min="2" max="2" width="13.140625" style="2" bestFit="1" customWidth="1"/>
    <col min="3" max="3" width="18.28515625" style="2" bestFit="1" customWidth="1"/>
    <col min="4" max="4" width="26.85546875" style="2" customWidth="1"/>
    <col min="5" max="16384" width="9.140625" style="2"/>
  </cols>
  <sheetData>
    <row r="1" spans="1:4" ht="27.75" customHeight="1">
      <c r="A1" s="213" t="s">
        <v>168</v>
      </c>
      <c r="B1" s="214"/>
      <c r="C1" s="214"/>
      <c r="D1" s="214"/>
    </row>
    <row r="2" spans="1:4" ht="15.75">
      <c r="A2" s="56" t="s">
        <v>73</v>
      </c>
      <c r="B2" s="56" t="s">
        <v>74</v>
      </c>
      <c r="C2" s="62" t="s">
        <v>211</v>
      </c>
      <c r="D2" s="57" t="s">
        <v>115</v>
      </c>
    </row>
    <row r="3" spans="1:4" ht="27" customHeight="1">
      <c r="A3" s="58" t="s">
        <v>172</v>
      </c>
      <c r="B3" s="59">
        <v>44.92</v>
      </c>
      <c r="C3" s="58">
        <f>15/12</f>
        <v>1.25</v>
      </c>
      <c r="D3" s="95">
        <f>B3*C3</f>
        <v>56.150000000000006</v>
      </c>
    </row>
    <row r="4" spans="1:4" ht="27" customHeight="1">
      <c r="A4" s="58" t="s">
        <v>174</v>
      </c>
      <c r="B4" s="59">
        <v>2.7</v>
      </c>
      <c r="C4" s="121">
        <f>40/12</f>
        <v>3.3333333333333335</v>
      </c>
      <c r="D4" s="95">
        <f>B4*C4</f>
        <v>9.0000000000000018</v>
      </c>
    </row>
    <row r="5" spans="1:4" ht="27" customHeight="1">
      <c r="A5" s="58" t="s">
        <v>176</v>
      </c>
      <c r="B5" s="59">
        <v>4.8099999999999996</v>
      </c>
      <c r="C5" s="121">
        <f>40/12</f>
        <v>3.3333333333333335</v>
      </c>
      <c r="D5" s="95">
        <f>B5*C5</f>
        <v>16.033333333333331</v>
      </c>
    </row>
    <row r="6" spans="1:4" ht="27" customHeight="1">
      <c r="A6" s="58" t="s">
        <v>177</v>
      </c>
      <c r="B6" s="59">
        <v>3.32</v>
      </c>
      <c r="C6" s="121">
        <f>40/12</f>
        <v>3.3333333333333335</v>
      </c>
      <c r="D6" s="95">
        <f t="shared" ref="D6:D24" si="0">B6*C6</f>
        <v>11.066666666666666</v>
      </c>
    </row>
    <row r="7" spans="1:4" ht="36.75" customHeight="1">
      <c r="A7" s="60" t="s">
        <v>179</v>
      </c>
      <c r="B7" s="59">
        <v>35.44</v>
      </c>
      <c r="C7" s="121">
        <f>5/12</f>
        <v>0.41666666666666669</v>
      </c>
      <c r="D7" s="95">
        <f t="shared" si="0"/>
        <v>14.766666666666666</v>
      </c>
    </row>
    <row r="8" spans="1:4" ht="34.5" customHeight="1">
      <c r="A8" s="60" t="s">
        <v>181</v>
      </c>
      <c r="B8" s="59">
        <v>36.15</v>
      </c>
      <c r="C8" s="121">
        <f>5/12</f>
        <v>0.41666666666666669</v>
      </c>
      <c r="D8" s="95">
        <f t="shared" si="0"/>
        <v>15.0625</v>
      </c>
    </row>
    <row r="9" spans="1:4" ht="35.25" customHeight="1">
      <c r="A9" s="60" t="s">
        <v>183</v>
      </c>
      <c r="B9" s="59">
        <v>84.99</v>
      </c>
      <c r="C9" s="121">
        <f>5/12</f>
        <v>0.41666666666666669</v>
      </c>
      <c r="D9" s="95">
        <f t="shared" si="0"/>
        <v>35.412500000000001</v>
      </c>
    </row>
    <row r="10" spans="1:4" ht="27" customHeight="1">
      <c r="A10" s="58" t="s">
        <v>185</v>
      </c>
      <c r="B10" s="59">
        <v>4.8899999999999997</v>
      </c>
      <c r="C10" s="121">
        <f>40/12</f>
        <v>3.3333333333333335</v>
      </c>
      <c r="D10" s="95">
        <f t="shared" si="0"/>
        <v>16.3</v>
      </c>
    </row>
    <row r="11" spans="1:4" ht="27" customHeight="1">
      <c r="A11" s="58" t="s">
        <v>187</v>
      </c>
      <c r="B11" s="59">
        <v>3.86</v>
      </c>
      <c r="C11" s="121">
        <f>5/12</f>
        <v>0.41666666666666669</v>
      </c>
      <c r="D11" s="95">
        <f t="shared" si="0"/>
        <v>1.6083333333333334</v>
      </c>
    </row>
    <row r="12" spans="1:4" ht="31.5" customHeight="1">
      <c r="A12" s="60" t="s">
        <v>190</v>
      </c>
      <c r="B12" s="59">
        <v>7.99</v>
      </c>
      <c r="C12" s="121">
        <f>100/12</f>
        <v>8.3333333333333339</v>
      </c>
      <c r="D12" s="95">
        <f t="shared" si="0"/>
        <v>66.583333333333343</v>
      </c>
    </row>
    <row r="13" spans="1:4" ht="27" customHeight="1">
      <c r="A13" s="58" t="s">
        <v>188</v>
      </c>
      <c r="B13" s="59">
        <v>7.58</v>
      </c>
      <c r="C13" s="121">
        <f>10/12</f>
        <v>0.83333333333333337</v>
      </c>
      <c r="D13" s="95">
        <f t="shared" si="0"/>
        <v>6.3166666666666673</v>
      </c>
    </row>
    <row r="14" spans="1:4" ht="27" customHeight="1">
      <c r="A14" s="58" t="s">
        <v>189</v>
      </c>
      <c r="B14" s="59">
        <v>10.585000000000001</v>
      </c>
      <c r="C14" s="121">
        <f>10/12</f>
        <v>0.83333333333333337</v>
      </c>
      <c r="D14" s="95">
        <f t="shared" si="0"/>
        <v>8.8208333333333346</v>
      </c>
    </row>
    <row r="15" spans="1:4" ht="27" customHeight="1">
      <c r="A15" s="58" t="s">
        <v>169</v>
      </c>
      <c r="B15" s="59">
        <v>19.989999999999998</v>
      </c>
      <c r="C15" s="121">
        <f>5/12</f>
        <v>0.41666666666666669</v>
      </c>
      <c r="D15" s="95">
        <f t="shared" si="0"/>
        <v>8.3291666666666657</v>
      </c>
    </row>
    <row r="16" spans="1:4" ht="27" customHeight="1">
      <c r="A16" s="58" t="s">
        <v>170</v>
      </c>
      <c r="B16" s="59">
        <v>17.36</v>
      </c>
      <c r="C16" s="121">
        <f>10/12</f>
        <v>0.83333333333333337</v>
      </c>
      <c r="D16" s="95">
        <f t="shared" si="0"/>
        <v>14.466666666666667</v>
      </c>
    </row>
    <row r="17" spans="1:4" ht="27" customHeight="1">
      <c r="A17" s="58" t="s">
        <v>171</v>
      </c>
      <c r="B17" s="59">
        <v>8.49</v>
      </c>
      <c r="C17" s="121">
        <f t="shared" ref="C17:C22" si="1">20/12</f>
        <v>1.6666666666666667</v>
      </c>
      <c r="D17" s="95">
        <f t="shared" si="0"/>
        <v>14.15</v>
      </c>
    </row>
    <row r="18" spans="1:4" ht="27" customHeight="1">
      <c r="A18" s="58" t="s">
        <v>173</v>
      </c>
      <c r="B18" s="59">
        <v>5.29</v>
      </c>
      <c r="C18" s="121">
        <f t="shared" si="1"/>
        <v>1.6666666666666667</v>
      </c>
      <c r="D18" s="95">
        <f t="shared" si="0"/>
        <v>8.8166666666666664</v>
      </c>
    </row>
    <row r="19" spans="1:4" ht="27" customHeight="1">
      <c r="A19" s="58" t="s">
        <v>175</v>
      </c>
      <c r="B19" s="59">
        <v>6.7</v>
      </c>
      <c r="C19" s="121">
        <f t="shared" si="1"/>
        <v>1.6666666666666667</v>
      </c>
      <c r="D19" s="95">
        <f t="shared" si="0"/>
        <v>11.166666666666668</v>
      </c>
    </row>
    <row r="20" spans="1:4" ht="27" customHeight="1">
      <c r="A20" s="58" t="s">
        <v>178</v>
      </c>
      <c r="B20" s="59">
        <v>5.39</v>
      </c>
      <c r="C20" s="121">
        <f t="shared" si="1"/>
        <v>1.6666666666666667</v>
      </c>
      <c r="D20" s="95">
        <f t="shared" si="0"/>
        <v>8.9833333333333325</v>
      </c>
    </row>
    <row r="21" spans="1:4" ht="27" customHeight="1">
      <c r="A21" s="58" t="s">
        <v>180</v>
      </c>
      <c r="B21" s="59">
        <v>12.96</v>
      </c>
      <c r="C21" s="121">
        <f t="shared" si="1"/>
        <v>1.6666666666666667</v>
      </c>
      <c r="D21" s="95">
        <f t="shared" si="0"/>
        <v>21.6</v>
      </c>
    </row>
    <row r="22" spans="1:4" ht="27" customHeight="1">
      <c r="A22" s="58" t="s">
        <v>182</v>
      </c>
      <c r="B22" s="59">
        <v>14.6</v>
      </c>
      <c r="C22" s="121">
        <f t="shared" si="1"/>
        <v>1.6666666666666667</v>
      </c>
      <c r="D22" s="95">
        <f t="shared" si="0"/>
        <v>24.333333333333332</v>
      </c>
    </row>
    <row r="23" spans="1:4" ht="27" customHeight="1">
      <c r="A23" s="58" t="s">
        <v>184</v>
      </c>
      <c r="B23" s="59">
        <v>11.62</v>
      </c>
      <c r="C23" s="121">
        <f>10/12</f>
        <v>0.83333333333333337</v>
      </c>
      <c r="D23" s="95">
        <f t="shared" si="0"/>
        <v>9.6833333333333336</v>
      </c>
    </row>
    <row r="24" spans="1:4" ht="27" customHeight="1">
      <c r="A24" s="58" t="s">
        <v>186</v>
      </c>
      <c r="B24" s="59">
        <v>17.899999999999999</v>
      </c>
      <c r="C24" s="121">
        <f>5/12</f>
        <v>0.41666666666666669</v>
      </c>
      <c r="D24" s="95">
        <f t="shared" si="0"/>
        <v>7.458333333333333</v>
      </c>
    </row>
    <row r="25" spans="1:4" ht="33" customHeight="1">
      <c r="A25" s="138" t="s">
        <v>98</v>
      </c>
      <c r="B25" s="138"/>
      <c r="C25" s="61"/>
      <c r="D25" s="96">
        <f>SUM(D3:D24)</f>
        <v>386.10833333333329</v>
      </c>
    </row>
  </sheetData>
  <mergeCells count="2">
    <mergeCell ref="A1:D1"/>
    <mergeCell ref="A25:B25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18"/>
  <sheetViews>
    <sheetView view="pageBreakPreview" zoomScale="90" zoomScaleSheetLayoutView="90" workbookViewId="0">
      <selection activeCell="G16" sqref="G16"/>
    </sheetView>
  </sheetViews>
  <sheetFormatPr defaultRowHeight="15"/>
  <cols>
    <col min="1" max="1" width="26" style="14" customWidth="1"/>
    <col min="2" max="2" width="15.7109375" style="14" customWidth="1"/>
    <col min="3" max="3" width="15.140625" style="14" customWidth="1"/>
    <col min="4" max="4" width="6" style="133" customWidth="1"/>
    <col min="5" max="5" width="15.28515625" style="14" customWidth="1"/>
    <col min="6" max="6" width="22.7109375" style="14" customWidth="1"/>
    <col min="7" max="7" width="15.7109375" style="14" customWidth="1"/>
    <col min="8" max="8" width="14.140625" style="14" customWidth="1"/>
    <col min="9" max="9" width="8.42578125" style="14" bestFit="1" customWidth="1"/>
    <col min="10" max="10" width="17.140625" style="14" customWidth="1"/>
    <col min="11" max="16384" width="9.140625" style="14"/>
  </cols>
  <sheetData>
    <row r="1" spans="1:10" ht="28.5" customHeight="1">
      <c r="A1" s="218" t="s">
        <v>116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8.75" customHeight="1">
      <c r="A2" s="218" t="s">
        <v>117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ht="21.75" customHeight="1">
      <c r="A3" s="218" t="s">
        <v>118</v>
      </c>
      <c r="B3" s="218"/>
      <c r="C3" s="218"/>
      <c r="D3" s="218"/>
      <c r="E3" s="218"/>
      <c r="F3" s="218" t="s">
        <v>124</v>
      </c>
      <c r="G3" s="218"/>
      <c r="H3" s="218"/>
      <c r="I3" s="218"/>
      <c r="J3" s="218"/>
    </row>
    <row r="4" spans="1:10" ht="30">
      <c r="A4" s="32" t="s">
        <v>119</v>
      </c>
      <c r="B4" s="33" t="s">
        <v>125</v>
      </c>
      <c r="C4" s="33" t="s">
        <v>115</v>
      </c>
      <c r="D4" s="33" t="s">
        <v>39</v>
      </c>
      <c r="E4" s="32" t="s">
        <v>75</v>
      </c>
      <c r="F4" s="32" t="s">
        <v>119</v>
      </c>
      <c r="G4" s="33" t="s">
        <v>125</v>
      </c>
      <c r="H4" s="33" t="s">
        <v>115</v>
      </c>
      <c r="I4" s="33" t="s">
        <v>39</v>
      </c>
      <c r="J4" s="32" t="s">
        <v>75</v>
      </c>
    </row>
    <row r="5" spans="1:10" ht="54.75" customHeight="1">
      <c r="A5" s="34" t="s">
        <v>120</v>
      </c>
      <c r="B5" s="35" t="s">
        <v>126</v>
      </c>
      <c r="C5" s="36">
        <v>13.7</v>
      </c>
      <c r="D5" s="37">
        <v>4</v>
      </c>
      <c r="E5" s="97">
        <f>C5*D5</f>
        <v>54.8</v>
      </c>
      <c r="F5" s="34" t="s">
        <v>135</v>
      </c>
      <c r="G5" s="35" t="s">
        <v>230</v>
      </c>
      <c r="H5" s="36">
        <v>1.1100000000000001</v>
      </c>
      <c r="I5" s="35">
        <v>1800</v>
      </c>
      <c r="J5" s="99">
        <f t="shared" ref="J5:J11" si="0">H5*I5</f>
        <v>1998.0000000000002</v>
      </c>
    </row>
    <row r="6" spans="1:10" ht="38.25" customHeight="1">
      <c r="A6" s="34" t="s">
        <v>121</v>
      </c>
      <c r="B6" s="35" t="s">
        <v>126</v>
      </c>
      <c r="C6" s="36">
        <v>16.760000000000002</v>
      </c>
      <c r="D6" s="37">
        <v>4</v>
      </c>
      <c r="E6" s="97">
        <f t="shared" ref="E6:E12" si="1">C6*D6</f>
        <v>67.040000000000006</v>
      </c>
      <c r="F6" s="34" t="s">
        <v>136</v>
      </c>
      <c r="G6" s="35" t="s">
        <v>230</v>
      </c>
      <c r="H6" s="36">
        <v>0.85</v>
      </c>
      <c r="I6" s="35">
        <v>1800</v>
      </c>
      <c r="J6" s="99">
        <f t="shared" si="0"/>
        <v>1530</v>
      </c>
    </row>
    <row r="7" spans="1:10" ht="24.75" customHeight="1">
      <c r="A7" s="34" t="s">
        <v>122</v>
      </c>
      <c r="B7" s="35" t="s">
        <v>126</v>
      </c>
      <c r="C7" s="36">
        <v>10.96</v>
      </c>
      <c r="D7" s="37">
        <v>15</v>
      </c>
      <c r="E7" s="97">
        <f t="shared" si="1"/>
        <v>164.4</v>
      </c>
      <c r="F7" s="34" t="s">
        <v>137</v>
      </c>
      <c r="G7" s="35" t="s">
        <v>230</v>
      </c>
      <c r="H7" s="36">
        <v>0.12</v>
      </c>
      <c r="I7" s="35">
        <v>1800</v>
      </c>
      <c r="J7" s="99">
        <f t="shared" si="0"/>
        <v>216</v>
      </c>
    </row>
    <row r="8" spans="1:10" ht="37.5" customHeight="1">
      <c r="A8" s="34" t="s">
        <v>123</v>
      </c>
      <c r="B8" s="35" t="s">
        <v>133</v>
      </c>
      <c r="C8" s="36">
        <v>20.9</v>
      </c>
      <c r="D8" s="37">
        <v>15</v>
      </c>
      <c r="E8" s="97">
        <f t="shared" si="1"/>
        <v>313.5</v>
      </c>
      <c r="F8" s="34" t="s">
        <v>138</v>
      </c>
      <c r="G8" s="35" t="s">
        <v>230</v>
      </c>
      <c r="H8" s="36">
        <v>0.4</v>
      </c>
      <c r="I8" s="35">
        <v>1800</v>
      </c>
      <c r="J8" s="99">
        <f t="shared" si="0"/>
        <v>720</v>
      </c>
    </row>
    <row r="9" spans="1:10" ht="37.5" customHeight="1">
      <c r="A9" s="34" t="s">
        <v>229</v>
      </c>
      <c r="B9" s="35" t="s">
        <v>133</v>
      </c>
      <c r="C9" s="36">
        <v>146.9</v>
      </c>
      <c r="D9" s="37">
        <v>15</v>
      </c>
      <c r="E9" s="97">
        <f t="shared" si="1"/>
        <v>2203.5</v>
      </c>
      <c r="F9" s="34" t="s">
        <v>139</v>
      </c>
      <c r="G9" s="35" t="s">
        <v>230</v>
      </c>
      <c r="H9" s="36">
        <v>0.32</v>
      </c>
      <c r="I9" s="35">
        <v>2000</v>
      </c>
      <c r="J9" s="99">
        <f t="shared" si="0"/>
        <v>640</v>
      </c>
    </row>
    <row r="10" spans="1:10" ht="36.75" customHeight="1">
      <c r="A10" s="34" t="s">
        <v>228</v>
      </c>
      <c r="B10" s="35" t="s">
        <v>133</v>
      </c>
      <c r="C10" s="36">
        <v>139.9</v>
      </c>
      <c r="D10" s="37">
        <v>15</v>
      </c>
      <c r="E10" s="97">
        <f t="shared" si="1"/>
        <v>2098.5</v>
      </c>
      <c r="F10" s="34" t="s">
        <v>140</v>
      </c>
      <c r="G10" s="35" t="s">
        <v>230</v>
      </c>
      <c r="H10" s="36">
        <v>0.14000000000000001</v>
      </c>
      <c r="I10" s="35">
        <v>2000</v>
      </c>
      <c r="J10" s="99">
        <f t="shared" si="0"/>
        <v>280</v>
      </c>
    </row>
    <row r="11" spans="1:10" ht="39" customHeight="1">
      <c r="A11" s="34" t="s">
        <v>226</v>
      </c>
      <c r="B11" s="35" t="s">
        <v>133</v>
      </c>
      <c r="C11" s="36">
        <v>198.9</v>
      </c>
      <c r="D11" s="37">
        <v>3</v>
      </c>
      <c r="E11" s="97">
        <f t="shared" si="1"/>
        <v>596.70000000000005</v>
      </c>
      <c r="F11" s="34" t="s">
        <v>141</v>
      </c>
      <c r="G11" s="35" t="s">
        <v>230</v>
      </c>
      <c r="H11" s="36">
        <v>0.1</v>
      </c>
      <c r="I11" s="35">
        <v>2000</v>
      </c>
      <c r="J11" s="99">
        <f t="shared" si="0"/>
        <v>200</v>
      </c>
    </row>
    <row r="12" spans="1:10" ht="36" customHeight="1">
      <c r="A12" s="34" t="s">
        <v>227</v>
      </c>
      <c r="B12" s="35" t="s">
        <v>133</v>
      </c>
      <c r="C12" s="36">
        <v>65.900000000000006</v>
      </c>
      <c r="D12" s="37">
        <v>6</v>
      </c>
      <c r="E12" s="97">
        <f t="shared" si="1"/>
        <v>395.40000000000003</v>
      </c>
      <c r="F12" s="34"/>
      <c r="G12" s="35"/>
      <c r="H12" s="36"/>
      <c r="I12" s="35"/>
      <c r="J12" s="99"/>
    </row>
    <row r="13" spans="1:10" ht="34.5" customHeight="1">
      <c r="A13" s="38" t="s">
        <v>45</v>
      </c>
      <c r="B13" s="39"/>
      <c r="C13" s="40"/>
      <c r="D13" s="132"/>
      <c r="E13" s="98">
        <f>SUM(E5:E12)</f>
        <v>5893.8399999999992</v>
      </c>
      <c r="F13" s="38" t="s">
        <v>45</v>
      </c>
      <c r="G13" s="39"/>
      <c r="H13" s="40"/>
      <c r="I13" s="39"/>
      <c r="J13" s="98">
        <f>SUM(J5:J12)</f>
        <v>5584</v>
      </c>
    </row>
    <row r="14" spans="1:10" ht="36" customHeight="1">
      <c r="A14" s="41" t="s">
        <v>98</v>
      </c>
      <c r="B14" s="215">
        <f>E13+J13</f>
        <v>11477.84</v>
      </c>
      <c r="C14" s="216"/>
      <c r="D14" s="216"/>
      <c r="E14" s="216"/>
      <c r="F14" s="216"/>
      <c r="G14" s="216"/>
      <c r="H14" s="216"/>
      <c r="I14" s="216"/>
      <c r="J14" s="217"/>
    </row>
    <row r="15" spans="1:10" ht="33" customHeight="1"/>
    <row r="16" spans="1:10" ht="38.25" customHeight="1"/>
    <row r="17" ht="24" customHeight="1"/>
    <row r="18" ht="22.5" customHeight="1"/>
  </sheetData>
  <mergeCells count="5">
    <mergeCell ref="B14:J14"/>
    <mergeCell ref="A1:J1"/>
    <mergeCell ref="A2:J2"/>
    <mergeCell ref="A3:E3"/>
    <mergeCell ref="F3:J3"/>
  </mergeCells>
  <pageMargins left="0.51181102362204722" right="0.31496062992125984" top="0.78740157480314965" bottom="0.78740157480314965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33"/>
  <sheetViews>
    <sheetView view="pageBreakPreview" topLeftCell="A8" zoomScale="90" zoomScaleSheetLayoutView="90" workbookViewId="0">
      <selection activeCell="J31" sqref="J31"/>
    </sheetView>
  </sheetViews>
  <sheetFormatPr defaultRowHeight="14.25"/>
  <cols>
    <col min="1" max="1" width="51" style="1" bestFit="1" customWidth="1"/>
    <col min="2" max="2" width="18.7109375" style="1" bestFit="1" customWidth="1"/>
    <col min="3" max="3" width="11.85546875" style="1" bestFit="1" customWidth="1"/>
    <col min="4" max="4" width="16.7109375" style="1" bestFit="1" customWidth="1"/>
    <col min="5" max="5" width="26.85546875" style="1" customWidth="1"/>
    <col min="6" max="16384" width="9.140625" style="1"/>
  </cols>
  <sheetData>
    <row r="1" spans="1:5" ht="28.5" customHeight="1">
      <c r="A1" s="204" t="s">
        <v>191</v>
      </c>
      <c r="B1" s="205"/>
      <c r="C1" s="205"/>
      <c r="D1" s="205"/>
      <c r="E1" s="205"/>
    </row>
    <row r="2" spans="1:5" ht="31.5" customHeight="1">
      <c r="A2" s="48" t="s">
        <v>192</v>
      </c>
      <c r="B2" s="48" t="s">
        <v>125</v>
      </c>
      <c r="C2" s="48" t="s">
        <v>74</v>
      </c>
      <c r="D2" s="48" t="s">
        <v>211</v>
      </c>
      <c r="E2" s="48" t="s">
        <v>115</v>
      </c>
    </row>
    <row r="3" spans="1:5" ht="24.95" customHeight="1">
      <c r="A3" s="52" t="s">
        <v>260</v>
      </c>
      <c r="B3" s="51" t="s">
        <v>193</v>
      </c>
      <c r="C3" s="63">
        <v>7.9</v>
      </c>
      <c r="D3" s="64">
        <v>33.333333333333336</v>
      </c>
      <c r="E3" s="63">
        <f>C3*D3</f>
        <v>263.33333333333337</v>
      </c>
    </row>
    <row r="4" spans="1:5" ht="24.95" customHeight="1">
      <c r="A4" s="52" t="s">
        <v>259</v>
      </c>
      <c r="B4" s="51" t="s">
        <v>194</v>
      </c>
      <c r="C4" s="63">
        <v>2.68</v>
      </c>
      <c r="D4" s="64">
        <v>33.333333333333336</v>
      </c>
      <c r="E4" s="63">
        <f t="shared" ref="E4:E32" si="0">C4*D4</f>
        <v>89.333333333333343</v>
      </c>
    </row>
    <row r="5" spans="1:5" ht="24.95" customHeight="1">
      <c r="A5" s="52" t="s">
        <v>259</v>
      </c>
      <c r="B5" s="51" t="s">
        <v>193</v>
      </c>
      <c r="C5" s="63">
        <v>2.4500000000000002</v>
      </c>
      <c r="D5" s="64">
        <v>33.333333333333336</v>
      </c>
      <c r="E5" s="63">
        <f t="shared" si="0"/>
        <v>81.666666666666671</v>
      </c>
    </row>
    <row r="6" spans="1:5" ht="24.95" customHeight="1">
      <c r="A6" s="52" t="s">
        <v>278</v>
      </c>
      <c r="B6" s="51" t="s">
        <v>193</v>
      </c>
      <c r="C6" s="63">
        <v>2.95</v>
      </c>
      <c r="D6" s="64">
        <f>200/12</f>
        <v>16.666666666666668</v>
      </c>
      <c r="E6" s="63">
        <f t="shared" si="0"/>
        <v>49.166666666666671</v>
      </c>
    </row>
    <row r="7" spans="1:5" ht="24.95" customHeight="1">
      <c r="A7" s="52" t="s">
        <v>261</v>
      </c>
      <c r="B7" s="51" t="s">
        <v>193</v>
      </c>
      <c r="C7" s="63">
        <v>4.01</v>
      </c>
      <c r="D7" s="64">
        <f t="shared" ref="D7:D8" si="1">200/12</f>
        <v>16.666666666666668</v>
      </c>
      <c r="E7" s="63">
        <f t="shared" si="0"/>
        <v>66.833333333333329</v>
      </c>
    </row>
    <row r="8" spans="1:5" ht="24.95" customHeight="1">
      <c r="A8" s="52" t="s">
        <v>241</v>
      </c>
      <c r="B8" s="51" t="s">
        <v>134</v>
      </c>
      <c r="C8" s="63">
        <v>3.91</v>
      </c>
      <c r="D8" s="64">
        <f t="shared" si="1"/>
        <v>16.666666666666668</v>
      </c>
      <c r="E8" s="63">
        <f t="shared" si="0"/>
        <v>65.166666666666671</v>
      </c>
    </row>
    <row r="9" spans="1:5" ht="24.95" customHeight="1">
      <c r="A9" s="52" t="s">
        <v>269</v>
      </c>
      <c r="B9" s="51" t="s">
        <v>193</v>
      </c>
      <c r="C9" s="63">
        <v>4.4400000000000004</v>
      </c>
      <c r="D9" s="64">
        <f>500/12</f>
        <v>41.666666666666664</v>
      </c>
      <c r="E9" s="63">
        <f t="shared" si="0"/>
        <v>185</v>
      </c>
    </row>
    <row r="10" spans="1:5" ht="24.95" customHeight="1">
      <c r="A10" s="52" t="s">
        <v>242</v>
      </c>
      <c r="B10" s="51" t="s">
        <v>196</v>
      </c>
      <c r="C10" s="63">
        <v>1.25</v>
      </c>
      <c r="D10" s="64">
        <f>600/12</f>
        <v>50</v>
      </c>
      <c r="E10" s="63">
        <f t="shared" si="0"/>
        <v>62.5</v>
      </c>
    </row>
    <row r="11" spans="1:5" ht="24.95" customHeight="1">
      <c r="A11" s="52" t="s">
        <v>243</v>
      </c>
      <c r="B11" s="51" t="s">
        <v>197</v>
      </c>
      <c r="C11" s="63">
        <v>14</v>
      </c>
      <c r="D11" s="64">
        <f>400/12</f>
        <v>33.333333333333336</v>
      </c>
      <c r="E11" s="63">
        <f t="shared" si="0"/>
        <v>466.66666666666669</v>
      </c>
    </row>
    <row r="12" spans="1:5" ht="24.95" customHeight="1">
      <c r="A12" s="52" t="s">
        <v>244</v>
      </c>
      <c r="B12" s="51" t="s">
        <v>134</v>
      </c>
      <c r="C12" s="63">
        <v>3</v>
      </c>
      <c r="D12" s="64">
        <f>800/12</f>
        <v>66.666666666666671</v>
      </c>
      <c r="E12" s="63">
        <f t="shared" si="0"/>
        <v>200</v>
      </c>
    </row>
    <row r="13" spans="1:5" ht="24.95" customHeight="1">
      <c r="A13" s="52" t="s">
        <v>270</v>
      </c>
      <c r="B13" s="51" t="s">
        <v>126</v>
      </c>
      <c r="C13" s="63">
        <v>0.38</v>
      </c>
      <c r="D13" s="64">
        <f>2000/12</f>
        <v>166.66666666666666</v>
      </c>
      <c r="E13" s="63">
        <f t="shared" si="0"/>
        <v>63.333333333333329</v>
      </c>
    </row>
    <row r="14" spans="1:5" ht="24.95" customHeight="1">
      <c r="A14" s="52" t="s">
        <v>271</v>
      </c>
      <c r="B14" s="51" t="s">
        <v>126</v>
      </c>
      <c r="C14" s="63">
        <v>1.39</v>
      </c>
      <c r="D14" s="64">
        <f>400/12</f>
        <v>33.333333333333336</v>
      </c>
      <c r="E14" s="63">
        <f t="shared" si="0"/>
        <v>46.333333333333336</v>
      </c>
    </row>
    <row r="15" spans="1:5" ht="24.95" customHeight="1">
      <c r="A15" s="52" t="s">
        <v>272</v>
      </c>
      <c r="B15" s="51" t="s">
        <v>126</v>
      </c>
      <c r="C15" s="63">
        <v>1.95</v>
      </c>
      <c r="D15" s="64">
        <f>1000/12</f>
        <v>83.333333333333329</v>
      </c>
      <c r="E15" s="63">
        <f t="shared" si="0"/>
        <v>162.5</v>
      </c>
    </row>
    <row r="16" spans="1:5" ht="24.95" customHeight="1">
      <c r="A16" s="52" t="s">
        <v>262</v>
      </c>
      <c r="B16" s="51" t="s">
        <v>198</v>
      </c>
      <c r="C16" s="63">
        <v>12.64</v>
      </c>
      <c r="D16" s="64">
        <f>500/12</f>
        <v>41.666666666666664</v>
      </c>
      <c r="E16" s="63">
        <f t="shared" si="0"/>
        <v>526.66666666666663</v>
      </c>
    </row>
    <row r="17" spans="1:5" ht="24.95" customHeight="1">
      <c r="A17" s="52" t="s">
        <v>273</v>
      </c>
      <c r="B17" s="51" t="s">
        <v>134</v>
      </c>
      <c r="C17" s="63">
        <v>3.69</v>
      </c>
      <c r="D17" s="64">
        <f>600/12</f>
        <v>50</v>
      </c>
      <c r="E17" s="63">
        <f t="shared" si="0"/>
        <v>184.5</v>
      </c>
    </row>
    <row r="18" spans="1:5" ht="24.95" customHeight="1">
      <c r="A18" s="52" t="s">
        <v>274</v>
      </c>
      <c r="B18" s="51" t="s">
        <v>199</v>
      </c>
      <c r="C18" s="63">
        <v>3.69</v>
      </c>
      <c r="D18" s="64">
        <f>600/12</f>
        <v>50</v>
      </c>
      <c r="E18" s="63">
        <f t="shared" si="0"/>
        <v>184.5</v>
      </c>
    </row>
    <row r="19" spans="1:5" ht="24.95" customHeight="1">
      <c r="A19" s="52" t="s">
        <v>275</v>
      </c>
      <c r="B19" s="51" t="s">
        <v>197</v>
      </c>
      <c r="C19" s="63">
        <v>16.940000000000001</v>
      </c>
      <c r="D19" s="64">
        <f>200/12</f>
        <v>16.666666666666668</v>
      </c>
      <c r="E19" s="63">
        <f t="shared" si="0"/>
        <v>282.33333333333337</v>
      </c>
    </row>
    <row r="20" spans="1:5" ht="24.95" customHeight="1">
      <c r="A20" s="52" t="s">
        <v>276</v>
      </c>
      <c r="B20" s="51" t="s">
        <v>134</v>
      </c>
      <c r="C20" s="63">
        <v>3.69</v>
      </c>
      <c r="D20" s="64">
        <f>400/12</f>
        <v>33.333333333333336</v>
      </c>
      <c r="E20" s="63">
        <f t="shared" si="0"/>
        <v>123</v>
      </c>
    </row>
    <row r="21" spans="1:5" ht="24.95" customHeight="1">
      <c r="A21" s="52" t="s">
        <v>277</v>
      </c>
      <c r="B21" s="51" t="s">
        <v>134</v>
      </c>
      <c r="C21" s="63">
        <v>2.9</v>
      </c>
      <c r="D21" s="64">
        <f>600/12</f>
        <v>50</v>
      </c>
      <c r="E21" s="63">
        <f t="shared" si="0"/>
        <v>145</v>
      </c>
    </row>
    <row r="22" spans="1:5" ht="24.95" customHeight="1">
      <c r="A22" s="52" t="s">
        <v>245</v>
      </c>
      <c r="B22" s="51" t="s">
        <v>126</v>
      </c>
      <c r="C22" s="63">
        <v>1.96</v>
      </c>
      <c r="D22" s="64">
        <f>1050/12</f>
        <v>87.5</v>
      </c>
      <c r="E22" s="63">
        <f t="shared" si="0"/>
        <v>171.5</v>
      </c>
    </row>
    <row r="23" spans="1:5" ht="24.95" customHeight="1">
      <c r="A23" s="52" t="s">
        <v>263</v>
      </c>
      <c r="B23" s="51" t="s">
        <v>126</v>
      </c>
      <c r="C23" s="63">
        <v>0.86</v>
      </c>
      <c r="D23" s="64">
        <f>2020/12</f>
        <v>168.33333333333334</v>
      </c>
      <c r="E23" s="63">
        <f t="shared" si="0"/>
        <v>144.76666666666668</v>
      </c>
    </row>
    <row r="24" spans="1:5" ht="24.95" customHeight="1">
      <c r="A24" s="52" t="s">
        <v>264</v>
      </c>
      <c r="B24" s="51" t="s">
        <v>126</v>
      </c>
      <c r="C24" s="63">
        <v>0.26</v>
      </c>
      <c r="D24" s="64">
        <f>500/12</f>
        <v>41.666666666666664</v>
      </c>
      <c r="E24" s="63">
        <f t="shared" si="0"/>
        <v>10.833333333333334</v>
      </c>
    </row>
    <row r="25" spans="1:5" ht="24.95" customHeight="1">
      <c r="A25" s="52" t="s">
        <v>265</v>
      </c>
      <c r="B25" s="51" t="s">
        <v>195</v>
      </c>
      <c r="C25" s="63">
        <v>2.6</v>
      </c>
      <c r="D25" s="64">
        <f>800/12</f>
        <v>66.666666666666671</v>
      </c>
      <c r="E25" s="63">
        <f t="shared" si="0"/>
        <v>173.33333333333334</v>
      </c>
    </row>
    <row r="26" spans="1:5" ht="24.95" customHeight="1">
      <c r="A26" s="52" t="s">
        <v>200</v>
      </c>
      <c r="B26" s="51" t="s">
        <v>126</v>
      </c>
      <c r="C26" s="63">
        <v>0.24</v>
      </c>
      <c r="D26" s="64">
        <v>166.66666666666666</v>
      </c>
      <c r="E26" s="63">
        <f t="shared" si="0"/>
        <v>39.999999999999993</v>
      </c>
    </row>
    <row r="27" spans="1:5" ht="24.95" customHeight="1">
      <c r="A27" s="52" t="s">
        <v>201</v>
      </c>
      <c r="B27" s="51" t="s">
        <v>126</v>
      </c>
      <c r="C27" s="63">
        <v>0.21</v>
      </c>
      <c r="D27" s="64">
        <v>166.66666666666666</v>
      </c>
      <c r="E27" s="63">
        <f t="shared" si="0"/>
        <v>35</v>
      </c>
    </row>
    <row r="28" spans="1:5" ht="24.95" customHeight="1">
      <c r="A28" s="52" t="s">
        <v>202</v>
      </c>
      <c r="B28" s="51" t="s">
        <v>126</v>
      </c>
      <c r="C28" s="63">
        <v>2.99</v>
      </c>
      <c r="D28" s="64">
        <f>500/12</f>
        <v>41.666666666666664</v>
      </c>
      <c r="E28" s="63">
        <f t="shared" si="0"/>
        <v>124.58333333333333</v>
      </c>
    </row>
    <row r="29" spans="1:5" ht="24.95" customHeight="1">
      <c r="A29" s="52" t="s">
        <v>268</v>
      </c>
      <c r="B29" s="51" t="s">
        <v>197</v>
      </c>
      <c r="C29" s="63">
        <v>17</v>
      </c>
      <c r="D29" s="64">
        <f>100/12</f>
        <v>8.3333333333333339</v>
      </c>
      <c r="E29" s="63">
        <f t="shared" si="0"/>
        <v>141.66666666666669</v>
      </c>
    </row>
    <row r="30" spans="1:5" ht="24.95" customHeight="1">
      <c r="A30" s="52" t="s">
        <v>203</v>
      </c>
      <c r="B30" s="51" t="s">
        <v>193</v>
      </c>
      <c r="C30" s="63">
        <v>6.1740000000000004</v>
      </c>
      <c r="D30" s="64">
        <v>16.666666666666668</v>
      </c>
      <c r="E30" s="63">
        <f t="shared" si="0"/>
        <v>102.90000000000002</v>
      </c>
    </row>
    <row r="31" spans="1:5" ht="24.95" customHeight="1">
      <c r="A31" s="52" t="s">
        <v>266</v>
      </c>
      <c r="B31" s="51" t="s">
        <v>193</v>
      </c>
      <c r="C31" s="63">
        <v>7.78</v>
      </c>
      <c r="D31" s="64">
        <v>20.833333333333332</v>
      </c>
      <c r="E31" s="63">
        <f t="shared" si="0"/>
        <v>162.08333333333334</v>
      </c>
    </row>
    <row r="32" spans="1:5" ht="24.95" customHeight="1">
      <c r="A32" s="52" t="s">
        <v>267</v>
      </c>
      <c r="B32" s="51" t="s">
        <v>199</v>
      </c>
      <c r="C32" s="63">
        <v>16.899999999999999</v>
      </c>
      <c r="D32" s="64">
        <v>20.833333333333332</v>
      </c>
      <c r="E32" s="63">
        <f t="shared" si="0"/>
        <v>352.08333333333326</v>
      </c>
    </row>
    <row r="33" spans="1:5" ht="27" customHeight="1">
      <c r="A33" s="219" t="s">
        <v>75</v>
      </c>
      <c r="B33" s="219"/>
      <c r="C33" s="219"/>
      <c r="D33" s="55"/>
      <c r="E33" s="102">
        <f>SUM(E3:E32)</f>
        <v>4706.583333333333</v>
      </c>
    </row>
  </sheetData>
  <mergeCells count="2">
    <mergeCell ref="A1:E1"/>
    <mergeCell ref="A33:C33"/>
  </mergeCells>
  <pageMargins left="0.51181102362204722" right="0.31496062992125984" top="0.59055118110236227" bottom="0.3937007874015748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view="pageBreakPreview" zoomScale="120" zoomScaleSheetLayoutView="120" workbookViewId="0">
      <selection activeCell="A13" sqref="A13:E19"/>
    </sheetView>
  </sheetViews>
  <sheetFormatPr defaultRowHeight="15"/>
  <cols>
    <col min="1" max="1" width="40.140625" customWidth="1"/>
    <col min="2" max="2" width="16.28515625" bestFit="1" customWidth="1"/>
    <col min="3" max="3" width="12.5703125" bestFit="1" customWidth="1"/>
    <col min="5" max="5" width="14.5703125" customWidth="1"/>
  </cols>
  <sheetData>
    <row r="1" spans="1:5" ht="20.25" customHeight="1">
      <c r="A1" s="220" t="s">
        <v>204</v>
      </c>
      <c r="B1" s="220"/>
      <c r="C1" s="220"/>
      <c r="D1" s="220"/>
      <c r="E1" s="220"/>
    </row>
    <row r="2" spans="1:5">
      <c r="A2" s="50" t="s">
        <v>192</v>
      </c>
      <c r="B2" s="50" t="s">
        <v>125</v>
      </c>
      <c r="C2" s="53" t="s">
        <v>115</v>
      </c>
      <c r="D2" s="50" t="s">
        <v>210</v>
      </c>
      <c r="E2" s="50" t="s">
        <v>115</v>
      </c>
    </row>
    <row r="3" spans="1:5" ht="20.100000000000001" customHeight="1">
      <c r="A3" s="103" t="s">
        <v>127</v>
      </c>
      <c r="B3" s="104" t="s">
        <v>142</v>
      </c>
      <c r="C3" s="105">
        <v>12.9</v>
      </c>
      <c r="D3" s="106">
        <f>750.96/12</f>
        <v>62.580000000000005</v>
      </c>
      <c r="E3" s="111">
        <f>C3*D3</f>
        <v>807.28200000000004</v>
      </c>
    </row>
    <row r="4" spans="1:5" ht="38.25" customHeight="1">
      <c r="A4" s="107" t="s">
        <v>128</v>
      </c>
      <c r="B4" s="108" t="s">
        <v>129</v>
      </c>
      <c r="C4" s="109">
        <v>60.25</v>
      </c>
      <c r="D4" s="110">
        <v>166.666666666667</v>
      </c>
      <c r="E4" s="111">
        <f t="shared" ref="E4:E9" si="0">C4*D4</f>
        <v>10041.666666666686</v>
      </c>
    </row>
    <row r="5" spans="1:5" ht="20.100000000000001" customHeight="1">
      <c r="A5" s="103" t="s">
        <v>130</v>
      </c>
      <c r="B5" s="104" t="s">
        <v>131</v>
      </c>
      <c r="C5" s="105">
        <v>25.8</v>
      </c>
      <c r="D5" s="106">
        <v>170.83333333333334</v>
      </c>
      <c r="E5" s="111">
        <f t="shared" si="0"/>
        <v>4407.5</v>
      </c>
    </row>
    <row r="6" spans="1:5" ht="20.100000000000001" customHeight="1">
      <c r="A6" s="103" t="s">
        <v>132</v>
      </c>
      <c r="B6" s="104" t="s">
        <v>133</v>
      </c>
      <c r="C6" s="105">
        <v>18.899999999999999</v>
      </c>
      <c r="D6" s="106">
        <v>16.666666666666668</v>
      </c>
      <c r="E6" s="111">
        <f t="shared" si="0"/>
        <v>315</v>
      </c>
    </row>
    <row r="7" spans="1:5" ht="20.100000000000001" customHeight="1">
      <c r="A7" s="15"/>
      <c r="B7" s="15"/>
      <c r="C7" s="65"/>
      <c r="D7" s="15"/>
      <c r="E7" s="111">
        <f t="shared" si="0"/>
        <v>0</v>
      </c>
    </row>
    <row r="8" spans="1:5" ht="20.100000000000001" customHeight="1">
      <c r="A8" s="15"/>
      <c r="B8" s="15"/>
      <c r="C8" s="65"/>
      <c r="D8" s="15"/>
      <c r="E8" s="111">
        <f t="shared" si="0"/>
        <v>0</v>
      </c>
    </row>
    <row r="9" spans="1:5" ht="20.100000000000001" customHeight="1">
      <c r="A9" s="15"/>
      <c r="B9" s="15"/>
      <c r="C9" s="65"/>
      <c r="D9" s="15"/>
      <c r="E9" s="111">
        <f t="shared" si="0"/>
        <v>0</v>
      </c>
    </row>
    <row r="10" spans="1:5" ht="20.100000000000001" customHeight="1">
      <c r="A10" s="220" t="s">
        <v>75</v>
      </c>
      <c r="B10" s="220"/>
      <c r="C10" s="220"/>
      <c r="D10" s="54"/>
      <c r="E10" s="130">
        <f>SUM(E3:E9)</f>
        <v>15571.448666666685</v>
      </c>
    </row>
    <row r="11" spans="1:5">
      <c r="C11" s="44"/>
    </row>
    <row r="12" spans="1:5">
      <c r="C12" s="44"/>
    </row>
    <row r="13" spans="1:5" ht="20.100000000000001" customHeight="1">
      <c r="A13" s="220" t="s">
        <v>205</v>
      </c>
      <c r="B13" s="220"/>
      <c r="C13" s="220"/>
      <c r="D13" s="220"/>
      <c r="E13" s="220"/>
    </row>
    <row r="14" spans="1:5" ht="20.100000000000001" customHeight="1">
      <c r="A14" s="49" t="s">
        <v>192</v>
      </c>
      <c r="B14" s="50" t="s">
        <v>125</v>
      </c>
      <c r="C14" s="50" t="s">
        <v>115</v>
      </c>
      <c r="D14" s="50" t="s">
        <v>210</v>
      </c>
      <c r="E14" s="50" t="s">
        <v>115</v>
      </c>
    </row>
    <row r="15" spans="1:5" ht="20.100000000000001" customHeight="1">
      <c r="A15" s="15" t="s">
        <v>246</v>
      </c>
      <c r="B15" s="15" t="s">
        <v>193</v>
      </c>
      <c r="C15" s="45">
        <v>6.09</v>
      </c>
      <c r="D15" s="106">
        <f>1000/12</f>
        <v>83.333333333333329</v>
      </c>
      <c r="E15" s="111">
        <f t="shared" ref="E15:E18" si="1">C15*D15</f>
        <v>507.49999999999994</v>
      </c>
    </row>
    <row r="16" spans="1:5" ht="20.100000000000001" customHeight="1">
      <c r="A16" s="15" t="s">
        <v>247</v>
      </c>
      <c r="B16" s="15" t="s">
        <v>193</v>
      </c>
      <c r="C16" s="45">
        <v>6.09</v>
      </c>
      <c r="D16" s="106">
        <f t="shared" ref="D16:D17" si="2">1000/12</f>
        <v>83.333333333333329</v>
      </c>
      <c r="E16" s="111">
        <f t="shared" si="1"/>
        <v>507.49999999999994</v>
      </c>
    </row>
    <row r="17" spans="1:5" ht="20.100000000000001" customHeight="1">
      <c r="A17" s="15" t="s">
        <v>206</v>
      </c>
      <c r="B17" s="15" t="s">
        <v>126</v>
      </c>
      <c r="C17" s="45">
        <v>5.04</v>
      </c>
      <c r="D17" s="106">
        <f t="shared" si="2"/>
        <v>83.333333333333329</v>
      </c>
      <c r="E17" s="111">
        <f t="shared" si="1"/>
        <v>420</v>
      </c>
    </row>
    <row r="18" spans="1:5" ht="20.100000000000001" customHeight="1">
      <c r="A18" s="15" t="s">
        <v>207</v>
      </c>
      <c r="B18" s="15" t="s">
        <v>196</v>
      </c>
      <c r="C18" s="45">
        <v>1.52</v>
      </c>
      <c r="D18" s="106">
        <f>1200/12</f>
        <v>100</v>
      </c>
      <c r="E18" s="111">
        <f t="shared" si="1"/>
        <v>152</v>
      </c>
    </row>
    <row r="19" spans="1:5" ht="20.100000000000001" customHeight="1">
      <c r="A19" s="220" t="s">
        <v>75</v>
      </c>
      <c r="B19" s="220"/>
      <c r="C19" s="220"/>
      <c r="D19" s="54"/>
      <c r="E19" s="130">
        <f>SUM(E15:E18)</f>
        <v>1587</v>
      </c>
    </row>
    <row r="20" spans="1:5">
      <c r="C20" s="44"/>
    </row>
  </sheetData>
  <mergeCells count="4">
    <mergeCell ref="A10:C10"/>
    <mergeCell ref="A1:E1"/>
    <mergeCell ref="A19:C19"/>
    <mergeCell ref="A13:E13"/>
  </mergeCells>
  <pageMargins left="0.70866141732283472" right="0.51181102362204722" top="0.59055118110236227" bottom="0.3937007874015748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view="pageBreakPreview" zoomScaleSheetLayoutView="100" workbookViewId="0">
      <selection activeCell="H14" sqref="H14"/>
    </sheetView>
  </sheetViews>
  <sheetFormatPr defaultRowHeight="15.75"/>
  <cols>
    <col min="1" max="1" width="50.42578125" style="66" customWidth="1"/>
    <col min="2" max="2" width="43.140625" style="66" customWidth="1"/>
    <col min="3" max="16384" width="9.140625" style="66"/>
  </cols>
  <sheetData>
    <row r="1" spans="1:2" ht="39" customHeight="1">
      <c r="A1" s="198" t="s">
        <v>143</v>
      </c>
      <c r="B1" s="198"/>
    </row>
    <row r="2" spans="1:2" ht="24" customHeight="1">
      <c r="A2" s="198" t="s">
        <v>144</v>
      </c>
      <c r="B2" s="23" t="s">
        <v>98</v>
      </c>
    </row>
    <row r="3" spans="1:2" ht="25.5" customHeight="1">
      <c r="A3" s="198"/>
      <c r="B3" s="72" t="s">
        <v>6</v>
      </c>
    </row>
    <row r="4" spans="1:2" ht="26.25" customHeight="1">
      <c r="A4" s="67" t="s">
        <v>145</v>
      </c>
      <c r="B4" s="68" t="s">
        <v>48</v>
      </c>
    </row>
    <row r="5" spans="1:2" ht="24.95" customHeight="1">
      <c r="A5" s="69" t="s">
        <v>233</v>
      </c>
      <c r="B5" s="134">
        <f>'2'!J37</f>
        <v>193233.64193000001</v>
      </c>
    </row>
    <row r="6" spans="1:2" ht="24.95" customHeight="1">
      <c r="A6" s="69" t="s">
        <v>146</v>
      </c>
      <c r="B6" s="134">
        <f>'3 E 4'!H9</f>
        <v>2161.6583333333333</v>
      </c>
    </row>
    <row r="7" spans="1:2" ht="24.95" customHeight="1">
      <c r="A7" s="69" t="s">
        <v>81</v>
      </c>
      <c r="B7" s="134">
        <f>'3 E 4'!H31</f>
        <v>2757.6450000000004</v>
      </c>
    </row>
    <row r="8" spans="1:2" ht="25.5" customHeight="1">
      <c r="A8" s="70" t="s">
        <v>257</v>
      </c>
      <c r="B8" s="135" t="s">
        <v>48</v>
      </c>
    </row>
    <row r="9" spans="1:2" ht="24.95" customHeight="1">
      <c r="A9" s="69" t="s">
        <v>147</v>
      </c>
      <c r="B9" s="134">
        <f>'5'!F22</f>
        <v>140.77550000000002</v>
      </c>
    </row>
    <row r="10" spans="1:2" ht="24.95" customHeight="1">
      <c r="A10" s="69" t="s">
        <v>148</v>
      </c>
      <c r="B10" s="134">
        <f>'6'!D25</f>
        <v>386.10833333333329</v>
      </c>
    </row>
    <row r="11" spans="1:2" ht="24.95" customHeight="1">
      <c r="A11" s="69" t="s">
        <v>149</v>
      </c>
      <c r="B11" s="134">
        <f>'7'!B14:J14</f>
        <v>11477.84</v>
      </c>
    </row>
    <row r="12" spans="1:2" ht="24.95" customHeight="1">
      <c r="A12" s="69" t="s">
        <v>231</v>
      </c>
      <c r="B12" s="134">
        <f>'8'!E33</f>
        <v>4706.583333333333</v>
      </c>
    </row>
    <row r="13" spans="1:2" ht="24.95" customHeight="1">
      <c r="A13" s="69" t="s">
        <v>232</v>
      </c>
      <c r="B13" s="134">
        <f>'9'!E10</f>
        <v>15571.448666666685</v>
      </c>
    </row>
    <row r="14" spans="1:2" ht="24.95" customHeight="1">
      <c r="A14" s="69" t="s">
        <v>255</v>
      </c>
      <c r="B14" s="134">
        <f>'9'!E19</f>
        <v>1587</v>
      </c>
    </row>
    <row r="15" spans="1:2" ht="24.95" customHeight="1">
      <c r="A15" s="71" t="s">
        <v>258</v>
      </c>
      <c r="B15" s="112">
        <f>SUM(B5:B14)</f>
        <v>232022.70109666669</v>
      </c>
    </row>
    <row r="16" spans="1:2" ht="24.95" customHeight="1">
      <c r="A16" s="69" t="s">
        <v>254</v>
      </c>
      <c r="B16" s="112">
        <f>(B15+B19)*8.65%</f>
        <v>22159.05887986167</v>
      </c>
    </row>
    <row r="17" spans="1:2" ht="24.95" customHeight="1">
      <c r="A17" s="69" t="s">
        <v>253</v>
      </c>
      <c r="B17" s="112"/>
    </row>
    <row r="18" spans="1:2" ht="24.95" customHeight="1">
      <c r="A18" s="71" t="s">
        <v>256</v>
      </c>
      <c r="B18" s="112">
        <f>SUM(B15:B17)</f>
        <v>254181.75997652835</v>
      </c>
    </row>
    <row r="19" spans="1:2" ht="24.95" customHeight="1">
      <c r="A19" s="69" t="s">
        <v>150</v>
      </c>
      <c r="B19" s="112">
        <v>24151.39</v>
      </c>
    </row>
    <row r="20" spans="1:2" ht="24.95" customHeight="1">
      <c r="B20" s="112"/>
    </row>
    <row r="21" spans="1:2" ht="23.25">
      <c r="A21" s="20" t="s">
        <v>98</v>
      </c>
      <c r="B21" s="113">
        <f>SUM(B18:B20)</f>
        <v>278333.14997652837</v>
      </c>
    </row>
  </sheetData>
  <mergeCells count="2">
    <mergeCell ref="A2:A3"/>
    <mergeCell ref="A1:B1"/>
  </mergeCells>
  <pageMargins left="0.70866141732283472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1</vt:lpstr>
      <vt:lpstr>2</vt:lpstr>
      <vt:lpstr>3 E 4</vt:lpstr>
      <vt:lpstr>5</vt:lpstr>
      <vt:lpstr>6</vt:lpstr>
      <vt:lpstr>7</vt:lpstr>
      <vt:lpstr>8</vt:lpstr>
      <vt:lpstr>9</vt:lpstr>
      <vt:lpstr>10</vt:lpstr>
      <vt:lpstr>'2'!Area_de_impressao</vt:lpstr>
      <vt:lpstr>'5'!Area_de_impressao</vt:lpstr>
      <vt:lpstr>'6'!Area_de_impressao</vt:lpstr>
      <vt:lpstr>'8'!Area_de_impressao</vt:lpstr>
      <vt:lpstr>'9'!Area_de_impressao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</dc:creator>
  <cp:lastModifiedBy>PSVG</cp:lastModifiedBy>
  <cp:lastPrinted>2019-10-29T18:41:45Z</cp:lastPrinted>
  <dcterms:created xsi:type="dcterms:W3CDTF">2019-10-17T13:43:44Z</dcterms:created>
  <dcterms:modified xsi:type="dcterms:W3CDTF">2019-11-08T20:19:44Z</dcterms:modified>
</cp:coreProperties>
</file>